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E:\DT\IAQS Lectures\FY 24-25\Question Papers\"/>
    </mc:Choice>
  </mc:AlternateContent>
  <xr:revisionPtr revIDLastSave="0" documentId="13_ncr:1_{0A64C934-B020-42F5-914C-681A813793D8}" xr6:coauthVersionLast="47" xr6:coauthVersionMax="47" xr10:uidLastSave="{00000000-0000-0000-0000-000000000000}"/>
  <bookViews>
    <workbookView xWindow="-108" yWindow="-108" windowWidth="23256" windowHeight="12456" firstSheet="1" activeTab="9" xr2:uid="{00000000-000D-0000-FFFF-FFFF00000000}"/>
  </bookViews>
  <sheets>
    <sheet name="Q1" sheetId="6" r:id="rId1"/>
    <sheet name="Q2" sheetId="7" r:id="rId2"/>
    <sheet name="Q3Instructions" sheetId="5" r:id="rId3"/>
    <sheet name="Q3P&amp;L" sheetId="1" r:id="rId4"/>
    <sheet name="Q3Bal Sheet" sheetId="3" r:id="rId5"/>
    <sheet name="Q3Cash Flow" sheetId="4" r:id="rId6"/>
    <sheet name="Q3Working" sheetId="2" r:id="rId7"/>
    <sheet name="Q4A" sheetId="9" r:id="rId8"/>
    <sheet name="Q4B" sheetId="10" r:id="rId9"/>
    <sheet name="Q4C"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5" i="11" l="1"/>
  <c r="L71" i="11"/>
  <c r="E63" i="11"/>
  <c r="K70" i="11"/>
  <c r="K71" i="11" s="1"/>
  <c r="J70" i="11"/>
  <c r="I70" i="11"/>
  <c r="H70" i="11"/>
  <c r="G70" i="11"/>
  <c r="F70" i="11"/>
  <c r="E70" i="11"/>
  <c r="D70" i="11"/>
  <c r="K69" i="11"/>
  <c r="J69" i="11"/>
  <c r="J71" i="11" s="1"/>
  <c r="I69" i="11"/>
  <c r="I71" i="11" s="1"/>
  <c r="H69" i="11"/>
  <c r="H71" i="11" s="1"/>
  <c r="G69" i="11"/>
  <c r="G71" i="11" s="1"/>
  <c r="F69" i="11"/>
  <c r="F71" i="11" s="1"/>
  <c r="E69" i="11"/>
  <c r="E71" i="11" s="1"/>
  <c r="D69" i="11"/>
  <c r="D71" i="11" s="1"/>
  <c r="G68" i="11"/>
  <c r="H68" i="11" s="1"/>
  <c r="F68" i="11"/>
  <c r="D63" i="11"/>
  <c r="D61" i="11" s="1"/>
  <c r="E62" i="11"/>
  <c r="D62" i="11"/>
  <c r="F62" i="11" s="1"/>
  <c r="E61" i="11"/>
  <c r="D54" i="11"/>
  <c r="E53" i="11"/>
  <c r="D53" i="11"/>
  <c r="F52" i="11"/>
  <c r="G52" i="11" s="1"/>
  <c r="H52" i="11" s="1"/>
  <c r="I52" i="11" s="1"/>
  <c r="J52" i="11" s="1"/>
  <c r="K52" i="11" s="1"/>
  <c r="K53" i="11" s="1"/>
  <c r="E44" i="11"/>
  <c r="E43" i="11"/>
  <c r="E42" i="11"/>
  <c r="D44" i="11"/>
  <c r="D43" i="11" s="1"/>
  <c r="J9" i="11"/>
  <c r="J11" i="11" s="1"/>
  <c r="J13" i="11" s="1"/>
  <c r="J16" i="11" s="1"/>
  <c r="J18" i="11" s="1"/>
  <c r="K54" i="11" s="1"/>
  <c r="I9" i="11"/>
  <c r="I11" i="11" s="1"/>
  <c r="I13" i="11" s="1"/>
  <c r="I16" i="11" s="1"/>
  <c r="I18" i="11" s="1"/>
  <c r="J54" i="11" s="1"/>
  <c r="H9" i="11"/>
  <c r="H11" i="11" s="1"/>
  <c r="H13" i="11" s="1"/>
  <c r="H16" i="11" s="1"/>
  <c r="H18" i="11" s="1"/>
  <c r="I54" i="11" s="1"/>
  <c r="G9" i="11"/>
  <c r="G11" i="11" s="1"/>
  <c r="G13" i="11" s="1"/>
  <c r="G16" i="11" s="1"/>
  <c r="G18" i="11" s="1"/>
  <c r="H54" i="11" s="1"/>
  <c r="F9" i="11"/>
  <c r="F11" i="11" s="1"/>
  <c r="F13" i="11" s="1"/>
  <c r="F16" i="11" s="1"/>
  <c r="F18" i="11" s="1"/>
  <c r="G54" i="11" s="1"/>
  <c r="E9" i="11"/>
  <c r="E11" i="11" s="1"/>
  <c r="E13" i="11" s="1"/>
  <c r="D9" i="11"/>
  <c r="D11" i="11" s="1"/>
  <c r="D13" i="11" s="1"/>
  <c r="K67" i="10"/>
  <c r="J66" i="10"/>
  <c r="K66" i="10" s="1"/>
  <c r="J65" i="10"/>
  <c r="K65" i="10" s="1"/>
  <c r="J64" i="10"/>
  <c r="K64" i="10" s="1"/>
  <c r="J63" i="10"/>
  <c r="K63" i="10" s="1"/>
  <c r="J62" i="10"/>
  <c r="K62" i="10" s="1"/>
  <c r="J61" i="10"/>
  <c r="K61" i="10" s="1"/>
  <c r="J60" i="10"/>
  <c r="K60" i="10" s="1"/>
  <c r="J59" i="10"/>
  <c r="K59" i="10" s="1"/>
  <c r="K58" i="10"/>
  <c r="J58" i="10"/>
  <c r="J57" i="10"/>
  <c r="K57" i="10" s="1"/>
  <c r="K56" i="10"/>
  <c r="J56" i="10"/>
  <c r="J55" i="10"/>
  <c r="J53" i="10"/>
  <c r="D69" i="10"/>
  <c r="I67" i="10"/>
  <c r="I66" i="10"/>
  <c r="I65" i="10"/>
  <c r="I64" i="10"/>
  <c r="I63" i="10"/>
  <c r="I62" i="10"/>
  <c r="I61" i="10"/>
  <c r="I60" i="10"/>
  <c r="I59" i="10"/>
  <c r="I58" i="10"/>
  <c r="I57" i="10"/>
  <c r="I56" i="10"/>
  <c r="H66" i="10"/>
  <c r="H65" i="10"/>
  <c r="H64" i="10"/>
  <c r="H63" i="10"/>
  <c r="H62" i="10"/>
  <c r="H61" i="10"/>
  <c r="H60" i="10"/>
  <c r="H59" i="10"/>
  <c r="H58" i="10"/>
  <c r="H57" i="10"/>
  <c r="H56" i="10"/>
  <c r="G67" i="10"/>
  <c r="G57" i="10"/>
  <c r="G58" i="10"/>
  <c r="G59" i="10"/>
  <c r="G60" i="10"/>
  <c r="G61" i="10"/>
  <c r="G62" i="10"/>
  <c r="G63" i="10"/>
  <c r="G64" i="10"/>
  <c r="G65" i="10"/>
  <c r="G66" i="10"/>
  <c r="G56" i="10"/>
  <c r="F66" i="10"/>
  <c r="F65" i="10"/>
  <c r="F64" i="10"/>
  <c r="F63" i="10"/>
  <c r="F62" i="10"/>
  <c r="F61" i="10"/>
  <c r="F60" i="10"/>
  <c r="F59" i="10"/>
  <c r="F58" i="10"/>
  <c r="F57" i="10"/>
  <c r="F56" i="10"/>
  <c r="E57" i="10"/>
  <c r="E58" i="10" s="1"/>
  <c r="E59" i="10" s="1"/>
  <c r="E60" i="10" s="1"/>
  <c r="E61" i="10" s="1"/>
  <c r="E62" i="10" s="1"/>
  <c r="E63" i="10" s="1"/>
  <c r="E64" i="10" s="1"/>
  <c r="E65" i="10" s="1"/>
  <c r="E66" i="10" s="1"/>
  <c r="E56" i="10"/>
  <c r="C58" i="10"/>
  <c r="C59" i="10" s="1"/>
  <c r="C60" i="10" s="1"/>
  <c r="C61" i="10" s="1"/>
  <c r="C62" i="10" s="1"/>
  <c r="C63" i="10" s="1"/>
  <c r="C64" i="10" s="1"/>
  <c r="C65" i="10" s="1"/>
  <c r="C66" i="10" s="1"/>
  <c r="D48" i="10"/>
  <c r="D49" i="10" s="1"/>
  <c r="E33" i="10"/>
  <c r="E34" i="10" s="1"/>
  <c r="E35" i="10" s="1"/>
  <c r="E36" i="10" s="1"/>
  <c r="E37" i="10" s="1"/>
  <c r="E38" i="10" s="1"/>
  <c r="E39" i="10" s="1"/>
  <c r="E40" i="10" s="1"/>
  <c r="E41" i="10" s="1"/>
  <c r="E42" i="10" s="1"/>
  <c r="C34" i="10"/>
  <c r="C35" i="10" s="1"/>
  <c r="C36" i="10" s="1"/>
  <c r="C37" i="10" s="1"/>
  <c r="C38" i="10" s="1"/>
  <c r="C39" i="10" s="1"/>
  <c r="C40" i="10" s="1"/>
  <c r="C41" i="10" s="1"/>
  <c r="C42" i="10" s="1"/>
  <c r="C11" i="10"/>
  <c r="C12" i="10" s="1"/>
  <c r="C13" i="10" s="1"/>
  <c r="C14" i="10" s="1"/>
  <c r="C15" i="10" s="1"/>
  <c r="C16" i="10" s="1"/>
  <c r="C17" i="10" s="1"/>
  <c r="C18" i="10" s="1"/>
  <c r="C19" i="10" s="1"/>
  <c r="D80" i="9"/>
  <c r="D79" i="9"/>
  <c r="D78" i="9"/>
  <c r="D77" i="9"/>
  <c r="D76" i="9"/>
  <c r="D75" i="9"/>
  <c r="D74" i="9"/>
  <c r="D73" i="9"/>
  <c r="D72" i="9"/>
  <c r="D71" i="9"/>
  <c r="C72" i="9"/>
  <c r="C73" i="9"/>
  <c r="C74" i="9" s="1"/>
  <c r="C75" i="9" s="1"/>
  <c r="C76" i="9" s="1"/>
  <c r="C77" i="9" s="1"/>
  <c r="C78" i="9" s="1"/>
  <c r="C79" i="9" s="1"/>
  <c r="C80" i="9" s="1"/>
  <c r="I66" i="9"/>
  <c r="H66" i="9"/>
  <c r="O65" i="9"/>
  <c r="N65" i="9"/>
  <c r="M65" i="9"/>
  <c r="L65" i="9"/>
  <c r="K65" i="9"/>
  <c r="J65" i="9"/>
  <c r="I65" i="9"/>
  <c r="H65" i="9"/>
  <c r="I63" i="9"/>
  <c r="R62" i="9"/>
  <c r="N62" i="9"/>
  <c r="M62" i="9"/>
  <c r="L62" i="9"/>
  <c r="K62" i="9"/>
  <c r="J62" i="9"/>
  <c r="I62" i="9"/>
  <c r="H62" i="9"/>
  <c r="H63" i="9" s="1"/>
  <c r="J61" i="9"/>
  <c r="K61" i="9" s="1"/>
  <c r="Q60" i="9"/>
  <c r="R60" i="9" s="1"/>
  <c r="R65" i="9" s="1"/>
  <c r="I60" i="9"/>
  <c r="J60" i="9" s="1"/>
  <c r="K60" i="9" s="1"/>
  <c r="L60" i="9" s="1"/>
  <c r="M60" i="9" s="1"/>
  <c r="N60" i="9" s="1"/>
  <c r="O60" i="9" s="1"/>
  <c r="P60" i="9" s="1"/>
  <c r="P62" i="9" s="1"/>
  <c r="I53" i="9"/>
  <c r="H53" i="9"/>
  <c r="J51" i="9"/>
  <c r="I51" i="9"/>
  <c r="H51" i="9"/>
  <c r="J52" i="9"/>
  <c r="J53" i="9" s="1"/>
  <c r="K50" i="9"/>
  <c r="L50" i="9" s="1"/>
  <c r="M50" i="9" s="1"/>
  <c r="N50" i="9" s="1"/>
  <c r="N51" i="9" s="1"/>
  <c r="J50" i="9"/>
  <c r="I50" i="9"/>
  <c r="K42" i="9"/>
  <c r="J43" i="9"/>
  <c r="K43" i="9" s="1"/>
  <c r="K44" i="9" s="1"/>
  <c r="I68" i="11" l="1"/>
  <c r="G62" i="11"/>
  <c r="D64" i="11"/>
  <c r="F61" i="11"/>
  <c r="G61" i="11" s="1"/>
  <c r="F63" i="11"/>
  <c r="G63" i="11" s="1"/>
  <c r="K55" i="11"/>
  <c r="G53" i="11"/>
  <c r="G55" i="11" s="1"/>
  <c r="I53" i="11"/>
  <c r="I55" i="11" s="1"/>
  <c r="J53" i="11"/>
  <c r="J55" i="11" s="1"/>
  <c r="F53" i="11"/>
  <c r="H53" i="11"/>
  <c r="H55" i="11" s="1"/>
  <c r="D55" i="11"/>
  <c r="D14" i="11"/>
  <c r="E14" i="11" s="1"/>
  <c r="E16" i="11" s="1"/>
  <c r="E18" i="11" s="1"/>
  <c r="F54" i="11" s="1"/>
  <c r="D42" i="11"/>
  <c r="D45" i="11" s="1"/>
  <c r="L61" i="9"/>
  <c r="K66" i="9"/>
  <c r="K63" i="9"/>
  <c r="K52" i="9"/>
  <c r="L52" i="9" s="1"/>
  <c r="M52" i="9" s="1"/>
  <c r="N52" i="9" s="1"/>
  <c r="O52" i="9" s="1"/>
  <c r="P52" i="9" s="1"/>
  <c r="O50" i="9"/>
  <c r="K51" i="9"/>
  <c r="K53" i="9" s="1"/>
  <c r="M51" i="9"/>
  <c r="O62" i="9"/>
  <c r="P65" i="9"/>
  <c r="J66" i="9"/>
  <c r="J63" i="9"/>
  <c r="L51" i="9"/>
  <c r="L53" i="9" s="1"/>
  <c r="Q65" i="9"/>
  <c r="Q62" i="9"/>
  <c r="J68" i="11" l="1"/>
  <c r="G64" i="11"/>
  <c r="F55" i="11"/>
  <c r="D16" i="11"/>
  <c r="D18" i="11" s="1"/>
  <c r="E54" i="11" s="1"/>
  <c r="E55" i="11" s="1"/>
  <c r="F44" i="11"/>
  <c r="G44" i="11" s="1"/>
  <c r="F43" i="11"/>
  <c r="G43" i="11" s="1"/>
  <c r="F42" i="11"/>
  <c r="G42" i="11" s="1"/>
  <c r="M53" i="9"/>
  <c r="P50" i="9"/>
  <c r="P51" i="9" s="1"/>
  <c r="P53" i="9" s="1"/>
  <c r="O51" i="9"/>
  <c r="O53" i="9" s="1"/>
  <c r="M61" i="9"/>
  <c r="L66" i="9"/>
  <c r="L63" i="9"/>
  <c r="N53" i="9"/>
  <c r="K68" i="11" l="1"/>
  <c r="G45" i="11"/>
  <c r="N61" i="9"/>
  <c r="M63" i="9"/>
  <c r="M66" i="9"/>
  <c r="O61" i="9" l="1"/>
  <c r="N63" i="9"/>
  <c r="N66" i="9"/>
  <c r="P61" i="9" l="1"/>
  <c r="O66" i="9"/>
  <c r="O63" i="9"/>
  <c r="Q61" i="9" l="1"/>
  <c r="P63" i="9"/>
  <c r="P66" i="9"/>
  <c r="R61" i="9" l="1"/>
  <c r="Q63" i="9"/>
  <c r="Q66" i="9"/>
  <c r="R63" i="9" l="1"/>
  <c r="S63" i="9" s="1"/>
  <c r="R66" i="9"/>
  <c r="S66" i="9" s="1"/>
  <c r="H95" i="7" l="1"/>
  <c r="G95" i="7"/>
  <c r="F95" i="7"/>
  <c r="E95" i="7"/>
  <c r="D95" i="7"/>
  <c r="H94" i="7"/>
  <c r="G94" i="7"/>
  <c r="F94" i="7"/>
  <c r="E94" i="7"/>
  <c r="D94" i="7"/>
  <c r="D118" i="7"/>
  <c r="D117" i="7"/>
  <c r="D112" i="7"/>
  <c r="F118" i="7" s="1"/>
  <c r="D107" i="7"/>
  <c r="F117" i="7" s="1"/>
  <c r="F119" i="7" s="1"/>
  <c r="D119" i="7" l="1"/>
  <c r="E117" i="7" s="1"/>
  <c r="G117" i="7" l="1"/>
  <c r="E118" i="7"/>
  <c r="G118" i="7" s="1"/>
  <c r="E119" i="7" l="1"/>
  <c r="G119" i="7"/>
  <c r="F142" i="6" l="1"/>
  <c r="E142" i="6"/>
  <c r="D142" i="6"/>
  <c r="C142" i="6"/>
  <c r="F141" i="6"/>
  <c r="E141" i="6"/>
  <c r="D141" i="6"/>
  <c r="F140" i="6"/>
  <c r="E140" i="6"/>
  <c r="D140" i="6"/>
  <c r="F139" i="6"/>
  <c r="E139" i="6"/>
  <c r="D139" i="6"/>
  <c r="F138" i="6"/>
  <c r="E138" i="6"/>
  <c r="D138" i="6"/>
  <c r="F137" i="6"/>
  <c r="E137" i="6"/>
  <c r="D137" i="6"/>
  <c r="F136" i="6"/>
  <c r="E136" i="6"/>
  <c r="D136" i="6"/>
  <c r="C141" i="6"/>
  <c r="C140" i="6"/>
  <c r="C139" i="6"/>
  <c r="C138" i="6"/>
  <c r="C137" i="6"/>
  <c r="C136" i="6"/>
  <c r="F132" i="6"/>
  <c r="E132" i="6"/>
  <c r="D132" i="6"/>
  <c r="C132" i="6"/>
  <c r="F131" i="6"/>
  <c r="E131" i="6"/>
  <c r="D131" i="6"/>
  <c r="C131" i="6"/>
  <c r="F130" i="6"/>
  <c r="E130" i="6"/>
  <c r="D130" i="6"/>
  <c r="C130" i="6"/>
  <c r="F129" i="6"/>
  <c r="E129" i="6"/>
  <c r="D129" i="6"/>
  <c r="C129" i="6"/>
  <c r="F128" i="6"/>
  <c r="E128" i="6"/>
  <c r="D128" i="6"/>
  <c r="C128" i="6"/>
  <c r="F127" i="6"/>
  <c r="E127" i="6"/>
  <c r="D127" i="6"/>
  <c r="C127" i="6"/>
  <c r="F126" i="6"/>
  <c r="E126" i="6"/>
  <c r="D126" i="6"/>
  <c r="C126" i="6"/>
  <c r="F120" i="6"/>
  <c r="E120" i="6"/>
  <c r="F119" i="6"/>
  <c r="E119" i="6"/>
  <c r="F118" i="6"/>
  <c r="E118" i="6"/>
  <c r="F117" i="6"/>
  <c r="E117" i="6"/>
  <c r="F116" i="6"/>
  <c r="E116" i="6"/>
  <c r="F115" i="6"/>
  <c r="E115" i="6"/>
  <c r="D120" i="6"/>
  <c r="D119" i="6"/>
  <c r="D118" i="6"/>
  <c r="D117" i="6"/>
  <c r="D116" i="6"/>
  <c r="D115" i="6"/>
  <c r="F114" i="6"/>
  <c r="E114" i="6"/>
  <c r="I105" i="6"/>
  <c r="O105" i="6" s="1"/>
  <c r="I104" i="6"/>
  <c r="O104" i="6" s="1"/>
  <c r="I103" i="6"/>
  <c r="M103" i="6" s="1"/>
  <c r="I102" i="6"/>
  <c r="O102" i="6" s="1"/>
  <c r="I101" i="6"/>
  <c r="O101" i="6" s="1"/>
  <c r="I100" i="6"/>
  <c r="M100" i="6" s="1"/>
  <c r="E80" i="6"/>
  <c r="E81" i="6" s="1"/>
  <c r="E82" i="6" s="1"/>
  <c r="E83" i="6" s="1"/>
  <c r="E84" i="6" s="1"/>
  <c r="E85" i="6" s="1"/>
  <c r="E86" i="6" s="1"/>
  <c r="E87" i="6" s="1"/>
  <c r="E88" i="6" s="1"/>
  <c r="E89" i="6" s="1"/>
  <c r="E90" i="6" s="1"/>
  <c r="E66" i="6"/>
  <c r="F66" i="6" s="1"/>
  <c r="E65" i="6"/>
  <c r="F65" i="6" s="1"/>
  <c r="E64" i="6"/>
  <c r="F64" i="6" s="1"/>
  <c r="E63" i="6"/>
  <c r="F63" i="6" s="1"/>
  <c r="E62" i="6"/>
  <c r="F62" i="6" s="1"/>
  <c r="E61" i="6"/>
  <c r="F61" i="6" s="1"/>
  <c r="E60" i="6"/>
  <c r="F60" i="6" s="1"/>
  <c r="E59" i="6"/>
  <c r="E58" i="6"/>
  <c r="F58" i="6" s="1"/>
  <c r="E57" i="6"/>
  <c r="F57" i="6" s="1"/>
  <c r="E56" i="6"/>
  <c r="F56" i="6" s="1"/>
  <c r="D67" i="6"/>
  <c r="E47" i="6"/>
  <c r="F47" i="6" s="1"/>
  <c r="E46" i="6"/>
  <c r="F46" i="6" s="1"/>
  <c r="E45" i="6"/>
  <c r="F45" i="6" s="1"/>
  <c r="E44" i="6"/>
  <c r="F44" i="6" s="1"/>
  <c r="E43" i="6"/>
  <c r="F43" i="6" s="1"/>
  <c r="E42" i="6"/>
  <c r="F42" i="6" s="1"/>
  <c r="E41" i="6"/>
  <c r="F41" i="6" s="1"/>
  <c r="E40" i="6"/>
  <c r="F40" i="6" s="1"/>
  <c r="E39" i="6"/>
  <c r="F39" i="6" s="1"/>
  <c r="E38" i="6"/>
  <c r="F38" i="6" s="1"/>
  <c r="E37" i="6"/>
  <c r="D48" i="6"/>
  <c r="H83" i="7"/>
  <c r="G83" i="7"/>
  <c r="F83" i="7"/>
  <c r="E83" i="7"/>
  <c r="D85" i="7"/>
  <c r="D83" i="7"/>
  <c r="H82" i="7"/>
  <c r="G82" i="7"/>
  <c r="F82" i="7"/>
  <c r="E82" i="7"/>
  <c r="D82" i="7"/>
  <c r="D77" i="7"/>
  <c r="D76" i="7"/>
  <c r="H66" i="7"/>
  <c r="G66" i="7"/>
  <c r="F66" i="7"/>
  <c r="E66" i="7"/>
  <c r="D66" i="7"/>
  <c r="D65" i="7"/>
  <c r="D71" i="7" s="1"/>
  <c r="D61" i="7"/>
  <c r="E26" i="7"/>
  <c r="F26" i="7" s="1"/>
  <c r="G26" i="7" s="1"/>
  <c r="H26" i="7" s="1"/>
  <c r="E84" i="7" l="1"/>
  <c r="D78" i="7"/>
  <c r="D55" i="7" s="1"/>
  <c r="G84" i="7"/>
  <c r="D84" i="7"/>
  <c r="D86" i="7" s="1"/>
  <c r="D56" i="7" s="1"/>
  <c r="N100" i="6"/>
  <c r="O100" i="6"/>
  <c r="L100" i="6"/>
  <c r="L101" i="6"/>
  <c r="M105" i="6"/>
  <c r="N105" i="6"/>
  <c r="L105" i="6"/>
  <c r="N102" i="6"/>
  <c r="N103" i="6"/>
  <c r="O103" i="6"/>
  <c r="L104" i="6"/>
  <c r="M101" i="6"/>
  <c r="M104" i="6"/>
  <c r="L102" i="6"/>
  <c r="N101" i="6"/>
  <c r="N104" i="6"/>
  <c r="M102" i="6"/>
  <c r="L103" i="6"/>
  <c r="E67" i="6"/>
  <c r="F59" i="6"/>
  <c r="F67" i="6" s="1"/>
  <c r="E48" i="6"/>
  <c r="F37" i="6"/>
  <c r="F48" i="6" s="1"/>
  <c r="H84" i="7"/>
  <c r="F84" i="7"/>
  <c r="D67" i="7"/>
  <c r="D53" i="7" s="1"/>
  <c r="O106" i="6" l="1"/>
  <c r="M106" i="6"/>
  <c r="N106" i="6"/>
  <c r="L106" i="6"/>
  <c r="D73" i="6"/>
  <c r="E30" i="7" l="1"/>
  <c r="E17" i="7"/>
  <c r="G9" i="7"/>
  <c r="G11" i="7" s="1"/>
  <c r="F9" i="7"/>
  <c r="F11" i="7" s="1"/>
  <c r="E9" i="7"/>
  <c r="E11" i="7" s="1"/>
  <c r="D9" i="7"/>
  <c r="D11" i="7" s="1"/>
  <c r="H9" i="7"/>
  <c r="H11" i="7" s="1"/>
  <c r="I55" i="5"/>
  <c r="H55" i="5"/>
  <c r="G55" i="5"/>
  <c r="F55" i="5"/>
  <c r="E55" i="5"/>
  <c r="D55" i="5"/>
  <c r="I54" i="5"/>
  <c r="H54" i="5"/>
  <c r="G54" i="5"/>
  <c r="F54" i="5"/>
  <c r="E54" i="5"/>
  <c r="D54" i="5"/>
  <c r="I53" i="5"/>
  <c r="H53" i="5"/>
  <c r="G53" i="5"/>
  <c r="F53" i="5"/>
  <c r="E53" i="5"/>
  <c r="D53" i="5"/>
  <c r="I90" i="2"/>
  <c r="H90" i="2"/>
  <c r="G90" i="2"/>
  <c r="F90" i="2"/>
  <c r="E90" i="2"/>
  <c r="D90" i="2"/>
  <c r="I43" i="4"/>
  <c r="H43" i="4"/>
  <c r="G43" i="4"/>
  <c r="F43" i="4"/>
  <c r="E43" i="4"/>
  <c r="D43" i="4"/>
  <c r="I42" i="4"/>
  <c r="H42" i="4"/>
  <c r="G42" i="4"/>
  <c r="F42" i="4"/>
  <c r="E42" i="4"/>
  <c r="D42" i="4"/>
  <c r="I198" i="2"/>
  <c r="H198" i="2"/>
  <c r="G198" i="2"/>
  <c r="F198" i="2"/>
  <c r="E198" i="2"/>
  <c r="I197" i="2"/>
  <c r="H197" i="2"/>
  <c r="G197" i="2"/>
  <c r="F197" i="2"/>
  <c r="E197" i="2"/>
  <c r="D197" i="2"/>
  <c r="D198" i="2"/>
  <c r="E77" i="7" l="1"/>
  <c r="E85" i="7"/>
  <c r="E86" i="7" s="1"/>
  <c r="E56" i="7" s="1"/>
  <c r="F17" i="7"/>
  <c r="E76" i="7"/>
  <c r="H14" i="7"/>
  <c r="H72" i="7"/>
  <c r="E14" i="7"/>
  <c r="E72" i="7"/>
  <c r="D14" i="7"/>
  <c r="D72" i="7"/>
  <c r="D73" i="7" s="1"/>
  <c r="D54" i="7" s="1"/>
  <c r="G14" i="7"/>
  <c r="G72" i="7"/>
  <c r="F14" i="7"/>
  <c r="F72" i="7"/>
  <c r="F30" i="7"/>
  <c r="E61" i="7"/>
  <c r="E65" i="7"/>
  <c r="H15" i="3"/>
  <c r="I34" i="3"/>
  <c r="H34" i="3"/>
  <c r="G34" i="3"/>
  <c r="F34" i="3"/>
  <c r="E34" i="3"/>
  <c r="D34" i="3"/>
  <c r="D24" i="4" s="1"/>
  <c r="I15" i="3"/>
  <c r="G15" i="3"/>
  <c r="F15" i="3"/>
  <c r="E15" i="3"/>
  <c r="D15" i="3"/>
  <c r="G183" i="2"/>
  <c r="H183" i="2" s="1"/>
  <c r="I183" i="2" s="1"/>
  <c r="E205" i="2"/>
  <c r="D205" i="2"/>
  <c r="E204" i="2"/>
  <c r="D204" i="2"/>
  <c r="I201" i="2"/>
  <c r="I31" i="4" s="1"/>
  <c r="H201" i="2"/>
  <c r="H31" i="4" s="1"/>
  <c r="G201" i="2"/>
  <c r="G31" i="4" s="1"/>
  <c r="F201" i="2"/>
  <c r="F31" i="4" s="1"/>
  <c r="E201" i="2"/>
  <c r="E31" i="4" s="1"/>
  <c r="D201" i="2"/>
  <c r="D31" i="4" s="1"/>
  <c r="D41" i="4"/>
  <c r="I204" i="2"/>
  <c r="I163" i="2"/>
  <c r="I200" i="2" s="1"/>
  <c r="I32" i="4" s="1"/>
  <c r="H163" i="2"/>
  <c r="H200" i="2" s="1"/>
  <c r="G163" i="2"/>
  <c r="G200" i="2" s="1"/>
  <c r="G32" i="4" s="1"/>
  <c r="F163" i="2"/>
  <c r="F200" i="2" s="1"/>
  <c r="F32" i="4" s="1"/>
  <c r="E163" i="2"/>
  <c r="E200" i="2" s="1"/>
  <c r="E32" i="4" s="1"/>
  <c r="D163" i="2"/>
  <c r="D200" i="2" s="1"/>
  <c r="D32" i="4" s="1"/>
  <c r="H160" i="2"/>
  <c r="H164" i="2" s="1"/>
  <c r="I160" i="2"/>
  <c r="I164" i="2" s="1"/>
  <c r="G160" i="2"/>
  <c r="G164" i="2" s="1"/>
  <c r="F160" i="2"/>
  <c r="F164" i="2" s="1"/>
  <c r="E160" i="2"/>
  <c r="E164" i="2" s="1"/>
  <c r="D160" i="2"/>
  <c r="I159" i="2"/>
  <c r="I199" i="2" s="1"/>
  <c r="I30" i="4" s="1"/>
  <c r="H159" i="2"/>
  <c r="H199" i="2" s="1"/>
  <c r="H30" i="4" s="1"/>
  <c r="G159" i="2"/>
  <c r="G199" i="2" s="1"/>
  <c r="G30" i="4" s="1"/>
  <c r="F159" i="2"/>
  <c r="F199" i="2" s="1"/>
  <c r="F30" i="4" s="1"/>
  <c r="E159" i="2"/>
  <c r="E199" i="2" s="1"/>
  <c r="E30" i="4" s="1"/>
  <c r="D159" i="2"/>
  <c r="D199" i="2" s="1"/>
  <c r="D30" i="4" s="1"/>
  <c r="D154" i="2"/>
  <c r="E151" i="2" s="1"/>
  <c r="E154" i="2" s="1"/>
  <c r="F151" i="2" s="1"/>
  <c r="F154" i="2" s="1"/>
  <c r="F45" i="2" s="1"/>
  <c r="E144" i="2"/>
  <c r="F144" i="2" s="1"/>
  <c r="G144" i="2" s="1"/>
  <c r="H144" i="2" s="1"/>
  <c r="I144" i="2" s="1"/>
  <c r="I140" i="2"/>
  <c r="H140" i="2"/>
  <c r="G140" i="2"/>
  <c r="F140" i="2"/>
  <c r="E140" i="2"/>
  <c r="D139" i="2"/>
  <c r="D141" i="2" s="1"/>
  <c r="E46" i="2"/>
  <c r="F46" i="2" s="1"/>
  <c r="G46" i="2" s="1"/>
  <c r="H46" i="2" s="1"/>
  <c r="I46" i="2" s="1"/>
  <c r="D125" i="2"/>
  <c r="D126" i="2" s="1"/>
  <c r="E117" i="2"/>
  <c r="F117" i="2" s="1"/>
  <c r="G117" i="2" s="1"/>
  <c r="H117" i="2" s="1"/>
  <c r="I117" i="2" s="1"/>
  <c r="I41" i="4" s="1"/>
  <c r="D118" i="2"/>
  <c r="D119" i="2" s="1"/>
  <c r="D107" i="2"/>
  <c r="D108" i="2" s="1"/>
  <c r="D98" i="2"/>
  <c r="D99" i="2" s="1"/>
  <c r="D80" i="2"/>
  <c r="D78" i="2"/>
  <c r="D77" i="2"/>
  <c r="D71" i="2"/>
  <c r="D69" i="2"/>
  <c r="D68" i="2"/>
  <c r="D67" i="2"/>
  <c r="E61" i="2"/>
  <c r="F61" i="2" s="1"/>
  <c r="G61" i="2" s="1"/>
  <c r="H61" i="2" s="1"/>
  <c r="I61" i="2" s="1"/>
  <c r="I80" i="2" s="1"/>
  <c r="E60" i="2"/>
  <c r="F60" i="2" s="1"/>
  <c r="G60" i="2" s="1"/>
  <c r="G77" i="2" s="1"/>
  <c r="D57" i="2"/>
  <c r="E56" i="2"/>
  <c r="F56" i="2" s="1"/>
  <c r="G56" i="2" s="1"/>
  <c r="H56" i="2" s="1"/>
  <c r="I56" i="2" s="1"/>
  <c r="I71" i="2" s="1"/>
  <c r="E55" i="2"/>
  <c r="E38" i="2"/>
  <c r="F38" i="2" s="1"/>
  <c r="G38" i="2" s="1"/>
  <c r="H38" i="2" s="1"/>
  <c r="I38" i="2" s="1"/>
  <c r="I78" i="2" s="1"/>
  <c r="E33" i="2"/>
  <c r="F33" i="2" s="1"/>
  <c r="G33" i="2" s="1"/>
  <c r="H33" i="2" s="1"/>
  <c r="I33" i="2" s="1"/>
  <c r="I69" i="2" s="1"/>
  <c r="D62" i="2"/>
  <c r="D40" i="2"/>
  <c r="D6" i="2" s="1"/>
  <c r="E39" i="2"/>
  <c r="F39" i="2" s="1"/>
  <c r="G39" i="2" s="1"/>
  <c r="H39" i="2" s="1"/>
  <c r="I39" i="2" s="1"/>
  <c r="E34" i="2"/>
  <c r="F34" i="2" s="1"/>
  <c r="G34" i="2" s="1"/>
  <c r="H34" i="2" s="1"/>
  <c r="I34" i="2" s="1"/>
  <c r="D35" i="2"/>
  <c r="D5" i="2" s="1"/>
  <c r="D15" i="7" l="1"/>
  <c r="D93" i="7"/>
  <c r="D96" i="7" s="1"/>
  <c r="E15" i="7"/>
  <c r="E16" i="7" s="1"/>
  <c r="E60" i="7" s="1"/>
  <c r="E93" i="7"/>
  <c r="E96" i="7" s="1"/>
  <c r="H15" i="7"/>
  <c r="H16" i="7" s="1"/>
  <c r="H60" i="7" s="1"/>
  <c r="H93" i="7"/>
  <c r="H96" i="7" s="1"/>
  <c r="G15" i="7"/>
  <c r="G16" i="7" s="1"/>
  <c r="G60" i="7" s="1"/>
  <c r="G93" i="7"/>
  <c r="G96" i="7" s="1"/>
  <c r="F15" i="7"/>
  <c r="F16" i="7" s="1"/>
  <c r="F60" i="7" s="1"/>
  <c r="F62" i="7" s="1"/>
  <c r="F52" i="7" s="1"/>
  <c r="F93" i="7"/>
  <c r="F96" i="7" s="1"/>
  <c r="E78" i="7"/>
  <c r="E55" i="7" s="1"/>
  <c r="F77" i="7"/>
  <c r="F85" i="7"/>
  <c r="F86" i="7" s="1"/>
  <c r="F56" i="7" s="1"/>
  <c r="D16" i="7"/>
  <c r="D60" i="7" s="1"/>
  <c r="D62" i="7" s="1"/>
  <c r="D52" i="7" s="1"/>
  <c r="E62" i="7"/>
  <c r="E52" i="7" s="1"/>
  <c r="G17" i="7"/>
  <c r="F76" i="7"/>
  <c r="G30" i="7"/>
  <c r="F61" i="7"/>
  <c r="F65" i="7"/>
  <c r="G18" i="7"/>
  <c r="E67" i="7"/>
  <c r="E53" i="7" s="1"/>
  <c r="E71" i="7"/>
  <c r="E73" i="7" s="1"/>
  <c r="E54" i="7" s="1"/>
  <c r="F24" i="4"/>
  <c r="I22" i="4"/>
  <c r="G22" i="4"/>
  <c r="G24" i="4"/>
  <c r="F22" i="4"/>
  <c r="H24" i="4"/>
  <c r="I24" i="4"/>
  <c r="D22" i="4"/>
  <c r="E22" i="4"/>
  <c r="H22" i="4"/>
  <c r="E24" i="4"/>
  <c r="I205" i="2"/>
  <c r="F205" i="2"/>
  <c r="G205" i="2"/>
  <c r="H205" i="2"/>
  <c r="F204" i="2"/>
  <c r="G204" i="2"/>
  <c r="H204" i="2"/>
  <c r="E41" i="4"/>
  <c r="F41" i="4"/>
  <c r="G41" i="4"/>
  <c r="H41" i="4"/>
  <c r="D28" i="3"/>
  <c r="D29" i="3" s="1"/>
  <c r="F165" i="2"/>
  <c r="F49" i="2" s="1"/>
  <c r="F17" i="4" s="1"/>
  <c r="F34" i="4" s="1"/>
  <c r="H165" i="2"/>
  <c r="H49" i="2" s="1"/>
  <c r="H17" i="4" s="1"/>
  <c r="H34" i="4" s="1"/>
  <c r="H32" i="4" s="1"/>
  <c r="I165" i="2"/>
  <c r="I49" i="2" s="1"/>
  <c r="I17" i="4" s="1"/>
  <c r="I34" i="4" s="1"/>
  <c r="E165" i="2"/>
  <c r="E49" i="2" s="1"/>
  <c r="E17" i="4" s="1"/>
  <c r="E34" i="4" s="1"/>
  <c r="G165" i="2"/>
  <c r="G49" i="2" s="1"/>
  <c r="G17" i="4" s="1"/>
  <c r="G34" i="4" s="1"/>
  <c r="D161" i="2"/>
  <c r="D164" i="2"/>
  <c r="D165" i="2" s="1"/>
  <c r="D49" i="2" s="1"/>
  <c r="D17" i="4" s="1"/>
  <c r="D34" i="4" s="1"/>
  <c r="D45" i="2"/>
  <c r="D47" i="2" s="1"/>
  <c r="E45" i="2"/>
  <c r="E47" i="2" s="1"/>
  <c r="G151" i="2"/>
  <c r="G154" i="2" s="1"/>
  <c r="G45" i="2" s="1"/>
  <c r="D79" i="2"/>
  <c r="D81" i="2" s="1"/>
  <c r="E57" i="2"/>
  <c r="E139" i="2"/>
  <c r="E141" i="2" s="1"/>
  <c r="E143" i="2" s="1"/>
  <c r="D145" i="2"/>
  <c r="D26" i="2" s="1"/>
  <c r="D143" i="2"/>
  <c r="D128" i="2"/>
  <c r="D21" i="2" s="1"/>
  <c r="D109" i="2"/>
  <c r="E104" i="2" s="1"/>
  <c r="E107" i="2" s="1"/>
  <c r="E108" i="2" s="1"/>
  <c r="E115" i="2"/>
  <c r="E118" i="2" s="1"/>
  <c r="D70" i="2"/>
  <c r="D72" i="2" s="1"/>
  <c r="D20" i="2"/>
  <c r="D13" i="1" s="1"/>
  <c r="D12" i="4" s="1"/>
  <c r="D100" i="2"/>
  <c r="E122" i="2"/>
  <c r="E125" i="2" s="1"/>
  <c r="E126" i="2" s="1"/>
  <c r="E69" i="2"/>
  <c r="F69" i="2"/>
  <c r="E71" i="2"/>
  <c r="D85" i="2"/>
  <c r="D86" i="2"/>
  <c r="F71" i="2"/>
  <c r="G71" i="2"/>
  <c r="H71" i="2"/>
  <c r="E77" i="2"/>
  <c r="F77" i="2"/>
  <c r="F55" i="2"/>
  <c r="G55" i="2" s="1"/>
  <c r="H55" i="2" s="1"/>
  <c r="I55" i="2" s="1"/>
  <c r="E80" i="2"/>
  <c r="G69" i="2"/>
  <c r="F80" i="2"/>
  <c r="H69" i="2"/>
  <c r="G80" i="2"/>
  <c r="E78" i="2"/>
  <c r="H80" i="2"/>
  <c r="F78" i="2"/>
  <c r="D12" i="2"/>
  <c r="D170" i="2" s="1"/>
  <c r="G78" i="2"/>
  <c r="H78" i="2"/>
  <c r="E68" i="2"/>
  <c r="E62" i="2"/>
  <c r="H60" i="2"/>
  <c r="H77" i="2" s="1"/>
  <c r="G62" i="2"/>
  <c r="F62" i="2"/>
  <c r="E40" i="2"/>
  <c r="F40" i="2"/>
  <c r="D7" i="2"/>
  <c r="F35" i="2"/>
  <c r="E35" i="2"/>
  <c r="G35" i="2"/>
  <c r="F18" i="7" l="1"/>
  <c r="E18" i="7"/>
  <c r="F78" i="7"/>
  <c r="F55" i="7" s="1"/>
  <c r="G77" i="7"/>
  <c r="G85" i="7"/>
  <c r="G86" i="7" s="1"/>
  <c r="G56" i="7" s="1"/>
  <c r="D18" i="7"/>
  <c r="H17" i="7"/>
  <c r="G76" i="7"/>
  <c r="G78" i="7" s="1"/>
  <c r="G55" i="7" s="1"/>
  <c r="F67" i="7"/>
  <c r="F53" i="7" s="1"/>
  <c r="F71" i="7"/>
  <c r="F73" i="7" s="1"/>
  <c r="F54" i="7" s="1"/>
  <c r="H30" i="7"/>
  <c r="G61" i="7"/>
  <c r="G62" i="7" s="1"/>
  <c r="G52" i="7" s="1"/>
  <c r="G65" i="7"/>
  <c r="D176" i="2"/>
  <c r="D6" i="1"/>
  <c r="E206" i="2"/>
  <c r="E16" i="4"/>
  <c r="E33" i="4" s="1"/>
  <c r="E36" i="4" s="1"/>
  <c r="D210" i="2"/>
  <c r="D14" i="1"/>
  <c r="D15" i="4" s="1"/>
  <c r="D39" i="4" s="1"/>
  <c r="D206" i="2"/>
  <c r="D16" i="4"/>
  <c r="D207" i="2"/>
  <c r="D18" i="1"/>
  <c r="D40" i="4" s="1"/>
  <c r="E76" i="2"/>
  <c r="D171" i="2"/>
  <c r="D172" i="2" s="1"/>
  <c r="D182" i="2" s="1"/>
  <c r="D184" i="2" s="1"/>
  <c r="D177" i="2"/>
  <c r="D202" i="2" s="1"/>
  <c r="D178" i="2"/>
  <c r="D189" i="2" s="1"/>
  <c r="D191" i="2" s="1"/>
  <c r="D23" i="3"/>
  <c r="D196" i="2"/>
  <c r="E23" i="3"/>
  <c r="E196" i="2"/>
  <c r="F115" i="2"/>
  <c r="F118" i="2" s="1"/>
  <c r="E28" i="3"/>
  <c r="E29" i="3" s="1"/>
  <c r="E158" i="2"/>
  <c r="E161" i="2" s="1"/>
  <c r="D8" i="3"/>
  <c r="E95" i="2"/>
  <c r="E98" i="2" s="1"/>
  <c r="E99" i="2" s="1"/>
  <c r="E100" i="2" s="1"/>
  <c r="D7" i="3"/>
  <c r="E50" i="2"/>
  <c r="E8" i="2" s="1"/>
  <c r="E7" i="1" s="1"/>
  <c r="D50" i="2"/>
  <c r="D8" i="2" s="1"/>
  <c r="D7" i="1" s="1"/>
  <c r="D8" i="1" s="1"/>
  <c r="H151" i="2"/>
  <c r="H154" i="2" s="1"/>
  <c r="H45" i="2" s="1"/>
  <c r="E12" i="2"/>
  <c r="E170" i="2" s="1"/>
  <c r="E171" i="2" s="1"/>
  <c r="E172" i="2" s="1"/>
  <c r="E67" i="2"/>
  <c r="E70" i="2" s="1"/>
  <c r="E145" i="2"/>
  <c r="E26" i="2" s="1"/>
  <c r="F139" i="2"/>
  <c r="F141" i="2" s="1"/>
  <c r="F143" i="2" s="1"/>
  <c r="E109" i="2"/>
  <c r="F104" i="2" s="1"/>
  <c r="F107" i="2" s="1"/>
  <c r="F108" i="2" s="1"/>
  <c r="F122" i="2"/>
  <c r="F125" i="2" s="1"/>
  <c r="F126" i="2" s="1"/>
  <c r="E119" i="2"/>
  <c r="E128" i="2" s="1"/>
  <c r="E21" i="2" s="1"/>
  <c r="D87" i="2"/>
  <c r="D17" i="2" s="1"/>
  <c r="F5" i="2"/>
  <c r="F85" i="2"/>
  <c r="D13" i="2"/>
  <c r="F6" i="2"/>
  <c r="F86" i="2"/>
  <c r="E6" i="2"/>
  <c r="E86" i="2"/>
  <c r="E5" i="2"/>
  <c r="E85" i="2"/>
  <c r="G5" i="2"/>
  <c r="G85" i="2"/>
  <c r="F68" i="2"/>
  <c r="E79" i="2"/>
  <c r="F76" i="2" s="1"/>
  <c r="F79" i="2" s="1"/>
  <c r="G76" i="2" s="1"/>
  <c r="G79" i="2" s="1"/>
  <c r="H76" i="2" s="1"/>
  <c r="H79" i="2" s="1"/>
  <c r="F57" i="2"/>
  <c r="G68" i="2"/>
  <c r="I60" i="2"/>
  <c r="H62" i="2"/>
  <c r="F47" i="2"/>
  <c r="G40" i="2"/>
  <c r="I35" i="2"/>
  <c r="H35" i="2"/>
  <c r="H77" i="7" l="1"/>
  <c r="H85" i="7"/>
  <c r="H86" i="7" s="1"/>
  <c r="H56" i="7" s="1"/>
  <c r="H76" i="7"/>
  <c r="H18" i="7"/>
  <c r="H61" i="7"/>
  <c r="H62" i="7" s="1"/>
  <c r="H52" i="7" s="1"/>
  <c r="H65" i="7"/>
  <c r="G67" i="7"/>
  <c r="G53" i="7" s="1"/>
  <c r="G71" i="7"/>
  <c r="G73" i="7" s="1"/>
  <c r="G54" i="7" s="1"/>
  <c r="D45" i="4"/>
  <c r="E7" i="3"/>
  <c r="F95" i="2"/>
  <c r="F98" i="2" s="1"/>
  <c r="F99" i="2" s="1"/>
  <c r="F20" i="2" s="1"/>
  <c r="F13" i="1" s="1"/>
  <c r="F12" i="4" s="1"/>
  <c r="D209" i="2"/>
  <c r="D11" i="1"/>
  <c r="F206" i="2"/>
  <c r="F16" i="4"/>
  <c r="F33" i="4" s="1"/>
  <c r="F36" i="4" s="1"/>
  <c r="E207" i="2"/>
  <c r="E18" i="1"/>
  <c r="E40" i="4" s="1"/>
  <c r="D33" i="4"/>
  <c r="D36" i="4" s="1"/>
  <c r="D9" i="2"/>
  <c r="E210" i="2"/>
  <c r="E14" i="1"/>
  <c r="E15" i="4" s="1"/>
  <c r="E39" i="4" s="1"/>
  <c r="D203" i="2"/>
  <c r="E181" i="2"/>
  <c r="D33" i="3"/>
  <c r="D9" i="3"/>
  <c r="F12" i="2"/>
  <c r="F170" i="2" s="1"/>
  <c r="F171" i="2"/>
  <c r="F172" i="2" s="1"/>
  <c r="E182" i="2"/>
  <c r="E203" i="2"/>
  <c r="F23" i="3"/>
  <c r="F196" i="2"/>
  <c r="F28" i="3"/>
  <c r="F29" i="3" s="1"/>
  <c r="F119" i="2"/>
  <c r="F128" i="2" s="1"/>
  <c r="F21" i="2" s="1"/>
  <c r="E188" i="2"/>
  <c r="D13" i="3"/>
  <c r="G115" i="2"/>
  <c r="G118" i="2" s="1"/>
  <c r="F158" i="2"/>
  <c r="F161" i="2" s="1"/>
  <c r="E8" i="3"/>
  <c r="E9" i="3" s="1"/>
  <c r="E11" i="2"/>
  <c r="D12" i="3"/>
  <c r="F50" i="2"/>
  <c r="F8" i="2" s="1"/>
  <c r="F7" i="1" s="1"/>
  <c r="I151" i="2"/>
  <c r="I154" i="2" s="1"/>
  <c r="I45" i="2" s="1"/>
  <c r="F145" i="2"/>
  <c r="F26" i="2" s="1"/>
  <c r="G122" i="2"/>
  <c r="G125" i="2" s="1"/>
  <c r="H122" i="2" s="1"/>
  <c r="H125" i="2" s="1"/>
  <c r="E87" i="2"/>
  <c r="E17" i="2" s="1"/>
  <c r="E7" i="2"/>
  <c r="E6" i="1" s="1"/>
  <c r="E8" i="1" s="1"/>
  <c r="G139" i="2"/>
  <c r="G141" i="2" s="1"/>
  <c r="G143" i="2" s="1"/>
  <c r="F109" i="2"/>
  <c r="G104" i="2" s="1"/>
  <c r="G107" i="2" s="1"/>
  <c r="G108" i="2" s="1"/>
  <c r="E20" i="2"/>
  <c r="E13" i="1" s="1"/>
  <c r="E12" i="4" s="1"/>
  <c r="D14" i="2"/>
  <c r="F7" i="2"/>
  <c r="G6" i="2"/>
  <c r="G7" i="2" s="1"/>
  <c r="G86" i="2"/>
  <c r="G87" i="2" s="1"/>
  <c r="G17" i="2" s="1"/>
  <c r="H5" i="2"/>
  <c r="H85" i="2"/>
  <c r="I5" i="2"/>
  <c r="I85" i="2"/>
  <c r="F87" i="2"/>
  <c r="F17" i="2" s="1"/>
  <c r="I62" i="2"/>
  <c r="I77" i="2"/>
  <c r="F67" i="2"/>
  <c r="F70" i="2" s="1"/>
  <c r="E72" i="2"/>
  <c r="I76" i="2"/>
  <c r="H81" i="2"/>
  <c r="E81" i="2"/>
  <c r="F81" i="2"/>
  <c r="G81" i="2"/>
  <c r="H68" i="2"/>
  <c r="G57" i="2"/>
  <c r="G47" i="2"/>
  <c r="I40" i="2"/>
  <c r="H40" i="2"/>
  <c r="H78" i="7" l="1"/>
  <c r="H55" i="7" s="1"/>
  <c r="H71" i="7"/>
  <c r="H73" i="7" s="1"/>
  <c r="H54" i="7" s="1"/>
  <c r="H67" i="7"/>
  <c r="H53" i="7" s="1"/>
  <c r="E45" i="4"/>
  <c r="F209" i="2"/>
  <c r="F11" i="1"/>
  <c r="F210" i="2"/>
  <c r="F14" i="1"/>
  <c r="F15" i="4" s="1"/>
  <c r="F39" i="4" s="1"/>
  <c r="F207" i="2"/>
  <c r="F18" i="1"/>
  <c r="F40" i="4" s="1"/>
  <c r="D16" i="2"/>
  <c r="D18" i="2" s="1"/>
  <c r="D23" i="2" s="1"/>
  <c r="D9" i="1"/>
  <c r="D10" i="1" s="1"/>
  <c r="D12" i="1" s="1"/>
  <c r="D15" i="1" s="1"/>
  <c r="D20" i="4"/>
  <c r="G206" i="2"/>
  <c r="G16" i="4"/>
  <c r="G33" i="4" s="1"/>
  <c r="G36" i="4" s="1"/>
  <c r="G209" i="2"/>
  <c r="G11" i="1"/>
  <c r="G176" i="2"/>
  <c r="G177" i="2" s="1"/>
  <c r="G6" i="1"/>
  <c r="D21" i="4"/>
  <c r="D35" i="3"/>
  <c r="D23" i="4"/>
  <c r="E209" i="2"/>
  <c r="E11" i="1"/>
  <c r="F176" i="2"/>
  <c r="F6" i="1"/>
  <c r="F8" i="1" s="1"/>
  <c r="F177" i="2"/>
  <c r="F202" i="2" s="1"/>
  <c r="F178" i="2"/>
  <c r="F189" i="2" s="1"/>
  <c r="E184" i="2"/>
  <c r="F181" i="2" s="1"/>
  <c r="F100" i="2"/>
  <c r="G28" i="3"/>
  <c r="G29" i="3" s="1"/>
  <c r="E9" i="2"/>
  <c r="E176" i="2"/>
  <c r="G12" i="2"/>
  <c r="G170" i="2" s="1"/>
  <c r="G171" i="2"/>
  <c r="G172" i="2" s="1"/>
  <c r="G23" i="3"/>
  <c r="G196" i="2"/>
  <c r="F182" i="2"/>
  <c r="F203" i="2"/>
  <c r="G119" i="2"/>
  <c r="G158" i="2"/>
  <c r="G161" i="2" s="1"/>
  <c r="F8" i="3"/>
  <c r="H115" i="2"/>
  <c r="H118" i="2" s="1"/>
  <c r="H28" i="3" s="1"/>
  <c r="H29" i="3" s="1"/>
  <c r="G50" i="2"/>
  <c r="G8" i="2" s="1"/>
  <c r="G7" i="1" s="1"/>
  <c r="F9" i="2"/>
  <c r="G126" i="2"/>
  <c r="H139" i="2"/>
  <c r="H141" i="2" s="1"/>
  <c r="H145" i="2" s="1"/>
  <c r="H26" i="2" s="1"/>
  <c r="D132" i="2"/>
  <c r="D134" i="2" s="1"/>
  <c r="D24" i="2" s="1"/>
  <c r="D16" i="1" s="1"/>
  <c r="D26" i="4" s="1"/>
  <c r="G145" i="2"/>
  <c r="G26" i="2" s="1"/>
  <c r="G109" i="2"/>
  <c r="H104" i="2" s="1"/>
  <c r="H107" i="2" s="1"/>
  <c r="H108" i="2" s="1"/>
  <c r="H126" i="2"/>
  <c r="I122" i="2"/>
  <c r="I125" i="2" s="1"/>
  <c r="I126" i="2" s="1"/>
  <c r="I6" i="2"/>
  <c r="I7" i="2" s="1"/>
  <c r="I86" i="2"/>
  <c r="I87" i="2" s="1"/>
  <c r="I17" i="2" s="1"/>
  <c r="I79" i="2"/>
  <c r="I81" i="2" s="1"/>
  <c r="H6" i="2"/>
  <c r="H7" i="2" s="1"/>
  <c r="H86" i="2"/>
  <c r="H87" i="2" s="1"/>
  <c r="H17" i="2" s="1"/>
  <c r="E13" i="2"/>
  <c r="E12" i="3" s="1"/>
  <c r="E21" i="4" s="1"/>
  <c r="G67" i="2"/>
  <c r="G70" i="2" s="1"/>
  <c r="F72" i="2"/>
  <c r="F13" i="2" s="1"/>
  <c r="H57" i="2"/>
  <c r="I47" i="2"/>
  <c r="H47" i="2"/>
  <c r="F7" i="3" l="1"/>
  <c r="F9" i="3" s="1"/>
  <c r="G95" i="2"/>
  <c r="G98" i="2" s="1"/>
  <c r="F45" i="4"/>
  <c r="G202" i="2"/>
  <c r="G178" i="2"/>
  <c r="G189" i="2" s="1"/>
  <c r="H207" i="2"/>
  <c r="H18" i="1"/>
  <c r="H40" i="4" s="1"/>
  <c r="H209" i="2"/>
  <c r="H11" i="1"/>
  <c r="I209" i="2"/>
  <c r="I11" i="1"/>
  <c r="D17" i="1"/>
  <c r="D19" i="1" s="1"/>
  <c r="D9" i="4"/>
  <c r="D27" i="4" s="1"/>
  <c r="D46" i="4" s="1"/>
  <c r="D48" i="4" s="1"/>
  <c r="H176" i="2"/>
  <c r="H6" i="1"/>
  <c r="G9" i="2"/>
  <c r="G8" i="1"/>
  <c r="I176" i="2"/>
  <c r="I6" i="1"/>
  <c r="H206" i="2"/>
  <c r="H16" i="4"/>
  <c r="H33" i="4" s="1"/>
  <c r="H36" i="4" s="1"/>
  <c r="I206" i="2"/>
  <c r="I16" i="4"/>
  <c r="I33" i="4" s="1"/>
  <c r="I36" i="4" s="1"/>
  <c r="G207" i="2"/>
  <c r="G18" i="1"/>
  <c r="G40" i="4" s="1"/>
  <c r="E33" i="3"/>
  <c r="E177" i="2"/>
  <c r="E202" i="2" s="1"/>
  <c r="E178" i="2"/>
  <c r="E189" i="2" s="1"/>
  <c r="E191" i="2" s="1"/>
  <c r="H177" i="2"/>
  <c r="H178" i="2" s="1"/>
  <c r="H189" i="2" s="1"/>
  <c r="D25" i="2"/>
  <c r="D27" i="2" s="1"/>
  <c r="D208" i="2"/>
  <c r="D212" i="2" s="1"/>
  <c r="D14" i="3" s="1"/>
  <c r="I115" i="2"/>
  <c r="I118" i="2" s="1"/>
  <c r="I119" i="2" s="1"/>
  <c r="I128" i="2" s="1"/>
  <c r="I21" i="2" s="1"/>
  <c r="H12" i="2"/>
  <c r="H170" i="2" s="1"/>
  <c r="H171" i="2"/>
  <c r="H172" i="2" s="1"/>
  <c r="F184" i="2"/>
  <c r="G203" i="2"/>
  <c r="G182" i="2"/>
  <c r="H158" i="2"/>
  <c r="H161" i="2" s="1"/>
  <c r="G8" i="3"/>
  <c r="G128" i="2"/>
  <c r="G21" i="2" s="1"/>
  <c r="G11" i="2"/>
  <c r="F12" i="3"/>
  <c r="F21" i="4" s="1"/>
  <c r="H119" i="2"/>
  <c r="H128" i="2" s="1"/>
  <c r="H21" i="2" s="1"/>
  <c r="H50" i="2"/>
  <c r="H8" i="2" s="1"/>
  <c r="H7" i="1" s="1"/>
  <c r="I50" i="2"/>
  <c r="I8" i="2" s="1"/>
  <c r="I7" i="1" s="1"/>
  <c r="I139" i="2"/>
  <c r="I141" i="2" s="1"/>
  <c r="I143" i="2" s="1"/>
  <c r="H143" i="2"/>
  <c r="H109" i="2"/>
  <c r="I104" i="2" s="1"/>
  <c r="I107" i="2" s="1"/>
  <c r="I108" i="2" s="1"/>
  <c r="F11" i="2"/>
  <c r="F14" i="2" s="1"/>
  <c r="E14" i="2"/>
  <c r="H67" i="2"/>
  <c r="H70" i="2" s="1"/>
  <c r="G72" i="2"/>
  <c r="G13" i="2" s="1"/>
  <c r="I57" i="2"/>
  <c r="I68" i="2"/>
  <c r="I8" i="1" l="1"/>
  <c r="D16" i="3"/>
  <c r="D18" i="3" s="1"/>
  <c r="D50" i="4"/>
  <c r="D51" i="4" s="1"/>
  <c r="E47" i="4"/>
  <c r="G99" i="2"/>
  <c r="G20" i="2" s="1"/>
  <c r="G13" i="1" s="1"/>
  <c r="G12" i="4" s="1"/>
  <c r="H202" i="2"/>
  <c r="H9" i="2"/>
  <c r="E16" i="2"/>
  <c r="E18" i="2" s="1"/>
  <c r="E23" i="2" s="1"/>
  <c r="E132" i="2" s="1"/>
  <c r="E134" i="2" s="1"/>
  <c r="E24" i="2" s="1"/>
  <c r="E16" i="1" s="1"/>
  <c r="E26" i="4" s="1"/>
  <c r="E9" i="1"/>
  <c r="E10" i="1" s="1"/>
  <c r="E12" i="1" s="1"/>
  <c r="E15" i="1" s="1"/>
  <c r="H210" i="2"/>
  <c r="H14" i="1"/>
  <c r="H15" i="4" s="1"/>
  <c r="H39" i="4" s="1"/>
  <c r="H45" i="4" s="1"/>
  <c r="I210" i="2"/>
  <c r="I14" i="1"/>
  <c r="I15" i="4" s="1"/>
  <c r="I39" i="4" s="1"/>
  <c r="E35" i="3"/>
  <c r="E23" i="4"/>
  <c r="I9" i="2"/>
  <c r="I177" i="2"/>
  <c r="I202" i="2" s="1"/>
  <c r="F16" i="2"/>
  <c r="F18" i="2" s="1"/>
  <c r="F23" i="2" s="1"/>
  <c r="F132" i="2" s="1"/>
  <c r="F134" i="2" s="1"/>
  <c r="F24" i="2" s="1"/>
  <c r="F16" i="1" s="1"/>
  <c r="F26" i="4" s="1"/>
  <c r="F9" i="1"/>
  <c r="F10" i="1" s="1"/>
  <c r="F12" i="1" s="1"/>
  <c r="F15" i="1" s="1"/>
  <c r="H8" i="1"/>
  <c r="G210" i="2"/>
  <c r="G14" i="1"/>
  <c r="G15" i="4" s="1"/>
  <c r="G39" i="4" s="1"/>
  <c r="G45" i="4" s="1"/>
  <c r="D29" i="2"/>
  <c r="D218" i="2"/>
  <c r="I28" i="3"/>
  <c r="I29" i="3" s="1"/>
  <c r="G181" i="2"/>
  <c r="G184" i="2" s="1"/>
  <c r="F33" i="3"/>
  <c r="I23" i="3"/>
  <c r="I196" i="2"/>
  <c r="I12" i="2"/>
  <c r="I170" i="2" s="1"/>
  <c r="I171" i="2"/>
  <c r="I172" i="2" s="1"/>
  <c r="H203" i="2"/>
  <c r="H182" i="2"/>
  <c r="F188" i="2"/>
  <c r="F191" i="2" s="1"/>
  <c r="E13" i="3"/>
  <c r="H23" i="3"/>
  <c r="H196" i="2"/>
  <c r="H11" i="2"/>
  <c r="G12" i="3"/>
  <c r="I158" i="2"/>
  <c r="I161" i="2" s="1"/>
  <c r="I8" i="3" s="1"/>
  <c r="H8" i="3"/>
  <c r="I145" i="2"/>
  <c r="I26" i="2" s="1"/>
  <c r="I109" i="2"/>
  <c r="G14" i="2"/>
  <c r="I67" i="2"/>
  <c r="I70" i="2" s="1"/>
  <c r="I72" i="2" s="1"/>
  <c r="I13" i="2" s="1"/>
  <c r="I12" i="3" s="1"/>
  <c r="H72" i="2"/>
  <c r="H13" i="2" s="1"/>
  <c r="G100" i="2" l="1"/>
  <c r="F35" i="3"/>
  <c r="F23" i="4"/>
  <c r="E17" i="1"/>
  <c r="E19" i="1" s="1"/>
  <c r="E9" i="4"/>
  <c r="F17" i="1"/>
  <c r="F19" i="1" s="1"/>
  <c r="F9" i="4"/>
  <c r="I178" i="2"/>
  <c r="I189" i="2" s="1"/>
  <c r="E20" i="4"/>
  <c r="G16" i="2"/>
  <c r="G18" i="2" s="1"/>
  <c r="G23" i="2" s="1"/>
  <c r="G132" i="2" s="1"/>
  <c r="G134" i="2" s="1"/>
  <c r="G24" i="2" s="1"/>
  <c r="G16" i="1" s="1"/>
  <c r="G26" i="4" s="1"/>
  <c r="G9" i="1"/>
  <c r="G10" i="1" s="1"/>
  <c r="G12" i="1" s="1"/>
  <c r="G15" i="1" s="1"/>
  <c r="I207" i="2"/>
  <c r="I18" i="1"/>
  <c r="I40" i="4" s="1"/>
  <c r="I45" i="4" s="1"/>
  <c r="G21" i="4"/>
  <c r="D220" i="2"/>
  <c r="F25" i="2"/>
  <c r="F27" i="2" s="1"/>
  <c r="F208" i="2"/>
  <c r="F212" i="2" s="1"/>
  <c r="F14" i="3" s="1"/>
  <c r="F50" i="4" s="1"/>
  <c r="E25" i="2"/>
  <c r="E27" i="2" s="1"/>
  <c r="E208" i="2"/>
  <c r="E212" i="2" s="1"/>
  <c r="E14" i="3" s="1"/>
  <c r="G188" i="2"/>
  <c r="G191" i="2" s="1"/>
  <c r="F13" i="3"/>
  <c r="I182" i="2"/>
  <c r="I203" i="2"/>
  <c r="H181" i="2"/>
  <c r="H184" i="2" s="1"/>
  <c r="G33" i="3"/>
  <c r="I11" i="2"/>
  <c r="I14" i="2" s="1"/>
  <c r="H12" i="3"/>
  <c r="I21" i="4" s="1"/>
  <c r="H14" i="2"/>
  <c r="E27" i="4" l="1"/>
  <c r="E46" i="4" s="1"/>
  <c r="E48" i="4" s="1"/>
  <c r="F47" i="4" s="1"/>
  <c r="E16" i="3"/>
  <c r="E18" i="3" s="1"/>
  <c r="E50" i="4"/>
  <c r="G7" i="3"/>
  <c r="G9" i="3" s="1"/>
  <c r="H95" i="2"/>
  <c r="H98" i="2" s="1"/>
  <c r="G35" i="3"/>
  <c r="G23" i="4"/>
  <c r="G20" i="4"/>
  <c r="F20" i="4"/>
  <c r="F27" i="4" s="1"/>
  <c r="F46" i="4" s="1"/>
  <c r="I16" i="2"/>
  <c r="I18" i="2" s="1"/>
  <c r="I9" i="1"/>
  <c r="I10" i="1" s="1"/>
  <c r="I12" i="1" s="1"/>
  <c r="H21" i="4"/>
  <c r="G17" i="1"/>
  <c r="G19" i="1" s="1"/>
  <c r="G9" i="4"/>
  <c r="H16" i="2"/>
  <c r="H18" i="2" s="1"/>
  <c r="H9" i="1"/>
  <c r="H10" i="1" s="1"/>
  <c r="H12" i="1" s="1"/>
  <c r="E217" i="2"/>
  <c r="D24" i="3"/>
  <c r="D25" i="3" s="1"/>
  <c r="D37" i="3" s="1"/>
  <c r="D39" i="3" s="1"/>
  <c r="D222" i="2" s="1"/>
  <c r="E29" i="2"/>
  <c r="E218" i="2"/>
  <c r="F29" i="2"/>
  <c r="F218" i="2"/>
  <c r="F16" i="3"/>
  <c r="F18" i="3" s="1"/>
  <c r="G25" i="2"/>
  <c r="G27" i="2" s="1"/>
  <c r="G208" i="2"/>
  <c r="G212" i="2" s="1"/>
  <c r="G14" i="3" s="1"/>
  <c r="G50" i="4" s="1"/>
  <c r="H188" i="2"/>
  <c r="H191" i="2" s="1"/>
  <c r="G13" i="3"/>
  <c r="I181" i="2"/>
  <c r="I184" i="2" s="1"/>
  <c r="I33" i="3" s="1"/>
  <c r="H33" i="3"/>
  <c r="E51" i="4" l="1"/>
  <c r="H99" i="2"/>
  <c r="H20" i="2" s="1"/>
  <c r="H13" i="1" s="1"/>
  <c r="H12" i="4" s="1"/>
  <c r="F48" i="4"/>
  <c r="I35" i="3"/>
  <c r="I23" i="4"/>
  <c r="G27" i="4"/>
  <c r="G46" i="4" s="1"/>
  <c r="H35" i="3"/>
  <c r="H23" i="4"/>
  <c r="E220" i="2"/>
  <c r="G29" i="2"/>
  <c r="G218" i="2"/>
  <c r="G16" i="3"/>
  <c r="G18" i="3" s="1"/>
  <c r="I188" i="2"/>
  <c r="I191" i="2" s="1"/>
  <c r="I13" i="3" s="1"/>
  <c r="H13" i="3"/>
  <c r="I20" i="4" s="1"/>
  <c r="H15" i="1" l="1"/>
  <c r="G47" i="4"/>
  <c r="F51" i="4"/>
  <c r="H23" i="2"/>
  <c r="H100" i="2"/>
  <c r="H20" i="4"/>
  <c r="F217" i="2"/>
  <c r="F220" i="2" s="1"/>
  <c r="E24" i="3"/>
  <c r="E25" i="3" s="1"/>
  <c r="E37" i="3" s="1"/>
  <c r="E39" i="3" s="1"/>
  <c r="E222" i="2" s="1"/>
  <c r="G48" i="4" l="1"/>
  <c r="G51" i="4" s="1"/>
  <c r="I95" i="2"/>
  <c r="I98" i="2" s="1"/>
  <c r="H7" i="3"/>
  <c r="H9" i="3" s="1"/>
  <c r="H9" i="4"/>
  <c r="H132" i="2"/>
  <c r="H134" i="2" s="1"/>
  <c r="H24" i="2" s="1"/>
  <c r="H25" i="2" s="1"/>
  <c r="H27" i="2" s="1"/>
  <c r="F24" i="3"/>
  <c r="F25" i="3" s="1"/>
  <c r="F37" i="3" s="1"/>
  <c r="F39" i="3" s="1"/>
  <c r="F222" i="2" s="1"/>
  <c r="G217" i="2"/>
  <c r="G220" i="2" s="1"/>
  <c r="H47" i="4" l="1"/>
  <c r="I99" i="2"/>
  <c r="I20" i="2" s="1"/>
  <c r="H218" i="2"/>
  <c r="H29" i="2"/>
  <c r="H16" i="1"/>
  <c r="H208" i="2"/>
  <c r="H212" i="2" s="1"/>
  <c r="H14" i="3" s="1"/>
  <c r="H217" i="2"/>
  <c r="G24" i="3"/>
  <c r="G25" i="3" s="1"/>
  <c r="G37" i="3" s="1"/>
  <c r="G39" i="3" s="1"/>
  <c r="G222" i="2" s="1"/>
  <c r="H220" i="2" l="1"/>
  <c r="H24" i="3" s="1"/>
  <c r="H25" i="3" s="1"/>
  <c r="H37" i="3" s="1"/>
  <c r="H50" i="4"/>
  <c r="H16" i="3"/>
  <c r="H18" i="3" s="1"/>
  <c r="I100" i="2"/>
  <c r="H26" i="4"/>
  <c r="H27" i="4" s="1"/>
  <c r="H46" i="4" s="1"/>
  <c r="H48" i="4" s="1"/>
  <c r="H17" i="1"/>
  <c r="H19" i="1" s="1"/>
  <c r="I13" i="1"/>
  <c r="I23" i="2"/>
  <c r="I217" i="2" l="1"/>
  <c r="H39" i="3"/>
  <c r="H222" i="2" s="1"/>
  <c r="I47" i="4"/>
  <c r="H51" i="4"/>
  <c r="I132" i="2"/>
  <c r="I134" i="2" s="1"/>
  <c r="I24" i="2" s="1"/>
  <c r="I12" i="4"/>
  <c r="I15" i="1"/>
  <c r="I7" i="3"/>
  <c r="I9" i="3" s="1"/>
  <c r="I9" i="4" l="1"/>
  <c r="I16" i="1"/>
  <c r="I26" i="4" s="1"/>
  <c r="I208" i="2"/>
  <c r="I212" i="2" s="1"/>
  <c r="I14" i="3" s="1"/>
  <c r="I25" i="2"/>
  <c r="I27" i="2" s="1"/>
  <c r="I17" i="1" l="1"/>
  <c r="I19" i="1" s="1"/>
  <c r="I27" i="4"/>
  <c r="I46" i="4" s="1"/>
  <c r="I48" i="4" s="1"/>
  <c r="I29" i="2"/>
  <c r="I218" i="2"/>
  <c r="I220" i="2" s="1"/>
  <c r="I24" i="3" s="1"/>
  <c r="I25" i="3" s="1"/>
  <c r="I37" i="3" s="1"/>
  <c r="I50" i="4"/>
  <c r="I16" i="3"/>
  <c r="I18" i="3" s="1"/>
  <c r="I51" i="4" l="1"/>
  <c r="I39" i="3"/>
  <c r="I222" i="2" s="1"/>
</calcChain>
</file>

<file path=xl/sharedStrings.xml><?xml version="1.0" encoding="utf-8"?>
<sst xmlns="http://schemas.openxmlformats.org/spreadsheetml/2006/main" count="689" uniqueCount="423">
  <si>
    <t>Sales</t>
  </si>
  <si>
    <t>Other Income</t>
  </si>
  <si>
    <t>Revenue from Operations</t>
  </si>
  <si>
    <t>Total Income</t>
  </si>
  <si>
    <t>Particulars</t>
  </si>
  <si>
    <t>Revenue</t>
  </si>
  <si>
    <t>Total</t>
  </si>
  <si>
    <t>Less: COGS</t>
  </si>
  <si>
    <t>Gross Profit</t>
  </si>
  <si>
    <t>Less: SG&amp;A</t>
  </si>
  <si>
    <t>EBIDTA</t>
  </si>
  <si>
    <t>Less: Depreciation</t>
  </si>
  <si>
    <t>Less: Interest</t>
  </si>
  <si>
    <t>EBT</t>
  </si>
  <si>
    <t>Less : Tax</t>
  </si>
  <si>
    <t>Profit after Tax</t>
  </si>
  <si>
    <t>Less : Dividend Paid</t>
  </si>
  <si>
    <t>Net Income</t>
  </si>
  <si>
    <t>Sales from Sports Shoe</t>
  </si>
  <si>
    <t>Sales from Formal Shoes</t>
  </si>
  <si>
    <t>Sports Shoes</t>
  </si>
  <si>
    <t>Unit</t>
  </si>
  <si>
    <t>Price</t>
  </si>
  <si>
    <t>Amount</t>
  </si>
  <si>
    <t>Formal Shoes</t>
  </si>
  <si>
    <t>Total Revenue from Operation</t>
  </si>
  <si>
    <t>Dividend Income</t>
  </si>
  <si>
    <t xml:space="preserve">Dividend Income </t>
  </si>
  <si>
    <t>No. of Shares of A Ltd</t>
  </si>
  <si>
    <t>Dividend Per Share</t>
  </si>
  <si>
    <t>COGS</t>
  </si>
  <si>
    <t>Purchase</t>
  </si>
  <si>
    <t>Opening Stock</t>
  </si>
  <si>
    <t>Add: Purchases</t>
  </si>
  <si>
    <t>Less: Closing Stock</t>
  </si>
  <si>
    <t>Closing Stock</t>
  </si>
  <si>
    <t>Opening Unit</t>
  </si>
  <si>
    <t>Less: Sales Unit</t>
  </si>
  <si>
    <t>Closing Unit</t>
  </si>
  <si>
    <t>Purchase price</t>
  </si>
  <si>
    <t>Closing Stock value</t>
  </si>
  <si>
    <t>Add: Purchase Unit</t>
  </si>
  <si>
    <t>Sales Commission</t>
  </si>
  <si>
    <t>Other Operating Expenses</t>
  </si>
  <si>
    <t>Variable</t>
  </si>
  <si>
    <t>Properties Plants &amp; Equipments</t>
  </si>
  <si>
    <t>Opening</t>
  </si>
  <si>
    <t>Closing</t>
  </si>
  <si>
    <t>Depreciation @ 15%</t>
  </si>
  <si>
    <t>WDV</t>
  </si>
  <si>
    <t>Machinery</t>
  </si>
  <si>
    <t>Furniture</t>
  </si>
  <si>
    <t>Depreciation @ 10%</t>
  </si>
  <si>
    <t>Borrowing</t>
  </si>
  <si>
    <t>HDFC Loan @8%</t>
  </si>
  <si>
    <t>Addition</t>
  </si>
  <si>
    <t>Payment</t>
  </si>
  <si>
    <t>Interest</t>
  </si>
  <si>
    <t>Total Interest</t>
  </si>
  <si>
    <t>Tax</t>
  </si>
  <si>
    <t>Tax Rate</t>
  </si>
  <si>
    <t>Tax Expenses</t>
  </si>
  <si>
    <t>Round</t>
  </si>
  <si>
    <t>Commitment</t>
  </si>
  <si>
    <t>Dividend Payment</t>
  </si>
  <si>
    <t>Retained Earnings</t>
  </si>
  <si>
    <t>FCFE</t>
  </si>
  <si>
    <t>Share Capital</t>
  </si>
  <si>
    <t xml:space="preserve">Shares Outstanding </t>
  </si>
  <si>
    <t>Issued</t>
  </si>
  <si>
    <t>FV</t>
  </si>
  <si>
    <t>Dividend Amount</t>
  </si>
  <si>
    <t>FY 25</t>
  </si>
  <si>
    <t>FY 26</t>
  </si>
  <si>
    <t>FY 27</t>
  </si>
  <si>
    <t>FY 28</t>
  </si>
  <si>
    <t>FY 29</t>
  </si>
  <si>
    <t>FY 30</t>
  </si>
  <si>
    <t>I. ASSETS</t>
  </si>
  <si>
    <t>A. Non Current Assets</t>
  </si>
  <si>
    <t>a. Properties,Plants &amp; Equipments</t>
  </si>
  <si>
    <t>b. Long Term Investments</t>
  </si>
  <si>
    <t>Total Non - Current Assets</t>
  </si>
  <si>
    <t>B. Current Assets</t>
  </si>
  <si>
    <t>a. Inventory</t>
  </si>
  <si>
    <t>b. Trade Receivables</t>
  </si>
  <si>
    <t>c. Cash &amp; Bank Balances</t>
  </si>
  <si>
    <t>d. Other Current Assets</t>
  </si>
  <si>
    <t>Total Current Assets</t>
  </si>
  <si>
    <t>Total Assets</t>
  </si>
  <si>
    <t>II. EQUITIES &amp; LIABILITIES</t>
  </si>
  <si>
    <t>A. Equity</t>
  </si>
  <si>
    <t>a. Share Capital</t>
  </si>
  <si>
    <t>b. Reserves &amp; Surplus</t>
  </si>
  <si>
    <t>Total Equities</t>
  </si>
  <si>
    <t>B. Non Current Liabilities</t>
  </si>
  <si>
    <t>a. Long Term Loan</t>
  </si>
  <si>
    <t>Total Non Current Liabilities</t>
  </si>
  <si>
    <t>C. Current Liabilities</t>
  </si>
  <si>
    <t>a. Trade Payables</t>
  </si>
  <si>
    <t>b. Other Current Liabilities</t>
  </si>
  <si>
    <t>Total Current Liabilities</t>
  </si>
  <si>
    <t>Total Equities &amp; Liabilities</t>
  </si>
  <si>
    <t>Check</t>
  </si>
  <si>
    <t>Investments</t>
  </si>
  <si>
    <t>In X Ltd</t>
  </si>
  <si>
    <t>No. of Shares</t>
  </si>
  <si>
    <t>Investment Amount</t>
  </si>
  <si>
    <t>Sales Amount</t>
  </si>
  <si>
    <t>Closing Amount</t>
  </si>
  <si>
    <t>Opening Units</t>
  </si>
  <si>
    <t>Addition Units</t>
  </si>
  <si>
    <t>Sales Units</t>
  </si>
  <si>
    <t>Closing Units</t>
  </si>
  <si>
    <t>Opening Amount</t>
  </si>
  <si>
    <t>Addition Amount</t>
  </si>
  <si>
    <t>Market Value</t>
  </si>
  <si>
    <t>Cost of Sales</t>
  </si>
  <si>
    <t>Profit/Loss</t>
  </si>
  <si>
    <t>Capital Gain</t>
  </si>
  <si>
    <t>Total Other Income</t>
  </si>
  <si>
    <t>Trade Payables</t>
  </si>
  <si>
    <t>Total Purchase</t>
  </si>
  <si>
    <t>Trade Receivables</t>
  </si>
  <si>
    <t>Total Sales</t>
  </si>
  <si>
    <t>Credit(3%)</t>
  </si>
  <si>
    <t>Breakup of Purchases into Cash &amp; Credit</t>
  </si>
  <si>
    <t>Breakup of Sales into Cash &amp; Credit</t>
  </si>
  <si>
    <t>Additions</t>
  </si>
  <si>
    <t>Receipt</t>
  </si>
  <si>
    <t>Cash Balances</t>
  </si>
  <si>
    <t>PPE Purchase</t>
  </si>
  <si>
    <t>Revenue proceeds</t>
  </si>
  <si>
    <t>Purchase payment</t>
  </si>
  <si>
    <t>Debtor Recovery</t>
  </si>
  <si>
    <t>Creditors Payment</t>
  </si>
  <si>
    <t>Investment Purchase</t>
  </si>
  <si>
    <t>Investment Sales</t>
  </si>
  <si>
    <t>Dividend income</t>
  </si>
  <si>
    <t>Closing Balance</t>
  </si>
  <si>
    <t>Reserves &amp; Surplus</t>
  </si>
  <si>
    <t xml:space="preserve">Utilisation </t>
  </si>
  <si>
    <t>Tax Payment</t>
  </si>
  <si>
    <t>SG&amp;A Payment</t>
  </si>
  <si>
    <t>Interest Payment</t>
  </si>
  <si>
    <t>Cash (98%)</t>
  </si>
  <si>
    <t>Other Current Assets</t>
  </si>
  <si>
    <t>Other Current Liabilities</t>
  </si>
  <si>
    <t>Axis Loan @8%</t>
  </si>
  <si>
    <t>Cash (90%)</t>
  </si>
  <si>
    <t>Credit(10%)</t>
  </si>
  <si>
    <t>Cash Flow from Operating Activities</t>
  </si>
  <si>
    <t>I</t>
  </si>
  <si>
    <t>Net profit before tax and changes in Working Capital</t>
  </si>
  <si>
    <t>Add : Non Cash Items included in P&amp;L</t>
  </si>
  <si>
    <t>Depreciation</t>
  </si>
  <si>
    <t>Add/(Less):Items in Op Activities pertaining to other heads</t>
  </si>
  <si>
    <t>Finance Cost</t>
  </si>
  <si>
    <t>Adjustment for changes in Working capital</t>
  </si>
  <si>
    <t>(Increase)/Decrease in Trade Receivables</t>
  </si>
  <si>
    <t>(Increase)/Decrease in Inventory</t>
  </si>
  <si>
    <t>Increase/(Decrease) in Trade Payables</t>
  </si>
  <si>
    <t>Increase/(Decrease) in Other Current Liabilities</t>
  </si>
  <si>
    <t>Less : Taxes Paid</t>
  </si>
  <si>
    <t>Total of Operating Activity</t>
  </si>
  <si>
    <t>II.</t>
  </si>
  <si>
    <t>Cash Flow from Investing Activities</t>
  </si>
  <si>
    <t>Purchase of investment</t>
  </si>
  <si>
    <t>Purchase of PPE &amp; Intangible Assets</t>
  </si>
  <si>
    <t>Redemption of investment</t>
  </si>
  <si>
    <t>Total of Investing Activity</t>
  </si>
  <si>
    <t>III.</t>
  </si>
  <si>
    <t>Cash Flow from Financing Activities</t>
  </si>
  <si>
    <t>Interest Paid</t>
  </si>
  <si>
    <t>Dividend Paid</t>
  </si>
  <si>
    <t>Loan Availed</t>
  </si>
  <si>
    <t>Loan Repaid</t>
  </si>
  <si>
    <t>Issue of equity shares</t>
  </si>
  <si>
    <t>Total of Financing Activity</t>
  </si>
  <si>
    <t>IV.</t>
  </si>
  <si>
    <t>Total cash flow from all activities</t>
  </si>
  <si>
    <t>V.</t>
  </si>
  <si>
    <t>Add: Opening Cash &amp; Cash Equivalent</t>
  </si>
  <si>
    <t>VI.</t>
  </si>
  <si>
    <t>Cash &amp; Cash Equivalent at end of period</t>
  </si>
  <si>
    <t>Gain from Sale of Shares</t>
  </si>
  <si>
    <t>(Increase)/Decrease in Other Current Assets</t>
  </si>
  <si>
    <t>Profit from sale of investment</t>
  </si>
  <si>
    <t>Borrowing availed</t>
  </si>
  <si>
    <t>Borrowing repaid</t>
  </si>
  <si>
    <t>Closing as per Balance Sheet</t>
  </si>
  <si>
    <t>Sports shoe sale will be 5,000 unit at rs 3,500 in year 1. The unit will increase at 15% and sale price will increase at 8% thereafter</t>
  </si>
  <si>
    <t>Formal shoe sale will be 1,500 unit at Rs 2,500 in year 1. The unit will increase at 12% and sale price will increase at 8% thereafter</t>
  </si>
  <si>
    <t>Sports shoe purchase will be 6,500 unit at Rs 2,500 in year 1. The unit will increase at 14% in year 2 and year 3 and 10% thereafter. The sale price will increase at 8% year on year</t>
  </si>
  <si>
    <t>Formal shoe purchase will be 2,200 unit at Rs 1,600 in year 1. The unit will increase at 13% and sale price will increase at 8% thereafter</t>
  </si>
  <si>
    <t>Round off Unit and Price for Sale and Purchase of items to 2 decimal (i.e. put -2 in roundoff formula)</t>
  </si>
  <si>
    <t>Dividend Income on investment will be Rs 50 in year 1 and will increase by 10% thereafter. (Round off Dividend Per Share income to -1)</t>
  </si>
  <si>
    <t>Sales Commission on Sports Shoes is 2% of Sale from Sports shoes and on Formal Shoes it is 1% on sales from Formal Shoes</t>
  </si>
  <si>
    <t>Other Operating Expenses are 1% of total revenue from Sale of both shoes</t>
  </si>
  <si>
    <t>Properties, Plants &amp; Equipments</t>
  </si>
  <si>
    <t>Machinery worth Rs 65 lac was purchased in year 1 - Depreciated at 15% pa as per WDV Method</t>
  </si>
  <si>
    <t>Furniture worth Rs 20 lac purchased in Year 1 and additional of Rs 6 lac in Year 3- Depreciated at 10% wdv method.</t>
  </si>
  <si>
    <t>All purchases made on 1st day of respective year. (Round off depreciatiuon to -2 in formula)</t>
  </si>
  <si>
    <t>Borrowings</t>
  </si>
  <si>
    <t>Company availed loan from HDFC @ 8% interest rate for Rs 60 lac.The loan will be paid in 5 equal annual instalment from start of year 2.</t>
  </si>
  <si>
    <t>Company also availed loan from Axis Bank @ 8% interest rate for Rs 60 lac in FY 26 which was fully repaid on 1st day of in FY 29</t>
  </si>
  <si>
    <t>Investment in Shares of X Ltd</t>
  </si>
  <si>
    <t>The Company purchased 12,000 shares of X Ltd in year 1 at Rs 80 per share. The Company further purchased 3,000 shares in FY 28 at Rs 150 per share.</t>
  </si>
  <si>
    <t>The Company further sold 10,000 shares at Rs 170 in FY 29.</t>
  </si>
  <si>
    <t>The shares were purchased/sold at start of relevant FY. The shares were sold on FIFO basis</t>
  </si>
  <si>
    <t>The dividend on shares were realised in cash and to be recorded in Other Income. Also, the gain/loss on sale to be appropriately recognised in P&amp;L.</t>
  </si>
  <si>
    <t>Closing unit to be valued at current years purchase price</t>
  </si>
  <si>
    <t>Tax Rate is 25% for all year</t>
  </si>
  <si>
    <t>The dividend declared in year 1 is Rs 2 per share and is expected to increase by 10%. (Round off the Dividend per share to positive 1 in formula)</t>
  </si>
  <si>
    <t>Company issued 5 lac equity shares at rs 10 each fully paid up. No further shares issued.</t>
  </si>
  <si>
    <t>Share Capital &amp; Reserves &amp; Surplus</t>
  </si>
  <si>
    <t>The Reserves would be accumulated for all years.</t>
  </si>
  <si>
    <t>Out of total Sales of Shoes, 98% will be in cash and 2% will be on Credit.</t>
  </si>
  <si>
    <t>Income &amp; Expenses Related Inputs</t>
  </si>
  <si>
    <t>Out of total purchases of shoes, 90% will be in cash and 10% will be on Credit.</t>
  </si>
  <si>
    <t>Other Working Capital</t>
  </si>
  <si>
    <t>Basis above and also on the basis of  %age of  total sales/purchase on credit, closing balances can be ascertained for Trade Receivables and Trade Payables</t>
  </si>
  <si>
    <t>Following are the schedule of recoveries from and payments to outstanding creditors and trade receivables (Please note that this is not the closing balance):</t>
  </si>
  <si>
    <t>Cash &amp; Bank Balances</t>
  </si>
  <si>
    <t>Other Current Liabilites</t>
  </si>
  <si>
    <t>Other Closing Balances are as follows :</t>
  </si>
  <si>
    <t>Bran started a business of trading in shoe of two type - Sports Shoes for Athelets and Formal Shoes for Corporate customers. Using folloiwng information, please fill the missing valies for the projected financials statements</t>
  </si>
  <si>
    <t>Initial Investment</t>
  </si>
  <si>
    <t>Year 1</t>
  </si>
  <si>
    <t>Year 2</t>
  </si>
  <si>
    <t>Year 3</t>
  </si>
  <si>
    <t>Year 4</t>
  </si>
  <si>
    <t>Year 5</t>
  </si>
  <si>
    <t>Project A</t>
  </si>
  <si>
    <t>Project B</t>
  </si>
  <si>
    <t>Project C</t>
  </si>
  <si>
    <t>Project D</t>
  </si>
  <si>
    <t>Hindlever Company is considering a new product line to supplement its range of products. It is anticipated that the new product line will involve cash investments of Rs 7,00,000 at time 0 and Rs 10,00,000 in year 1. After-tax cash inflows of Rs 2,50,000 are expected in year 2, Rs 3,00,000 in year 3, Rs 3,50,000 in year 4 and Rs 4,00,000 each year thereafter through year 10. Although the product line might be viable even after year 10, the company prefers to be conservative and end all calculations at that time.</t>
  </si>
  <si>
    <t>a) If the required rate of return is 15 per cent, COMPUTE net present value of the project. Is it acceptable?</t>
  </si>
  <si>
    <t>c) CALCULATE its internal rate of return.</t>
  </si>
  <si>
    <t>b) ANALYSE what would be the case if the required rate of return were 10 per cent.</t>
  </si>
  <si>
    <t>d) Compute the Payback Period of the project</t>
  </si>
  <si>
    <t>EPS</t>
  </si>
  <si>
    <t>MPS</t>
  </si>
  <si>
    <t>Less : Tax (20%)</t>
  </si>
  <si>
    <t>Total Equity</t>
  </si>
  <si>
    <t>Cash Bank</t>
  </si>
  <si>
    <t>Equity Share Capital</t>
  </si>
  <si>
    <t>Extract of Balance Sheet</t>
  </si>
  <si>
    <t>Other Information</t>
  </si>
  <si>
    <t>Calculate the following:</t>
  </si>
  <si>
    <t>FY 24</t>
  </si>
  <si>
    <t>P/E Ratio</t>
  </si>
  <si>
    <t>P/S Ratio</t>
  </si>
  <si>
    <t>EV/EBIDTA</t>
  </si>
  <si>
    <t>Dividend Yield</t>
  </si>
  <si>
    <t>Price to Book Value</t>
  </si>
  <si>
    <t>a) P/E Ratio</t>
  </si>
  <si>
    <t>b) Price to Sales Ratio</t>
  </si>
  <si>
    <t>c) EV/EBIDTA</t>
  </si>
  <si>
    <t>d) Dividend Yield</t>
  </si>
  <si>
    <t>e) Price to Book Value</t>
  </si>
  <si>
    <t>Solution</t>
  </si>
  <si>
    <t>PE Ratio</t>
  </si>
  <si>
    <t>MarketCap</t>
  </si>
  <si>
    <t>Note 1</t>
  </si>
  <si>
    <t>Note 2</t>
  </si>
  <si>
    <t>Note 3</t>
  </si>
  <si>
    <t>EV = Market Cap + Cash- Borrowings</t>
  </si>
  <si>
    <t>Note 4</t>
  </si>
  <si>
    <t>DPS</t>
  </si>
  <si>
    <t>Note 5</t>
  </si>
  <si>
    <t>BVPS</t>
  </si>
  <si>
    <t>Price to Book Value = MPS/BVPS</t>
  </si>
  <si>
    <t>Q2</t>
  </si>
  <si>
    <t>Q1</t>
  </si>
  <si>
    <t>Q1 A)</t>
  </si>
  <si>
    <t>a) NPV at 15% discount rate</t>
  </si>
  <si>
    <t>Year</t>
  </si>
  <si>
    <t>Cash Flow</t>
  </si>
  <si>
    <t>PVF @15%</t>
  </si>
  <si>
    <t>Present Value</t>
  </si>
  <si>
    <t>Since NPV is negative , project is not acceptable.</t>
  </si>
  <si>
    <t>b) NPV at 10% discount rate</t>
  </si>
  <si>
    <t>Since NPV is positive , project is not acceptable.</t>
  </si>
  <si>
    <t>c) IRR Calculation</t>
  </si>
  <si>
    <t>IRR=</t>
  </si>
  <si>
    <t>d) Payback period</t>
  </si>
  <si>
    <t>Cumulative Cash Flow</t>
  </si>
  <si>
    <t>Since Break Even is at 6th Year , Payback Period is 6 year</t>
  </si>
  <si>
    <t>Q1 B)</t>
  </si>
  <si>
    <t>Inflow</t>
  </si>
  <si>
    <t>Solution 1 A)</t>
  </si>
  <si>
    <t>Solution 1 B)</t>
  </si>
  <si>
    <t>PVF @12%</t>
  </si>
  <si>
    <t>Project C is viable as NPV is positive and higher than other project</t>
  </si>
  <si>
    <t>ABC Ltd. is a small company that is currently analyzing capital expenditure proposals for the purchase of equipment; the company uses the net present value technique to evaluate projects. The capital budget is limited to Rs 10,00,000 which ABC Ltd. believes is the maximum capital it can raise. The initial investment and projected net cash flows for each project are shown below. The cost of capital of ABC Ltd is 12%. You are required to COMPUTE the NPV of the different projects. Also perform sensitivity analysis if discount rate moves by 0.5%.</t>
  </si>
  <si>
    <t>Sensitivity Analysis at 0.5%</t>
  </si>
  <si>
    <t>Rate</t>
  </si>
  <si>
    <t>Increase by 0.5%</t>
  </si>
  <si>
    <t>Decrease by 0.5%</t>
  </si>
  <si>
    <t>Q2 For PQR Ltd , compute the required ratio, FCFE and Cost of Capital as specified in following sub questions :</t>
  </si>
  <si>
    <t>A) Following is the income statement of PQR Ltd:</t>
  </si>
  <si>
    <t xml:space="preserve">B) </t>
  </si>
  <si>
    <t xml:space="preserve">C) </t>
  </si>
  <si>
    <t>2 A)</t>
  </si>
  <si>
    <t>Solution 2 B)</t>
  </si>
  <si>
    <t>Cost of Equity</t>
  </si>
  <si>
    <t>Solution 2 C)</t>
  </si>
  <si>
    <t>Rf</t>
  </si>
  <si>
    <t>Beta</t>
  </si>
  <si>
    <t>Rm</t>
  </si>
  <si>
    <t>Cost of Equity (CAPM)</t>
  </si>
  <si>
    <t xml:space="preserve">Compute WACC for PQR Ltd assuming there are two sources- Debt and Equity . (Risk Free Rate 4.5%, Beta – 0.7 and Market Return is 12%)	</t>
  </si>
  <si>
    <t>Cost of Debt</t>
  </si>
  <si>
    <t>Interest Rate</t>
  </si>
  <si>
    <t>WACC</t>
  </si>
  <si>
    <t>Source</t>
  </si>
  <si>
    <t>Equity</t>
  </si>
  <si>
    <t>Debt</t>
  </si>
  <si>
    <t>Proportion</t>
  </si>
  <si>
    <t>Cost of Capital</t>
  </si>
  <si>
    <t>PBT</t>
  </si>
  <si>
    <t>Add: Non Cash Charges</t>
  </si>
  <si>
    <t>Add: Interest Net of Taxes</t>
  </si>
  <si>
    <t>FCFF</t>
  </si>
  <si>
    <t>Calculate Free Cash Flow to Equity (FCFF) for all years using Profit Before Tax as base (assuming no working capital and fixed investment and  Depreciation is the only non cash item and Interest is paid to borrowers , so consider interest net of tax while calculating FCFF)</t>
  </si>
  <si>
    <t>For a company for which the going-concern assumption is not valid, the most appropriate valuation approach would be to calculate its:</t>
  </si>
  <si>
    <t>A. residual income model value.</t>
  </si>
  <si>
    <t>B. dividend discount model value.</t>
  </si>
  <si>
    <t>C. liquidation value.</t>
  </si>
  <si>
    <t>Q</t>
  </si>
  <si>
    <t>Which of the following is not one of the five elements of industry structure as developed by Professor Michael Porter</t>
  </si>
  <si>
    <t>A. Bargaining power of Suppliers</t>
  </si>
  <si>
    <t>B. Bargaining power of Government</t>
  </si>
  <si>
    <t>C. Threats of Substitutes</t>
  </si>
  <si>
    <t>D. Competitors rivalry</t>
  </si>
  <si>
    <t>If the risk-free rate of return equals 10%. The firm’s beta equals 1.75 and the return on the market portfolio equals to 15%. What is Cost of Equity?</t>
  </si>
  <si>
    <t>B. 18.75%</t>
  </si>
  <si>
    <t>C. 26.25%</t>
  </si>
  <si>
    <t>A. 17.50%</t>
  </si>
  <si>
    <t>D. 21.87%</t>
  </si>
  <si>
    <t>A Company has 50,000 debenture issued at 12% rate having face value of Rs 100 issued at Rs 96. If tax rate is 30%. What is Cost of Debt (Kd)?</t>
  </si>
  <si>
    <t>D. 8.75%</t>
  </si>
  <si>
    <t>B. 8.40%</t>
  </si>
  <si>
    <t>C. 12%</t>
  </si>
  <si>
    <t>A. 8.00%</t>
  </si>
  <si>
    <t>Marks</t>
  </si>
  <si>
    <t>Given: risk-free rate of return = 5 %; market return = 10%; cost of equity = 15%; value of beta (β) is:</t>
  </si>
  <si>
    <t>A. 1.9</t>
  </si>
  <si>
    <t>B. 1.8</t>
  </si>
  <si>
    <t>C. 2.0</t>
  </si>
  <si>
    <t>D. 2.2</t>
  </si>
  <si>
    <t>Which of the following cost of capital requires to adjust taxes?</t>
  </si>
  <si>
    <t>A. Cost of Equity Share</t>
  </si>
  <si>
    <t>B. Cost of Preference Shares,</t>
  </si>
  <si>
    <t>C. Cost of Debentures</t>
  </si>
  <si>
    <t>D. Cost of Retained Earnings</t>
  </si>
  <si>
    <t>A company has a financial structure where equity is 70% of its total debt plus equity. Its cost of equity is 10% and gross loan interest is 5%. Corporation tax is paid at 30%. What is the company’s weighted average cost of capital (WACC)?</t>
  </si>
  <si>
    <t>Eq</t>
  </si>
  <si>
    <t>De</t>
  </si>
  <si>
    <t>A. 7.55%</t>
  </si>
  <si>
    <t>B. 7.80%</t>
  </si>
  <si>
    <t>D. 8.05%</t>
  </si>
  <si>
    <t>C. 8.70%</t>
  </si>
  <si>
    <t>Assume cash outflow equals Rs 1,20,000 followed by cash inflows of Rs 25,000 per year for 8 years and a cost of capital of 11%. What is the Net present value?</t>
  </si>
  <si>
    <t>A. Rs (38,214)</t>
  </si>
  <si>
    <t>B. Rs 9,653</t>
  </si>
  <si>
    <t>C. Rs 8,653</t>
  </si>
  <si>
    <t>D. Rs 38,214</t>
  </si>
  <si>
    <t>Interest received on Loan given to another company will be recorded under which activity of Cash Flow Statement?</t>
  </si>
  <si>
    <t>A. Operating Activities</t>
  </si>
  <si>
    <t>B. Financing Activities</t>
  </si>
  <si>
    <t>C. Investing Activities</t>
  </si>
  <si>
    <t>D. None of the above</t>
  </si>
  <si>
    <t>What is the Internal rate of return for a project having cash flows of Rs 40,000 per year for 10 years and a cost of Rs 2,26,009?</t>
  </si>
  <si>
    <t>At 12%</t>
  </si>
  <si>
    <t>At 15%</t>
  </si>
  <si>
    <t>A. 9%</t>
  </si>
  <si>
    <t>B. 10%</t>
  </si>
  <si>
    <t>C. 11%</t>
  </si>
  <si>
    <t>D. 12%</t>
  </si>
  <si>
    <t>Solutions to MCQs</t>
  </si>
  <si>
    <t>Q4B</t>
  </si>
  <si>
    <t>Net Cash Inflow</t>
  </si>
  <si>
    <t>i. Calculate Payback Period of the project</t>
  </si>
  <si>
    <t>ii. Calculated net present value at 10% discounting factor</t>
  </si>
  <si>
    <t>iii. Calculate Internal Rate of Return</t>
  </si>
  <si>
    <t>X Limited is considering purchasing of new plant worth Rs 80,00,000. The expected net cash flows after taxes and before depreciation are as follows:</t>
  </si>
  <si>
    <t>i. Payback Period</t>
  </si>
  <si>
    <t>Cumulative</t>
  </si>
  <si>
    <t>In 5 year - Rs 70,00,000</t>
  </si>
  <si>
    <t>Total outflow is Rs 80,00,000</t>
  </si>
  <si>
    <t xml:space="preserve">In 6th year - Rs 16,00,000 </t>
  </si>
  <si>
    <t>Payback period</t>
  </si>
  <si>
    <t>5 year 7.5 month</t>
  </si>
  <si>
    <t>ii. NPV at 10%</t>
  </si>
  <si>
    <t>PVF @10%</t>
  </si>
  <si>
    <t>PV</t>
  </si>
  <si>
    <t>iii. IRR</t>
  </si>
  <si>
    <t>Following table depicts the projected income statement of Alpha Ltd:</t>
  </si>
  <si>
    <t>Other Information:</t>
  </si>
  <si>
    <t>a. The Company has availed 2 loan - one at 8% interest and other at 12% interest. These two debts are in ratio of 1:4</t>
  </si>
  <si>
    <t>E</t>
  </si>
  <si>
    <t>D1</t>
  </si>
  <si>
    <t>D2</t>
  </si>
  <si>
    <t>Weights</t>
  </si>
  <si>
    <t>b. The debt to equity ratio is 1.5:1. And total equity share capital is Rs 40,00,000</t>
  </si>
  <si>
    <t>Required:</t>
  </si>
  <si>
    <t>a. Calculate WACC based on information given</t>
  </si>
  <si>
    <t>c. Tax rate is 20%</t>
  </si>
  <si>
    <t>b. Calculate NPV of the total income using WACC</t>
  </si>
  <si>
    <t>d. The risk free interest rate is 7.5% and risk premium is 9% and the beta factor is 0.85</t>
  </si>
  <si>
    <t>a. WACC</t>
  </si>
  <si>
    <t>b. NPV using WACC</t>
  </si>
  <si>
    <t>PVF@ 11.44%</t>
  </si>
  <si>
    <t>FY 23</t>
  </si>
  <si>
    <t>PV Amount</t>
  </si>
  <si>
    <t>e. Consider FY24 as Year 1 and FY 23 as year 0 in which Rs 550 lakhs were invested in the project</t>
  </si>
  <si>
    <t>Casdh Flow</t>
  </si>
  <si>
    <t>c. If Market Return is reduces by 1% and beta is 0.45, NPV:</t>
  </si>
  <si>
    <t>c. If market return on equity reduces by 1% and risk free rate of return reduces by 0.5% and beta revised to 0.45, what will be the net NPV of the project?</t>
  </si>
  <si>
    <t>Q4C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</si>
</sst>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 #,##0_ ;_ * \-#,##0_ ;_ * &quot;-&quot;??_ ;_ @_ "/>
    <numFmt numFmtId="165" formatCode="0.0%"/>
    <numFmt numFmtId="166" formatCode="_ * #,##0.0000_ ;_ * \-#,##0.0000_ ;_ * &quot;-&quot;??_ ;_ @_ "/>
    <numFmt numFmtId="167" formatCode="0.0000"/>
    <numFmt numFmtId="168" formatCode="0.0000%"/>
    <numFmt numFmtId="173" formatCode="_ * #,##0.000_ ;_ * \-#,##0.000_ ;_ * &quot;-&quot;??_ ;_ @_ "/>
    <numFmt numFmtId="175"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ahoma"/>
      <family val="2"/>
    </font>
    <font>
      <b/>
      <sz val="9"/>
      <color theme="1"/>
      <name val="Arial"/>
      <family val="2"/>
    </font>
    <font>
      <sz val="9"/>
      <color theme="1"/>
      <name val="Arial"/>
      <family val="2"/>
    </font>
    <font>
      <b/>
      <u/>
      <sz val="11"/>
      <color theme="1"/>
      <name val="Calibri"/>
      <family val="2"/>
      <scheme val="minor"/>
    </font>
    <font>
      <u/>
      <sz val="11"/>
      <color theme="1"/>
      <name val="Calibri"/>
      <family val="2"/>
      <scheme val="minor"/>
    </font>
    <font>
      <u val="singleAccounting"/>
      <sz val="11"/>
      <color theme="1"/>
      <name val="Calibri"/>
      <family val="2"/>
      <scheme val="minor"/>
    </font>
    <font>
      <sz val="8"/>
      <name val="Calibri"/>
      <family val="2"/>
      <scheme val="minor"/>
    </font>
    <font>
      <b/>
      <sz val="10"/>
      <color theme="1"/>
      <name val="Arial"/>
      <family val="2"/>
    </font>
    <font>
      <i/>
      <sz val="9"/>
      <color theme="1"/>
      <name val="Arial"/>
      <family val="2"/>
    </font>
    <font>
      <b/>
      <sz val="9"/>
      <color theme="1"/>
      <name val="Tahoma"/>
      <family val="2"/>
    </font>
    <font>
      <i/>
      <u/>
      <sz val="11"/>
      <color theme="1"/>
      <name val="Calibri"/>
      <family val="2"/>
      <scheme val="minor"/>
    </font>
    <font>
      <b/>
      <i/>
      <sz val="11"/>
      <color theme="1"/>
      <name val="Calibri"/>
      <family val="2"/>
      <scheme val="minor"/>
    </font>
    <font>
      <b/>
      <u/>
      <sz val="9"/>
      <color theme="1"/>
      <name val="Tahoma"/>
      <family val="2"/>
    </font>
    <font>
      <sz val="10"/>
      <color theme="1"/>
      <name val="Tahoma"/>
      <family val="2"/>
    </font>
    <font>
      <b/>
      <u/>
      <sz val="10"/>
      <color theme="1"/>
      <name val="Tahoma"/>
      <family val="2"/>
    </font>
    <font>
      <u/>
      <sz val="11"/>
      <color theme="10"/>
      <name val="Calibri"/>
      <family val="2"/>
      <scheme val="minor"/>
    </font>
    <font>
      <sz val="11"/>
      <color theme="1"/>
      <name val="Tahoma"/>
      <family val="2"/>
    </font>
    <font>
      <b/>
      <sz val="11"/>
      <color theme="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192">
    <xf numFmtId="0" fontId="0" fillId="0" borderId="0" xfId="0"/>
    <xf numFmtId="0" fontId="0" fillId="0" borderId="0" xfId="0" applyAlignment="1">
      <alignment vertical="top"/>
    </xf>
    <xf numFmtId="0" fontId="3" fillId="0" borderId="0" xfId="0" applyFont="1" applyAlignment="1">
      <alignment vertical="top"/>
    </xf>
    <xf numFmtId="0" fontId="4" fillId="0" borderId="1" xfId="0" applyFont="1" applyBorder="1" applyAlignment="1">
      <alignment vertical="top"/>
    </xf>
    <xf numFmtId="164" fontId="0" fillId="0" borderId="0" xfId="1" applyNumberFormat="1" applyFont="1"/>
    <xf numFmtId="164" fontId="0" fillId="0" borderId="0" xfId="0" applyNumberFormat="1"/>
    <xf numFmtId="0" fontId="2" fillId="0" borderId="0" xfId="0" applyFont="1"/>
    <xf numFmtId="164" fontId="0" fillId="0" borderId="3" xfId="1" applyNumberFormat="1" applyFont="1" applyBorder="1"/>
    <xf numFmtId="164" fontId="0" fillId="0" borderId="4" xfId="1" applyNumberFormat="1" applyFont="1" applyBorder="1"/>
    <xf numFmtId="0" fontId="0" fillId="0" borderId="5" xfId="0" applyBorder="1"/>
    <xf numFmtId="164" fontId="0" fillId="0" borderId="0" xfId="1" applyNumberFormat="1" applyFont="1" applyBorder="1"/>
    <xf numFmtId="164" fontId="0" fillId="0" borderId="6" xfId="1" applyNumberFormat="1" applyFont="1" applyBorder="1"/>
    <xf numFmtId="164" fontId="0" fillId="0" borderId="5" xfId="1" applyNumberFormat="1" applyFont="1" applyBorder="1"/>
    <xf numFmtId="0" fontId="0" fillId="0" borderId="7" xfId="0" applyBorder="1"/>
    <xf numFmtId="164" fontId="0" fillId="0" borderId="8" xfId="1" applyNumberFormat="1" applyFont="1" applyBorder="1"/>
    <xf numFmtId="164" fontId="0" fillId="0" borderId="9" xfId="1" applyNumberFormat="1" applyFont="1" applyBorder="1"/>
    <xf numFmtId="164" fontId="2" fillId="0" borderId="2" xfId="1" applyNumberFormat="1" applyFont="1" applyBorder="1"/>
    <xf numFmtId="0" fontId="7" fillId="0" borderId="5" xfId="0" applyFont="1" applyBorder="1"/>
    <xf numFmtId="164" fontId="8" fillId="0" borderId="5" xfId="1" applyNumberFormat="1" applyFont="1" applyBorder="1"/>
    <xf numFmtId="164" fontId="0" fillId="0" borderId="7" xfId="1" applyNumberFormat="1" applyFont="1" applyBorder="1"/>
    <xf numFmtId="0" fontId="2" fillId="0" borderId="2" xfId="0" applyFont="1" applyBorder="1"/>
    <xf numFmtId="164" fontId="2" fillId="0" borderId="0" xfId="1" applyNumberFormat="1" applyFont="1"/>
    <xf numFmtId="164" fontId="1" fillId="0" borderId="5" xfId="1" applyNumberFormat="1" applyFont="1" applyBorder="1"/>
    <xf numFmtId="0" fontId="0" fillId="0" borderId="2" xfId="0" applyBorder="1"/>
    <xf numFmtId="9" fontId="0" fillId="0" borderId="0" xfId="2" applyFont="1" applyBorder="1"/>
    <xf numFmtId="9" fontId="0" fillId="0" borderId="6" xfId="2" applyFont="1" applyBorder="1"/>
    <xf numFmtId="9" fontId="0" fillId="0" borderId="0" xfId="2" applyFont="1"/>
    <xf numFmtId="0" fontId="2" fillId="0" borderId="1" xfId="0" applyFont="1" applyBorder="1"/>
    <xf numFmtId="164" fontId="2" fillId="0" borderId="1" xfId="1" applyNumberFormat="1" applyFont="1" applyBorder="1"/>
    <xf numFmtId="164" fontId="2" fillId="0" borderId="10" xfId="1" applyNumberFormat="1" applyFont="1" applyBorder="1"/>
    <xf numFmtId="0" fontId="0" fillId="0" borderId="11" xfId="0" applyBorder="1"/>
    <xf numFmtId="0" fontId="0" fillId="0" borderId="12" xfId="0" applyBorder="1"/>
    <xf numFmtId="0" fontId="6" fillId="0" borderId="12" xfId="0" applyFont="1" applyBorder="1"/>
    <xf numFmtId="0" fontId="2" fillId="0" borderId="12" xfId="0" applyFont="1" applyBorder="1"/>
    <xf numFmtId="164" fontId="2" fillId="0" borderId="6" xfId="1" applyNumberFormat="1" applyFont="1" applyBorder="1"/>
    <xf numFmtId="0" fontId="2" fillId="0" borderId="13" xfId="0" applyFont="1" applyBorder="1"/>
    <xf numFmtId="164" fontId="2" fillId="0" borderId="9" xfId="1" applyNumberFormat="1" applyFont="1" applyBorder="1"/>
    <xf numFmtId="0" fontId="2" fillId="2" borderId="1" xfId="0" applyFont="1" applyFill="1" applyBorder="1" applyAlignment="1">
      <alignment horizontal="center"/>
    </xf>
    <xf numFmtId="164" fontId="2" fillId="2" borderId="1" xfId="1" applyNumberFormat="1" applyFont="1" applyFill="1" applyBorder="1" applyAlignment="1">
      <alignment horizontal="center"/>
    </xf>
    <xf numFmtId="43" fontId="0" fillId="0" borderId="0" xfId="1" applyFont="1" applyBorder="1"/>
    <xf numFmtId="43" fontId="0" fillId="0" borderId="6" xfId="1" applyFont="1" applyBorder="1"/>
    <xf numFmtId="0" fontId="10" fillId="0" borderId="11" xfId="0" applyFont="1" applyBorder="1" applyAlignment="1">
      <alignment vertical="top"/>
    </xf>
    <xf numFmtId="0" fontId="4" fillId="0" borderId="12" xfId="0" applyFont="1" applyBorder="1" applyAlignment="1">
      <alignment vertical="top"/>
    </xf>
    <xf numFmtId="0" fontId="5" fillId="0" borderId="12" xfId="0" applyFont="1" applyBorder="1" applyAlignment="1">
      <alignment vertical="top"/>
    </xf>
    <xf numFmtId="0" fontId="11" fillId="0" borderId="13" xfId="0" applyFont="1" applyBorder="1" applyAlignment="1">
      <alignment vertical="top"/>
    </xf>
    <xf numFmtId="0" fontId="5" fillId="0" borderId="11" xfId="0" applyFont="1" applyBorder="1" applyAlignment="1">
      <alignment vertical="top"/>
    </xf>
    <xf numFmtId="0" fontId="10" fillId="0" borderId="12" xfId="0" applyFont="1" applyBorder="1" applyAlignment="1">
      <alignment vertical="top"/>
    </xf>
    <xf numFmtId="0" fontId="5" fillId="0" borderId="0" xfId="0" applyFont="1" applyAlignment="1">
      <alignment vertical="top"/>
    </xf>
    <xf numFmtId="164" fontId="2" fillId="0" borderId="2" xfId="1" applyNumberFormat="1" applyFont="1" applyFill="1" applyBorder="1"/>
    <xf numFmtId="164" fontId="2" fillId="0" borderId="7" xfId="1" applyNumberFormat="1" applyFont="1" applyBorder="1"/>
    <xf numFmtId="0" fontId="7" fillId="0" borderId="2" xfId="0" applyFont="1" applyBorder="1"/>
    <xf numFmtId="164" fontId="2" fillId="2" borderId="10" xfId="1" applyNumberFormat="1" applyFont="1" applyFill="1" applyBorder="1" applyAlignment="1">
      <alignment horizontal="center"/>
    </xf>
    <xf numFmtId="164" fontId="0" fillId="0" borderId="11" xfId="1" applyNumberFormat="1" applyFont="1" applyBorder="1"/>
    <xf numFmtId="164" fontId="0" fillId="0" borderId="12" xfId="1" applyNumberFormat="1" applyFont="1" applyBorder="1"/>
    <xf numFmtId="164" fontId="0" fillId="0" borderId="13" xfId="1" applyNumberFormat="1" applyFont="1" applyBorder="1"/>
    <xf numFmtId="164" fontId="2" fillId="0" borderId="8" xfId="1" applyNumberFormat="1" applyFont="1" applyBorder="1"/>
    <xf numFmtId="0" fontId="2" fillId="0" borderId="7" xfId="0" applyFont="1" applyBorder="1"/>
    <xf numFmtId="164" fontId="3" fillId="0" borderId="0" xfId="1" applyNumberFormat="1" applyFont="1" applyAlignment="1">
      <alignment vertical="top"/>
    </xf>
    <xf numFmtId="164" fontId="3" fillId="0" borderId="1" xfId="1" applyNumberFormat="1" applyFont="1" applyBorder="1" applyAlignment="1">
      <alignment vertical="top"/>
    </xf>
    <xf numFmtId="0" fontId="2" fillId="2" borderId="11" xfId="0" applyFont="1" applyFill="1" applyBorder="1" applyAlignment="1">
      <alignment horizontal="center"/>
    </xf>
    <xf numFmtId="164" fontId="2" fillId="2" borderId="11" xfId="1" applyNumberFormat="1" applyFont="1" applyFill="1" applyBorder="1" applyAlignment="1">
      <alignment horizontal="center"/>
    </xf>
    <xf numFmtId="164" fontId="3" fillId="0" borderId="4" xfId="1" applyNumberFormat="1" applyFont="1" applyBorder="1" applyAlignment="1">
      <alignment vertical="top"/>
    </xf>
    <xf numFmtId="164" fontId="3" fillId="0" borderId="6" xfId="1" applyNumberFormat="1" applyFont="1" applyBorder="1" applyAlignment="1">
      <alignment vertical="top"/>
    </xf>
    <xf numFmtId="164" fontId="12" fillId="0" borderId="6" xfId="1" applyNumberFormat="1" applyFont="1" applyBorder="1" applyAlignment="1">
      <alignment vertical="top"/>
    </xf>
    <xf numFmtId="164" fontId="12" fillId="0" borderId="9" xfId="1" applyNumberFormat="1" applyFont="1" applyBorder="1" applyAlignment="1">
      <alignment vertical="top"/>
    </xf>
    <xf numFmtId="0" fontId="4" fillId="0" borderId="13" xfId="0" applyFont="1" applyBorder="1" applyAlignment="1">
      <alignment vertical="top"/>
    </xf>
    <xf numFmtId="0" fontId="2" fillId="2" borderId="1" xfId="0" applyFont="1" applyFill="1" applyBorder="1" applyAlignment="1">
      <alignment horizontal="center" vertical="top" wrapText="1"/>
    </xf>
    <xf numFmtId="0" fontId="2" fillId="0" borderId="12" xfId="0" applyFont="1" applyBorder="1" applyAlignment="1">
      <alignment horizontal="right" vertical="top"/>
    </xf>
    <xf numFmtId="0" fontId="0" fillId="0" borderId="12" xfId="0" applyBorder="1" applyAlignment="1">
      <alignment horizontal="right" vertical="top"/>
    </xf>
    <xf numFmtId="0" fontId="14" fillId="0" borderId="13" xfId="0" applyFont="1" applyBorder="1" applyAlignment="1">
      <alignment horizontal="right" vertical="top"/>
    </xf>
    <xf numFmtId="0" fontId="2" fillId="0" borderId="1" xfId="0" applyFont="1" applyBorder="1" applyAlignment="1">
      <alignment horizontal="right" vertical="top"/>
    </xf>
    <xf numFmtId="0" fontId="0" fillId="0" borderId="2" xfId="0" applyBorder="1" applyAlignment="1">
      <alignment horizontal="right" vertical="top"/>
    </xf>
    <xf numFmtId="0" fontId="0" fillId="0" borderId="2" xfId="0" applyBorder="1" applyAlignment="1">
      <alignment vertical="top"/>
    </xf>
    <xf numFmtId="0" fontId="0" fillId="0" borderId="5" xfId="0" applyBorder="1" applyAlignment="1">
      <alignment horizontal="right" vertical="top"/>
    </xf>
    <xf numFmtId="0" fontId="0" fillId="0" borderId="5" xfId="0" applyBorder="1" applyAlignment="1">
      <alignment vertical="top"/>
    </xf>
    <xf numFmtId="0" fontId="14" fillId="0" borderId="5" xfId="0" applyFont="1" applyBorder="1" applyAlignment="1">
      <alignment horizontal="right" vertical="top"/>
    </xf>
    <xf numFmtId="0" fontId="14" fillId="0" borderId="5" xfId="0" applyFont="1" applyBorder="1" applyAlignment="1">
      <alignment vertical="top"/>
    </xf>
    <xf numFmtId="0" fontId="0" fillId="0" borderId="11" xfId="0" applyBorder="1" applyAlignment="1">
      <alignment horizontal="right" vertical="top"/>
    </xf>
    <xf numFmtId="0" fontId="0" fillId="0" borderId="1" xfId="0" applyBorder="1" applyAlignment="1">
      <alignment horizontal="right" vertical="top"/>
    </xf>
    <xf numFmtId="0" fontId="0" fillId="0" borderId="0" xfId="0" applyAlignment="1">
      <alignment horizontal="right" vertical="top"/>
    </xf>
    <xf numFmtId="0" fontId="2" fillId="0" borderId="0" xfId="0" applyFont="1" applyAlignment="1">
      <alignment vertical="top"/>
    </xf>
    <xf numFmtId="0" fontId="0" fillId="0" borderId="0" xfId="0" applyAlignment="1">
      <alignment vertical="top" wrapText="1"/>
    </xf>
    <xf numFmtId="0" fontId="7" fillId="0" borderId="0" xfId="0" applyFont="1" applyAlignment="1">
      <alignment vertical="top"/>
    </xf>
    <xf numFmtId="0" fontId="13" fillId="0" borderId="0" xfId="0" applyFont="1" applyAlignment="1">
      <alignment vertical="top"/>
    </xf>
    <xf numFmtId="0" fontId="14" fillId="0" borderId="8" xfId="0" applyFont="1" applyBorder="1" applyAlignment="1">
      <alignment vertical="top"/>
    </xf>
    <xf numFmtId="0" fontId="2" fillId="0" borderId="15" xfId="0" applyFont="1" applyBorder="1" applyAlignment="1">
      <alignment vertical="top"/>
    </xf>
    <xf numFmtId="0" fontId="2" fillId="0" borderId="14" xfId="0" applyFont="1" applyBorder="1" applyAlignment="1">
      <alignment vertical="top"/>
    </xf>
    <xf numFmtId="0" fontId="0" fillId="0" borderId="3" xfId="0" applyBorder="1" applyAlignment="1">
      <alignment vertical="top"/>
    </xf>
    <xf numFmtId="0" fontId="0" fillId="0" borderId="15" xfId="0" applyBorder="1" applyAlignment="1">
      <alignment vertical="top"/>
    </xf>
    <xf numFmtId="164" fontId="3" fillId="0" borderId="11" xfId="1" applyNumberFormat="1" applyFont="1" applyBorder="1" applyAlignment="1">
      <alignment vertical="top"/>
    </xf>
    <xf numFmtId="164" fontId="3" fillId="0" borderId="12" xfId="1" applyNumberFormat="1" applyFont="1" applyBorder="1" applyAlignment="1">
      <alignment vertical="top"/>
    </xf>
    <xf numFmtId="164" fontId="3" fillId="0" borderId="13" xfId="1" applyNumberFormat="1" applyFont="1" applyBorder="1" applyAlignment="1">
      <alignment vertical="top"/>
    </xf>
    <xf numFmtId="164" fontId="12" fillId="0" borderId="12" xfId="1" applyNumberFormat="1" applyFont="1" applyBorder="1" applyAlignment="1">
      <alignment vertical="top"/>
    </xf>
    <xf numFmtId="164" fontId="12" fillId="0" borderId="13" xfId="1" applyNumberFormat="1" applyFont="1" applyBorder="1" applyAlignment="1">
      <alignment vertical="top"/>
    </xf>
    <xf numFmtId="0" fontId="12" fillId="0" borderId="0" xfId="0" applyFont="1" applyAlignment="1">
      <alignment vertical="top"/>
    </xf>
    <xf numFmtId="0" fontId="3" fillId="0" borderId="1" xfId="0" applyFont="1" applyBorder="1" applyAlignment="1">
      <alignment vertical="top"/>
    </xf>
    <xf numFmtId="164" fontId="0" fillId="0" borderId="0" xfId="1" applyNumberFormat="1" applyFont="1" applyAlignment="1">
      <alignment vertical="top"/>
    </xf>
    <xf numFmtId="164" fontId="2" fillId="0" borderId="0" xfId="1" applyNumberFormat="1" applyFont="1" applyAlignment="1">
      <alignment vertical="top"/>
    </xf>
    <xf numFmtId="164" fontId="2" fillId="2" borderId="1" xfId="1" applyNumberFormat="1" applyFont="1" applyFill="1" applyBorder="1" applyAlignment="1">
      <alignment horizontal="center" vertical="top"/>
    </xf>
    <xf numFmtId="164" fontId="0" fillId="0" borderId="3" xfId="1" applyNumberFormat="1" applyFont="1" applyBorder="1" applyAlignment="1">
      <alignment vertical="top"/>
    </xf>
    <xf numFmtId="164" fontId="0" fillId="0" borderId="4" xfId="1" applyNumberFormat="1" applyFont="1" applyBorder="1" applyAlignment="1">
      <alignment vertical="top"/>
    </xf>
    <xf numFmtId="164" fontId="0" fillId="0" borderId="0" xfId="1" applyNumberFormat="1" applyFont="1" applyBorder="1" applyAlignment="1">
      <alignment vertical="top"/>
    </xf>
    <xf numFmtId="164" fontId="0" fillId="0" borderId="6" xfId="1" applyNumberFormat="1" applyFont="1" applyBorder="1" applyAlignment="1">
      <alignment vertical="top"/>
    </xf>
    <xf numFmtId="3" fontId="3" fillId="0" borderId="0" xfId="0" applyNumberFormat="1" applyFont="1" applyAlignment="1">
      <alignment vertical="top"/>
    </xf>
    <xf numFmtId="0" fontId="2" fillId="3" borderId="1" xfId="0" applyFont="1" applyFill="1" applyBorder="1" applyAlignment="1">
      <alignment horizontal="center" vertical="top"/>
    </xf>
    <xf numFmtId="164" fontId="2" fillId="3" borderId="1" xfId="1" applyNumberFormat="1" applyFont="1" applyFill="1" applyBorder="1" applyAlignment="1">
      <alignment horizontal="center" vertical="top"/>
    </xf>
    <xf numFmtId="0" fontId="0" fillId="0" borderId="1" xfId="0" applyBorder="1" applyAlignment="1">
      <alignment vertical="top"/>
    </xf>
    <xf numFmtId="164" fontId="0" fillId="0" borderId="1" xfId="1" applyNumberFormat="1" applyFont="1" applyBorder="1" applyAlignment="1">
      <alignment vertical="top"/>
    </xf>
    <xf numFmtId="164" fontId="0" fillId="0" borderId="1" xfId="1" applyNumberFormat="1" applyFont="1" applyFill="1" applyBorder="1" applyAlignment="1">
      <alignment vertical="top"/>
    </xf>
    <xf numFmtId="0" fontId="2" fillId="0" borderId="1" xfId="0" applyFont="1" applyBorder="1" applyAlignment="1">
      <alignment vertical="top"/>
    </xf>
    <xf numFmtId="164" fontId="2" fillId="0" borderId="1" xfId="1" applyNumberFormat="1" applyFont="1" applyBorder="1" applyAlignment="1">
      <alignment vertical="top"/>
    </xf>
    <xf numFmtId="0" fontId="4" fillId="2" borderId="1" xfId="0" applyFont="1" applyFill="1" applyBorder="1" applyAlignment="1">
      <alignment horizontal="center" vertical="top"/>
    </xf>
    <xf numFmtId="43" fontId="4" fillId="2" borderId="1" xfId="1" applyFont="1" applyFill="1" applyBorder="1" applyAlignment="1">
      <alignment horizontal="center" vertical="top"/>
    </xf>
    <xf numFmtId="43" fontId="0" fillId="0" borderId="0" xfId="1" applyFont="1" applyAlignment="1">
      <alignment vertical="top"/>
    </xf>
    <xf numFmtId="10" fontId="0" fillId="0" borderId="0" xfId="2" applyNumberFormat="1" applyFont="1" applyAlignment="1">
      <alignment vertical="top"/>
    </xf>
    <xf numFmtId="43" fontId="0" fillId="0" borderId="1" xfId="1" applyFont="1" applyBorder="1" applyAlignment="1">
      <alignment vertical="top"/>
    </xf>
    <xf numFmtId="10" fontId="0" fillId="0" borderId="1" xfId="2" applyNumberFormat="1" applyFont="1" applyBorder="1" applyAlignment="1">
      <alignment vertical="top"/>
    </xf>
    <xf numFmtId="0" fontId="6" fillId="0" borderId="0" xfId="0" applyFont="1" applyAlignment="1">
      <alignment vertical="top"/>
    </xf>
    <xf numFmtId="0" fontId="0" fillId="0" borderId="7" xfId="0" applyBorder="1" applyAlignment="1">
      <alignment vertical="top"/>
    </xf>
    <xf numFmtId="43" fontId="0" fillId="0" borderId="8" xfId="1" applyFont="1" applyBorder="1" applyAlignment="1">
      <alignment vertical="top"/>
    </xf>
    <xf numFmtId="43" fontId="0" fillId="0" borderId="9" xfId="1" applyFont="1" applyBorder="1" applyAlignment="1">
      <alignment vertical="top"/>
    </xf>
    <xf numFmtId="10" fontId="0" fillId="0" borderId="8" xfId="2" applyNumberFormat="1" applyFont="1" applyBorder="1" applyAlignment="1">
      <alignment vertical="top"/>
    </xf>
    <xf numFmtId="10" fontId="0" fillId="0" borderId="9" xfId="2" applyNumberFormat="1" applyFont="1" applyBorder="1" applyAlignment="1">
      <alignment vertical="top"/>
    </xf>
    <xf numFmtId="166" fontId="3" fillId="0" borderId="1" xfId="1" applyNumberFormat="1" applyFont="1" applyBorder="1" applyAlignment="1">
      <alignment vertical="top"/>
    </xf>
    <xf numFmtId="3" fontId="3" fillId="0" borderId="1" xfId="0" applyNumberFormat="1" applyFont="1" applyBorder="1" applyAlignment="1">
      <alignment vertical="top"/>
    </xf>
    <xf numFmtId="0" fontId="12" fillId="0" borderId="1" xfId="0" applyFont="1" applyBorder="1" applyAlignment="1">
      <alignment vertical="top"/>
    </xf>
    <xf numFmtId="164" fontId="12" fillId="0" borderId="1" xfId="1" applyNumberFormat="1" applyFont="1" applyBorder="1" applyAlignment="1">
      <alignment vertical="top"/>
    </xf>
    <xf numFmtId="3" fontId="12" fillId="0" borderId="1" xfId="0" applyNumberFormat="1" applyFont="1" applyBorder="1" applyAlignment="1">
      <alignment horizontal="center" vertical="top"/>
    </xf>
    <xf numFmtId="0" fontId="12" fillId="0" borderId="1" xfId="0" applyFont="1" applyBorder="1" applyAlignment="1">
      <alignment horizontal="center" vertical="top"/>
    </xf>
    <xf numFmtId="10" fontId="3" fillId="0" borderId="0" xfId="2" applyNumberFormat="1" applyFont="1" applyAlignment="1">
      <alignment vertical="top"/>
    </xf>
    <xf numFmtId="164" fontId="3" fillId="0" borderId="1" xfId="0" applyNumberFormat="1" applyFont="1" applyBorder="1" applyAlignment="1">
      <alignment vertical="top"/>
    </xf>
    <xf numFmtId="3" fontId="12" fillId="0" borderId="0" xfId="0" applyNumberFormat="1" applyFont="1" applyAlignment="1">
      <alignment vertical="top"/>
    </xf>
    <xf numFmtId="9" fontId="3" fillId="0" borderId="0" xfId="0" applyNumberFormat="1" applyFont="1" applyAlignment="1">
      <alignment vertical="top"/>
    </xf>
    <xf numFmtId="167" fontId="3" fillId="0" borderId="0" xfId="0" applyNumberFormat="1" applyFont="1" applyAlignment="1">
      <alignment vertical="top"/>
    </xf>
    <xf numFmtId="164" fontId="12" fillId="0" borderId="1" xfId="0" applyNumberFormat="1" applyFont="1" applyBorder="1" applyAlignment="1">
      <alignment vertical="top"/>
    </xf>
    <xf numFmtId="0" fontId="15" fillId="0" borderId="0" xfId="0" applyFont="1" applyAlignment="1">
      <alignment vertical="top"/>
    </xf>
    <xf numFmtId="9" fontId="3" fillId="0" borderId="1" xfId="0" applyNumberFormat="1" applyFont="1" applyBorder="1" applyAlignment="1">
      <alignment vertical="top"/>
    </xf>
    <xf numFmtId="10" fontId="3" fillId="0" borderId="1" xfId="0" applyNumberFormat="1" applyFont="1" applyBorder="1" applyAlignment="1">
      <alignment vertical="top"/>
    </xf>
    <xf numFmtId="164" fontId="12" fillId="0" borderId="1" xfId="1" applyNumberFormat="1" applyFont="1" applyBorder="1" applyAlignment="1">
      <alignment horizontal="center" vertical="top"/>
    </xf>
    <xf numFmtId="9" fontId="0" fillId="0" borderId="0" xfId="2" applyFont="1" applyAlignment="1">
      <alignment vertical="top"/>
    </xf>
    <xf numFmtId="165" fontId="0" fillId="0" borderId="0" xfId="2" applyNumberFormat="1" applyFont="1" applyAlignment="1">
      <alignment vertical="top"/>
    </xf>
    <xf numFmtId="9" fontId="0" fillId="0" borderId="1" xfId="2" applyFont="1" applyBorder="1" applyAlignment="1">
      <alignment vertical="top"/>
    </xf>
    <xf numFmtId="0" fontId="2" fillId="0" borderId="1" xfId="0" applyFont="1" applyBorder="1" applyAlignment="1">
      <alignment horizontal="center" vertical="top"/>
    </xf>
    <xf numFmtId="164" fontId="2" fillId="0" borderId="1" xfId="1" applyNumberFormat="1" applyFont="1" applyBorder="1" applyAlignment="1">
      <alignment horizontal="center" vertical="top"/>
    </xf>
    <xf numFmtId="0" fontId="3" fillId="0" borderId="0" xfId="0" applyFont="1" applyAlignment="1">
      <alignment horizontal="left" vertical="top" wrapText="1"/>
    </xf>
    <xf numFmtId="0" fontId="0" fillId="0" borderId="0" xfId="0" applyAlignment="1">
      <alignment horizontal="left" vertical="top" wrapText="1"/>
    </xf>
    <xf numFmtId="0" fontId="16" fillId="0" borderId="0" xfId="0" applyFont="1" applyAlignment="1">
      <alignment vertical="top"/>
    </xf>
    <xf numFmtId="0" fontId="16" fillId="0" borderId="0" xfId="0" applyFont="1" applyAlignment="1">
      <alignment vertical="top" wrapText="1"/>
    </xf>
    <xf numFmtId="10" fontId="16" fillId="0" borderId="0" xfId="0" applyNumberFormat="1" applyFont="1" applyAlignment="1">
      <alignment vertical="top"/>
    </xf>
    <xf numFmtId="168" fontId="16" fillId="0" borderId="0" xfId="0" applyNumberFormat="1" applyFont="1" applyAlignment="1">
      <alignment vertical="top"/>
    </xf>
    <xf numFmtId="10" fontId="16" fillId="0" borderId="0" xfId="2" applyNumberFormat="1" applyFont="1" applyAlignment="1">
      <alignment vertical="top"/>
    </xf>
    <xf numFmtId="9" fontId="16" fillId="0" borderId="0" xfId="0" applyNumberFormat="1" applyFont="1" applyAlignment="1">
      <alignment vertical="top"/>
    </xf>
    <xf numFmtId="164" fontId="16" fillId="0" borderId="0" xfId="1" applyNumberFormat="1" applyFont="1" applyAlignment="1">
      <alignment vertical="top"/>
    </xf>
    <xf numFmtId="164" fontId="16" fillId="0" borderId="0" xfId="0" applyNumberFormat="1" applyFont="1" applyAlignment="1">
      <alignment vertical="top"/>
    </xf>
    <xf numFmtId="167" fontId="16" fillId="0" borderId="0" xfId="0" applyNumberFormat="1" applyFont="1" applyAlignment="1">
      <alignment vertical="top"/>
    </xf>
    <xf numFmtId="0" fontId="17" fillId="0" borderId="0" xfId="0" applyFont="1" applyAlignment="1">
      <alignment vertical="top"/>
    </xf>
    <xf numFmtId="0" fontId="16" fillId="0" borderId="0" xfId="0" applyFont="1" applyAlignment="1">
      <alignment horizontal="center" vertical="top"/>
    </xf>
    <xf numFmtId="0" fontId="16" fillId="0" borderId="1" xfId="0" applyFont="1" applyBorder="1" applyAlignment="1">
      <alignment horizontal="center" vertical="top"/>
    </xf>
    <xf numFmtId="164" fontId="16" fillId="0" borderId="1" xfId="1" applyNumberFormat="1" applyFont="1" applyBorder="1" applyAlignment="1">
      <alignment horizontal="center" vertical="top"/>
    </xf>
    <xf numFmtId="0" fontId="16" fillId="0" borderId="1" xfId="0" applyFont="1" applyBorder="1" applyAlignment="1">
      <alignment vertical="top"/>
    </xf>
    <xf numFmtId="164" fontId="16" fillId="0" borderId="1" xfId="1" applyNumberFormat="1" applyFont="1" applyBorder="1" applyAlignment="1">
      <alignment vertical="top"/>
    </xf>
    <xf numFmtId="164" fontId="16" fillId="0" borderId="1" xfId="0" applyNumberFormat="1" applyFont="1" applyBorder="1" applyAlignment="1">
      <alignment vertical="top"/>
    </xf>
    <xf numFmtId="43" fontId="16" fillId="0" borderId="0" xfId="1" applyNumberFormat="1" applyFont="1" applyAlignment="1">
      <alignment vertical="top"/>
    </xf>
    <xf numFmtId="173" fontId="16" fillId="0" borderId="0" xfId="1" applyNumberFormat="1" applyFont="1" applyAlignment="1">
      <alignment vertical="top"/>
    </xf>
    <xf numFmtId="166" fontId="16" fillId="0" borderId="1" xfId="1" applyNumberFormat="1" applyFont="1" applyBorder="1" applyAlignment="1">
      <alignment vertical="top"/>
    </xf>
    <xf numFmtId="0" fontId="19" fillId="0" borderId="0" xfId="0" applyFont="1" applyAlignment="1">
      <alignment vertical="top"/>
    </xf>
    <xf numFmtId="0" fontId="5" fillId="0" borderId="5" xfId="0" applyFont="1" applyBorder="1" applyAlignment="1">
      <alignment vertical="top"/>
    </xf>
    <xf numFmtId="164" fontId="5" fillId="0" borderId="0" xfId="1" applyNumberFormat="1" applyFont="1" applyBorder="1" applyAlignment="1">
      <alignment vertical="top"/>
    </xf>
    <xf numFmtId="164" fontId="5" fillId="0" borderId="6" xfId="1" applyNumberFormat="1" applyFont="1" applyBorder="1" applyAlignment="1">
      <alignment vertical="top"/>
    </xf>
    <xf numFmtId="0" fontId="4" fillId="0" borderId="7" xfId="0" applyFont="1" applyBorder="1" applyAlignment="1">
      <alignment vertical="top"/>
    </xf>
    <xf numFmtId="164" fontId="4" fillId="0" borderId="8" xfId="1" applyNumberFormat="1" applyFont="1" applyBorder="1" applyAlignment="1">
      <alignment vertical="top"/>
    </xf>
    <xf numFmtId="164" fontId="4" fillId="0" borderId="9" xfId="1" applyNumberFormat="1" applyFont="1" applyBorder="1" applyAlignment="1">
      <alignment vertical="top"/>
    </xf>
    <xf numFmtId="0" fontId="5" fillId="0" borderId="2" xfId="0" applyFont="1" applyBorder="1" applyAlignment="1">
      <alignment vertical="top"/>
    </xf>
    <xf numFmtId="164" fontId="5" fillId="0" borderId="3" xfId="1" applyNumberFormat="1" applyFont="1" applyBorder="1" applyAlignment="1">
      <alignment vertical="top"/>
    </xf>
    <xf numFmtId="164" fontId="5" fillId="0" borderId="4" xfId="1" applyNumberFormat="1" applyFont="1" applyBorder="1" applyAlignment="1">
      <alignment vertical="top"/>
    </xf>
    <xf numFmtId="164" fontId="19" fillId="0" borderId="0" xfId="0" applyNumberFormat="1" applyFont="1" applyAlignment="1">
      <alignment vertical="top"/>
    </xf>
    <xf numFmtId="10" fontId="19" fillId="0" borderId="0" xfId="2" applyNumberFormat="1" applyFont="1" applyAlignment="1">
      <alignment vertical="top"/>
    </xf>
    <xf numFmtId="10" fontId="19" fillId="0" borderId="0" xfId="0" applyNumberFormat="1" applyFont="1" applyAlignment="1">
      <alignment vertical="top"/>
    </xf>
    <xf numFmtId="0" fontId="19" fillId="0" borderId="1" xfId="0" applyFont="1" applyBorder="1" applyAlignment="1">
      <alignment vertical="top"/>
    </xf>
    <xf numFmtId="164" fontId="19" fillId="0" borderId="1" xfId="1" applyNumberFormat="1" applyFont="1" applyBorder="1" applyAlignment="1">
      <alignment vertical="top"/>
    </xf>
    <xf numFmtId="175" fontId="19" fillId="0" borderId="1" xfId="0" applyNumberFormat="1" applyFont="1" applyBorder="1" applyAlignment="1">
      <alignment vertical="top"/>
    </xf>
    <xf numFmtId="9" fontId="19" fillId="0" borderId="1" xfId="2" applyFont="1" applyBorder="1" applyAlignment="1">
      <alignment vertical="top"/>
    </xf>
    <xf numFmtId="10" fontId="19" fillId="0" borderId="1" xfId="2" applyNumberFormat="1" applyFont="1" applyBorder="1" applyAlignment="1">
      <alignment vertical="top"/>
    </xf>
    <xf numFmtId="0" fontId="20" fillId="0" borderId="1" xfId="0" applyFont="1" applyBorder="1" applyAlignment="1">
      <alignment vertical="top"/>
    </xf>
    <xf numFmtId="164" fontId="20" fillId="0" borderId="1" xfId="1" applyNumberFormat="1" applyFont="1" applyBorder="1" applyAlignment="1">
      <alignment vertical="top"/>
    </xf>
    <xf numFmtId="10" fontId="20" fillId="0" borderId="1" xfId="0" applyNumberFormat="1" applyFont="1" applyBorder="1" applyAlignment="1">
      <alignment vertical="top"/>
    </xf>
    <xf numFmtId="0" fontId="20" fillId="0" borderId="1" xfId="0" applyFont="1" applyBorder="1" applyAlignment="1">
      <alignment horizontal="center" vertical="top"/>
    </xf>
    <xf numFmtId="164" fontId="20" fillId="0" borderId="1" xfId="1" applyNumberFormat="1" applyFont="1" applyBorder="1" applyAlignment="1">
      <alignment horizontal="center" vertical="top"/>
    </xf>
    <xf numFmtId="0" fontId="20" fillId="0" borderId="1" xfId="0" applyFont="1" applyBorder="1" applyAlignment="1">
      <alignment horizontal="center" vertical="top" wrapText="1"/>
    </xf>
    <xf numFmtId="0" fontId="20" fillId="0" borderId="0" xfId="0" applyFont="1" applyAlignment="1">
      <alignment vertical="top"/>
    </xf>
    <xf numFmtId="0" fontId="18" fillId="0" borderId="1" xfId="3" applyBorder="1" applyAlignment="1">
      <alignment vertical="top"/>
    </xf>
    <xf numFmtId="166" fontId="19" fillId="0" borderId="1" xfId="1" applyNumberFormat="1" applyFont="1" applyBorder="1" applyAlignment="1">
      <alignment vertical="top"/>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mailto:PVF@%2011.44%25" TargetMode="External"/><Relationship Id="rId2" Type="http://schemas.openxmlformats.org/officeDocument/2006/relationships/hyperlink" Target="mailto:PVF@%2011.44%25" TargetMode="External"/><Relationship Id="rId1" Type="http://schemas.openxmlformats.org/officeDocument/2006/relationships/hyperlink" Target="mailto:PVF@%2011.44%25" TargetMode="External"/><Relationship Id="rId6" Type="http://schemas.openxmlformats.org/officeDocument/2006/relationships/printerSettings" Target="../printerSettings/printerSettings1.bin"/><Relationship Id="rId5" Type="http://schemas.openxmlformats.org/officeDocument/2006/relationships/hyperlink" Target="mailto:PVF@%2011.44%25" TargetMode="External"/><Relationship Id="rId4" Type="http://schemas.openxmlformats.org/officeDocument/2006/relationships/hyperlink" Target="mailto:PVF@%2011.44%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67C77-593D-4C00-A7EF-1D1830273CEE}">
  <dimension ref="A5:O142"/>
  <sheetViews>
    <sheetView showGridLines="0" workbookViewId="0">
      <selection activeCell="H23" sqref="H23"/>
    </sheetView>
  </sheetViews>
  <sheetFormatPr defaultRowHeight="11.4" x14ac:dyDescent="0.3"/>
  <cols>
    <col min="1" max="2" width="8.88671875" style="2"/>
    <col min="3" max="3" width="13.5546875" style="2" bestFit="1" customWidth="1"/>
    <col min="4" max="4" width="18.33203125" style="2" bestFit="1" customWidth="1"/>
    <col min="5" max="5" width="19.44140625" style="2" bestFit="1" customWidth="1"/>
    <col min="6" max="7" width="11.33203125" style="2" bestFit="1" customWidth="1"/>
    <col min="8" max="8" width="8.88671875" style="2"/>
    <col min="9" max="9" width="11.21875" style="2" bestFit="1" customWidth="1"/>
    <col min="10" max="11" width="8.88671875" style="2"/>
    <col min="12" max="12" width="13.109375" style="2" bestFit="1" customWidth="1"/>
    <col min="13" max="16384" width="8.88671875" style="2"/>
  </cols>
  <sheetData>
    <row r="5" spans="1:8" x14ac:dyDescent="0.3">
      <c r="A5" s="2" t="s">
        <v>275</v>
      </c>
    </row>
    <row r="6" spans="1:8" x14ac:dyDescent="0.3">
      <c r="C6" s="2" t="s">
        <v>276</v>
      </c>
    </row>
    <row r="8" spans="1:8" ht="48" customHeight="1" x14ac:dyDescent="0.3">
      <c r="C8" s="144" t="s">
        <v>237</v>
      </c>
      <c r="D8" s="144"/>
      <c r="E8" s="144"/>
      <c r="F8" s="144"/>
      <c r="G8" s="144"/>
      <c r="H8" s="144"/>
    </row>
    <row r="9" spans="1:8" ht="18.600000000000001" customHeight="1" x14ac:dyDescent="0.3">
      <c r="C9" s="144"/>
      <c r="D9" s="144"/>
      <c r="E9" s="144"/>
      <c r="F9" s="144"/>
      <c r="G9" s="144"/>
      <c r="H9" s="144"/>
    </row>
    <row r="10" spans="1:8" x14ac:dyDescent="0.3">
      <c r="C10" s="103"/>
    </row>
    <row r="11" spans="1:8" x14ac:dyDescent="0.3">
      <c r="C11" s="2" t="s">
        <v>238</v>
      </c>
    </row>
    <row r="12" spans="1:8" x14ac:dyDescent="0.3">
      <c r="C12" s="103" t="s">
        <v>240</v>
      </c>
    </row>
    <row r="13" spans="1:8" x14ac:dyDescent="0.3">
      <c r="C13" s="103" t="s">
        <v>239</v>
      </c>
    </row>
    <row r="14" spans="1:8" x14ac:dyDescent="0.3">
      <c r="C14" s="103" t="s">
        <v>241</v>
      </c>
    </row>
    <row r="15" spans="1:8" x14ac:dyDescent="0.3">
      <c r="C15" s="103"/>
    </row>
    <row r="17" spans="3:7" x14ac:dyDescent="0.3">
      <c r="C17" s="2" t="s">
        <v>290</v>
      </c>
    </row>
    <row r="18" spans="3:7" ht="48.6" customHeight="1" x14ac:dyDescent="0.3">
      <c r="C18" s="144" t="s">
        <v>296</v>
      </c>
      <c r="D18" s="144"/>
      <c r="E18" s="144"/>
      <c r="F18" s="144"/>
      <c r="G18" s="144"/>
    </row>
    <row r="19" spans="3:7" ht="19.2" customHeight="1" x14ac:dyDescent="0.3">
      <c r="C19" s="144"/>
      <c r="D19" s="144"/>
      <c r="E19" s="144"/>
      <c r="F19" s="144"/>
      <c r="G19" s="144"/>
    </row>
    <row r="20" spans="3:7" x14ac:dyDescent="0.3">
      <c r="C20" s="125"/>
      <c r="D20" s="125" t="s">
        <v>233</v>
      </c>
      <c r="E20" s="125" t="s">
        <v>234</v>
      </c>
      <c r="F20" s="125" t="s">
        <v>235</v>
      </c>
      <c r="G20" s="125" t="s">
        <v>236</v>
      </c>
    </row>
    <row r="21" spans="3:7" x14ac:dyDescent="0.3">
      <c r="C21" s="95" t="s">
        <v>227</v>
      </c>
      <c r="D21" s="58">
        <v>400000</v>
      </c>
      <c r="E21" s="58">
        <v>420000</v>
      </c>
      <c r="F21" s="58">
        <v>450000</v>
      </c>
      <c r="G21" s="58">
        <v>500000</v>
      </c>
    </row>
    <row r="22" spans="3:7" x14ac:dyDescent="0.3">
      <c r="C22" s="95" t="s">
        <v>291</v>
      </c>
      <c r="D22" s="58"/>
      <c r="E22" s="58"/>
      <c r="F22" s="58"/>
      <c r="G22" s="58"/>
    </row>
    <row r="23" spans="3:7" x14ac:dyDescent="0.3">
      <c r="C23" s="95" t="s">
        <v>228</v>
      </c>
      <c r="D23" s="58">
        <v>110000</v>
      </c>
      <c r="E23" s="58">
        <v>80000</v>
      </c>
      <c r="F23" s="58">
        <v>140000</v>
      </c>
      <c r="G23" s="58">
        <v>150000</v>
      </c>
    </row>
    <row r="24" spans="3:7" x14ac:dyDescent="0.3">
      <c r="C24" s="95" t="s">
        <v>229</v>
      </c>
      <c r="D24" s="58">
        <v>110000</v>
      </c>
      <c r="E24" s="58">
        <v>90000</v>
      </c>
      <c r="F24" s="58">
        <v>150000</v>
      </c>
      <c r="G24" s="58">
        <v>140000</v>
      </c>
    </row>
    <row r="25" spans="3:7" x14ac:dyDescent="0.3">
      <c r="C25" s="95" t="s">
        <v>230</v>
      </c>
      <c r="D25" s="58">
        <v>110000</v>
      </c>
      <c r="E25" s="58">
        <v>110000</v>
      </c>
      <c r="F25" s="58">
        <v>120000</v>
      </c>
      <c r="G25" s="58">
        <v>120000</v>
      </c>
    </row>
    <row r="26" spans="3:7" x14ac:dyDescent="0.3">
      <c r="C26" s="95" t="s">
        <v>231</v>
      </c>
      <c r="D26" s="58">
        <v>110000</v>
      </c>
      <c r="E26" s="58">
        <v>125000</v>
      </c>
      <c r="F26" s="58">
        <v>160000</v>
      </c>
      <c r="G26" s="58">
        <v>90000</v>
      </c>
    </row>
    <row r="27" spans="3:7" x14ac:dyDescent="0.3">
      <c r="C27" s="95" t="s">
        <v>232</v>
      </c>
      <c r="D27" s="58">
        <v>110000</v>
      </c>
      <c r="E27" s="58">
        <v>200000</v>
      </c>
      <c r="F27" s="58">
        <v>200000</v>
      </c>
      <c r="G27" s="58">
        <v>75000</v>
      </c>
    </row>
    <row r="28" spans="3:7" x14ac:dyDescent="0.3">
      <c r="C28" s="103"/>
    </row>
    <row r="29" spans="3:7" x14ac:dyDescent="0.3">
      <c r="C29" s="103"/>
    </row>
    <row r="30" spans="3:7" x14ac:dyDescent="0.3">
      <c r="C30" s="103"/>
    </row>
    <row r="32" spans="3:7" x14ac:dyDescent="0.3">
      <c r="C32" s="131" t="s">
        <v>292</v>
      </c>
    </row>
    <row r="33" spans="3:6" x14ac:dyDescent="0.3">
      <c r="C33" s="131"/>
    </row>
    <row r="34" spans="3:6" x14ac:dyDescent="0.3">
      <c r="C34" s="131" t="s">
        <v>277</v>
      </c>
    </row>
    <row r="35" spans="3:6" x14ac:dyDescent="0.3">
      <c r="C35" s="103"/>
    </row>
    <row r="36" spans="3:6" x14ac:dyDescent="0.3">
      <c r="C36" s="127" t="s">
        <v>278</v>
      </c>
      <c r="D36" s="128" t="s">
        <v>279</v>
      </c>
      <c r="E36" s="128" t="s">
        <v>280</v>
      </c>
      <c r="F36" s="128" t="s">
        <v>281</v>
      </c>
    </row>
    <row r="37" spans="3:6" x14ac:dyDescent="0.3">
      <c r="C37" s="95">
        <v>0</v>
      </c>
      <c r="D37" s="58">
        <v>-700000</v>
      </c>
      <c r="E37" s="123">
        <f>1/(POWER((1+15%),C37))</f>
        <v>1</v>
      </c>
      <c r="F37" s="58">
        <f>D37*E37</f>
        <v>-700000</v>
      </c>
    </row>
    <row r="38" spans="3:6" x14ac:dyDescent="0.3">
      <c r="C38" s="124">
        <v>1</v>
      </c>
      <c r="D38" s="58">
        <v>-1000000</v>
      </c>
      <c r="E38" s="123">
        <f>ROUND(1/(POWER((1+15%),C38)),3)</f>
        <v>0.87</v>
      </c>
      <c r="F38" s="58">
        <f t="shared" ref="F38:F47" si="0">D38*E38</f>
        <v>-870000</v>
      </c>
    </row>
    <row r="39" spans="3:6" x14ac:dyDescent="0.3">
      <c r="C39" s="124">
        <v>2</v>
      </c>
      <c r="D39" s="58">
        <v>250000</v>
      </c>
      <c r="E39" s="123">
        <f t="shared" ref="E39:E47" si="1">ROUND(1/(POWER((1+15%),C39)),3)</f>
        <v>0.75600000000000001</v>
      </c>
      <c r="F39" s="58">
        <f t="shared" si="0"/>
        <v>189000</v>
      </c>
    </row>
    <row r="40" spans="3:6" x14ac:dyDescent="0.3">
      <c r="C40" s="124">
        <v>3</v>
      </c>
      <c r="D40" s="58">
        <v>300000</v>
      </c>
      <c r="E40" s="123">
        <f t="shared" si="1"/>
        <v>0.65800000000000003</v>
      </c>
      <c r="F40" s="58">
        <f t="shared" si="0"/>
        <v>197400</v>
      </c>
    </row>
    <row r="41" spans="3:6" x14ac:dyDescent="0.3">
      <c r="C41" s="124">
        <v>4</v>
      </c>
      <c r="D41" s="58">
        <v>350000</v>
      </c>
      <c r="E41" s="123">
        <f t="shared" si="1"/>
        <v>0.57199999999999995</v>
      </c>
      <c r="F41" s="58">
        <f t="shared" si="0"/>
        <v>200199.99999999997</v>
      </c>
    </row>
    <row r="42" spans="3:6" x14ac:dyDescent="0.3">
      <c r="C42" s="95">
        <v>5</v>
      </c>
      <c r="D42" s="58">
        <v>400000</v>
      </c>
      <c r="E42" s="123">
        <f t="shared" si="1"/>
        <v>0.497</v>
      </c>
      <c r="F42" s="58">
        <f t="shared" si="0"/>
        <v>198800</v>
      </c>
    </row>
    <row r="43" spans="3:6" x14ac:dyDescent="0.3">
      <c r="C43" s="95">
        <v>6</v>
      </c>
      <c r="D43" s="58">
        <v>400000</v>
      </c>
      <c r="E43" s="123">
        <f t="shared" si="1"/>
        <v>0.432</v>
      </c>
      <c r="F43" s="58">
        <f t="shared" si="0"/>
        <v>172800</v>
      </c>
    </row>
    <row r="44" spans="3:6" x14ac:dyDescent="0.3">
      <c r="C44" s="95">
        <v>7</v>
      </c>
      <c r="D44" s="58">
        <v>400000</v>
      </c>
      <c r="E44" s="123">
        <f t="shared" si="1"/>
        <v>0.376</v>
      </c>
      <c r="F44" s="58">
        <f t="shared" si="0"/>
        <v>150400</v>
      </c>
    </row>
    <row r="45" spans="3:6" x14ac:dyDescent="0.3">
      <c r="C45" s="95">
        <v>8</v>
      </c>
      <c r="D45" s="58">
        <v>400000</v>
      </c>
      <c r="E45" s="123">
        <f t="shared" si="1"/>
        <v>0.32700000000000001</v>
      </c>
      <c r="F45" s="58">
        <f t="shared" si="0"/>
        <v>130800</v>
      </c>
    </row>
    <row r="46" spans="3:6" x14ac:dyDescent="0.3">
      <c r="C46" s="95">
        <v>9</v>
      </c>
      <c r="D46" s="58">
        <v>400000</v>
      </c>
      <c r="E46" s="123">
        <f t="shared" si="1"/>
        <v>0.28399999999999997</v>
      </c>
      <c r="F46" s="58">
        <f t="shared" si="0"/>
        <v>113599.99999999999</v>
      </c>
    </row>
    <row r="47" spans="3:6" x14ac:dyDescent="0.3">
      <c r="C47" s="95">
        <v>10</v>
      </c>
      <c r="D47" s="58">
        <v>400000</v>
      </c>
      <c r="E47" s="123">
        <f t="shared" si="1"/>
        <v>0.247</v>
      </c>
      <c r="F47" s="58">
        <f t="shared" si="0"/>
        <v>98800</v>
      </c>
    </row>
    <row r="48" spans="3:6" x14ac:dyDescent="0.3">
      <c r="C48" s="125"/>
      <c r="D48" s="126">
        <f t="shared" ref="D48:E48" si="2">SUM(D37:D47)</f>
        <v>1600000</v>
      </c>
      <c r="E48" s="126">
        <f t="shared" si="2"/>
        <v>6.019000000000001</v>
      </c>
      <c r="F48" s="126">
        <f>SUM(F37:F47)</f>
        <v>-118200</v>
      </c>
    </row>
    <row r="50" spans="3:6" x14ac:dyDescent="0.3">
      <c r="C50" s="2" t="s">
        <v>282</v>
      </c>
    </row>
    <row r="53" spans="3:6" x14ac:dyDescent="0.3">
      <c r="C53" s="131" t="s">
        <v>283</v>
      </c>
    </row>
    <row r="54" spans="3:6" x14ac:dyDescent="0.3">
      <c r="C54" s="103"/>
    </row>
    <row r="55" spans="3:6" x14ac:dyDescent="0.3">
      <c r="C55" s="127" t="s">
        <v>278</v>
      </c>
      <c r="D55" s="128" t="s">
        <v>279</v>
      </c>
      <c r="E55" s="128" t="s">
        <v>280</v>
      </c>
      <c r="F55" s="128" t="s">
        <v>281</v>
      </c>
    </row>
    <row r="56" spans="3:6" x14ac:dyDescent="0.3">
      <c r="C56" s="95">
        <v>0</v>
      </c>
      <c r="D56" s="58">
        <v>-700000</v>
      </c>
      <c r="E56" s="123">
        <f>1/(POWER((1+10%),C56))</f>
        <v>1</v>
      </c>
      <c r="F56" s="58">
        <f>D56*E56</f>
        <v>-700000</v>
      </c>
    </row>
    <row r="57" spans="3:6" x14ac:dyDescent="0.3">
      <c r="C57" s="124">
        <v>1</v>
      </c>
      <c r="D57" s="58">
        <v>-1000000</v>
      </c>
      <c r="E57" s="123">
        <f t="shared" ref="E57:E66" si="3">1/(POWER((1+10%),C57))</f>
        <v>0.90909090909090906</v>
      </c>
      <c r="F57" s="58">
        <f t="shared" ref="F57:F66" si="4">D57*E57</f>
        <v>-909090.90909090906</v>
      </c>
    </row>
    <row r="58" spans="3:6" x14ac:dyDescent="0.3">
      <c r="C58" s="124">
        <v>2</v>
      </c>
      <c r="D58" s="58">
        <v>250000</v>
      </c>
      <c r="E58" s="123">
        <f t="shared" si="3"/>
        <v>0.82644628099173545</v>
      </c>
      <c r="F58" s="58">
        <f t="shared" si="4"/>
        <v>206611.57024793385</v>
      </c>
    </row>
    <row r="59" spans="3:6" x14ac:dyDescent="0.3">
      <c r="C59" s="124">
        <v>3</v>
      </c>
      <c r="D59" s="58">
        <v>300000</v>
      </c>
      <c r="E59" s="123">
        <f t="shared" si="3"/>
        <v>0.75131480090157754</v>
      </c>
      <c r="F59" s="58">
        <f t="shared" si="4"/>
        <v>225394.44027047325</v>
      </c>
    </row>
    <row r="60" spans="3:6" x14ac:dyDescent="0.3">
      <c r="C60" s="124">
        <v>4</v>
      </c>
      <c r="D60" s="58">
        <v>350000</v>
      </c>
      <c r="E60" s="123">
        <f t="shared" si="3"/>
        <v>0.68301345536507052</v>
      </c>
      <c r="F60" s="58">
        <f t="shared" si="4"/>
        <v>239054.70937777468</v>
      </c>
    </row>
    <row r="61" spans="3:6" x14ac:dyDescent="0.3">
      <c r="C61" s="95">
        <v>5</v>
      </c>
      <c r="D61" s="58">
        <v>400000</v>
      </c>
      <c r="E61" s="123">
        <f t="shared" si="3"/>
        <v>0.62092132305915493</v>
      </c>
      <c r="F61" s="58">
        <f t="shared" si="4"/>
        <v>248368.52922366196</v>
      </c>
    </row>
    <row r="62" spans="3:6" x14ac:dyDescent="0.3">
      <c r="C62" s="95">
        <v>6</v>
      </c>
      <c r="D62" s="58">
        <v>400000</v>
      </c>
      <c r="E62" s="123">
        <f t="shared" si="3"/>
        <v>0.56447393005377722</v>
      </c>
      <c r="F62" s="58">
        <f t="shared" si="4"/>
        <v>225789.57202151089</v>
      </c>
    </row>
    <row r="63" spans="3:6" x14ac:dyDescent="0.3">
      <c r="C63" s="95">
        <v>7</v>
      </c>
      <c r="D63" s="58">
        <v>400000</v>
      </c>
      <c r="E63" s="123">
        <f t="shared" si="3"/>
        <v>0.51315811823070645</v>
      </c>
      <c r="F63" s="58">
        <f t="shared" si="4"/>
        <v>205263.24729228258</v>
      </c>
    </row>
    <row r="64" spans="3:6" x14ac:dyDescent="0.3">
      <c r="C64" s="95">
        <v>8</v>
      </c>
      <c r="D64" s="58">
        <v>400000</v>
      </c>
      <c r="E64" s="123">
        <f t="shared" si="3"/>
        <v>0.46650738020973315</v>
      </c>
      <c r="F64" s="58">
        <f t="shared" si="4"/>
        <v>186602.95208389327</v>
      </c>
    </row>
    <row r="65" spans="3:6" x14ac:dyDescent="0.3">
      <c r="C65" s="95">
        <v>9</v>
      </c>
      <c r="D65" s="58">
        <v>400000</v>
      </c>
      <c r="E65" s="123">
        <f t="shared" si="3"/>
        <v>0.42409761837248466</v>
      </c>
      <c r="F65" s="58">
        <f t="shared" si="4"/>
        <v>169639.04734899386</v>
      </c>
    </row>
    <row r="66" spans="3:6" x14ac:dyDescent="0.3">
      <c r="C66" s="95">
        <v>10</v>
      </c>
      <c r="D66" s="58">
        <v>400000</v>
      </c>
      <c r="E66" s="123">
        <f t="shared" si="3"/>
        <v>0.38554328942953148</v>
      </c>
      <c r="F66" s="58">
        <f t="shared" si="4"/>
        <v>154217.3157718126</v>
      </c>
    </row>
    <row r="67" spans="3:6" x14ac:dyDescent="0.3">
      <c r="C67" s="125"/>
      <c r="D67" s="126">
        <f t="shared" ref="D67" si="5">SUM(D56:D66)</f>
        <v>1600000</v>
      </c>
      <c r="E67" s="126">
        <f t="shared" ref="E67" si="6">SUM(E56:E66)</f>
        <v>7.1445671057046809</v>
      </c>
      <c r="F67" s="126">
        <f>SUM(F56:F66)</f>
        <v>251850.47454742776</v>
      </c>
    </row>
    <row r="68" spans="3:6" x14ac:dyDescent="0.3">
      <c r="C68" s="2" t="s">
        <v>284</v>
      </c>
    </row>
    <row r="71" spans="3:6" x14ac:dyDescent="0.3">
      <c r="C71" s="94" t="s">
        <v>285</v>
      </c>
    </row>
    <row r="73" spans="3:6" x14ac:dyDescent="0.3">
      <c r="C73" s="2" t="s">
        <v>286</v>
      </c>
      <c r="D73" s="129">
        <f>10%+(((F67)/(F67-F48))*(15%-10%))</f>
        <v>0.1340292057259812</v>
      </c>
    </row>
    <row r="77" spans="3:6" x14ac:dyDescent="0.3">
      <c r="C77" s="94" t="s">
        <v>287</v>
      </c>
    </row>
    <row r="79" spans="3:6" x14ac:dyDescent="0.3">
      <c r="C79" s="127" t="s">
        <v>278</v>
      </c>
      <c r="D79" s="128" t="s">
        <v>279</v>
      </c>
      <c r="E79" s="128" t="s">
        <v>288</v>
      </c>
    </row>
    <row r="80" spans="3:6" x14ac:dyDescent="0.3">
      <c r="C80" s="95">
        <v>0</v>
      </c>
      <c r="D80" s="58">
        <v>-700000</v>
      </c>
      <c r="E80" s="130">
        <f>D80</f>
        <v>-700000</v>
      </c>
    </row>
    <row r="81" spans="3:5" x14ac:dyDescent="0.3">
      <c r="C81" s="124">
        <v>1</v>
      </c>
      <c r="D81" s="58">
        <v>-1000000</v>
      </c>
      <c r="E81" s="130">
        <f t="shared" ref="E81:E86" si="7">E80+D81</f>
        <v>-1700000</v>
      </c>
    </row>
    <row r="82" spans="3:5" x14ac:dyDescent="0.3">
      <c r="C82" s="124">
        <v>2</v>
      </c>
      <c r="D82" s="58">
        <v>250000</v>
      </c>
      <c r="E82" s="130">
        <f t="shared" si="7"/>
        <v>-1450000</v>
      </c>
    </row>
    <row r="83" spans="3:5" x14ac:dyDescent="0.3">
      <c r="C83" s="124">
        <v>3</v>
      </c>
      <c r="D83" s="58">
        <v>300000</v>
      </c>
      <c r="E83" s="130">
        <f t="shared" si="7"/>
        <v>-1150000</v>
      </c>
    </row>
    <row r="84" spans="3:5" x14ac:dyDescent="0.3">
      <c r="C84" s="124">
        <v>4</v>
      </c>
      <c r="D84" s="58">
        <v>350000</v>
      </c>
      <c r="E84" s="130">
        <f t="shared" si="7"/>
        <v>-800000</v>
      </c>
    </row>
    <row r="85" spans="3:5" x14ac:dyDescent="0.3">
      <c r="C85" s="95">
        <v>5</v>
      </c>
      <c r="D85" s="58">
        <v>400000</v>
      </c>
      <c r="E85" s="130">
        <f t="shared" si="7"/>
        <v>-400000</v>
      </c>
    </row>
    <row r="86" spans="3:5" x14ac:dyDescent="0.3">
      <c r="C86" s="95">
        <v>6</v>
      </c>
      <c r="D86" s="58">
        <v>400000</v>
      </c>
      <c r="E86" s="130">
        <f t="shared" si="7"/>
        <v>0</v>
      </c>
    </row>
    <row r="87" spans="3:5" x14ac:dyDescent="0.3">
      <c r="C87" s="95">
        <v>7</v>
      </c>
      <c r="D87" s="58">
        <v>400000</v>
      </c>
      <c r="E87" s="130">
        <f t="shared" ref="E87:E90" si="8">E86+D87</f>
        <v>400000</v>
      </c>
    </row>
    <row r="88" spans="3:5" x14ac:dyDescent="0.3">
      <c r="C88" s="95">
        <v>8</v>
      </c>
      <c r="D88" s="58">
        <v>400000</v>
      </c>
      <c r="E88" s="130">
        <f t="shared" si="8"/>
        <v>800000</v>
      </c>
    </row>
    <row r="89" spans="3:5" x14ac:dyDescent="0.3">
      <c r="C89" s="95">
        <v>9</v>
      </c>
      <c r="D89" s="58">
        <v>400000</v>
      </c>
      <c r="E89" s="130">
        <f t="shared" si="8"/>
        <v>1200000</v>
      </c>
    </row>
    <row r="90" spans="3:5" x14ac:dyDescent="0.3">
      <c r="C90" s="95">
        <v>10</v>
      </c>
      <c r="D90" s="58">
        <v>400000</v>
      </c>
      <c r="E90" s="130">
        <f t="shared" si="8"/>
        <v>1600000</v>
      </c>
    </row>
    <row r="92" spans="3:5" x14ac:dyDescent="0.3">
      <c r="C92" s="2" t="s">
        <v>289</v>
      </c>
    </row>
    <row r="97" spans="3:15" x14ac:dyDescent="0.3">
      <c r="C97" s="94" t="s">
        <v>293</v>
      </c>
    </row>
    <row r="98" spans="3:15" x14ac:dyDescent="0.3">
      <c r="I98" s="132">
        <v>0.12</v>
      </c>
      <c r="K98" s="2" t="s">
        <v>279</v>
      </c>
    </row>
    <row r="99" spans="3:15" x14ac:dyDescent="0.3">
      <c r="C99" s="128" t="s">
        <v>278</v>
      </c>
      <c r="D99" s="128" t="s">
        <v>233</v>
      </c>
      <c r="E99" s="128" t="s">
        <v>234</v>
      </c>
      <c r="F99" s="128" t="s">
        <v>235</v>
      </c>
      <c r="G99" s="128" t="s">
        <v>236</v>
      </c>
      <c r="I99" s="2" t="s">
        <v>294</v>
      </c>
      <c r="K99" s="128" t="s">
        <v>278</v>
      </c>
      <c r="L99" s="128" t="s">
        <v>233</v>
      </c>
      <c r="M99" s="128" t="s">
        <v>234</v>
      </c>
      <c r="N99" s="128" t="s">
        <v>235</v>
      </c>
      <c r="O99" s="128" t="s">
        <v>236</v>
      </c>
    </row>
    <row r="100" spans="3:15" x14ac:dyDescent="0.3">
      <c r="C100" s="95">
        <v>0</v>
      </c>
      <c r="D100" s="58">
        <v>-400000</v>
      </c>
      <c r="E100" s="58">
        <v>-420000</v>
      </c>
      <c r="F100" s="58">
        <v>-450000</v>
      </c>
      <c r="G100" s="58">
        <v>-500000</v>
      </c>
      <c r="I100" s="133">
        <f>1/((POWER((1+$I$98),C100)))</f>
        <v>1</v>
      </c>
      <c r="K100" s="95">
        <v>0</v>
      </c>
      <c r="L100" s="58">
        <f>D100*$I100</f>
        <v>-400000</v>
      </c>
      <c r="M100" s="58">
        <f t="shared" ref="M100:O105" si="9">E100*$I100</f>
        <v>-420000</v>
      </c>
      <c r="N100" s="58">
        <f t="shared" si="9"/>
        <v>-450000</v>
      </c>
      <c r="O100" s="58">
        <f t="shared" si="9"/>
        <v>-500000</v>
      </c>
    </row>
    <row r="101" spans="3:15" x14ac:dyDescent="0.3">
      <c r="C101" s="95">
        <v>1</v>
      </c>
      <c r="D101" s="58">
        <v>110000</v>
      </c>
      <c r="E101" s="58">
        <v>80000</v>
      </c>
      <c r="F101" s="58">
        <v>140000</v>
      </c>
      <c r="G101" s="58">
        <v>150000</v>
      </c>
      <c r="I101" s="133">
        <f t="shared" ref="I101:I105" si="10">1/((POWER((1+$I$98),C101)))</f>
        <v>0.89285714285714279</v>
      </c>
      <c r="K101" s="95">
        <v>1</v>
      </c>
      <c r="L101" s="58">
        <f t="shared" ref="L101" si="11">D101*$I101</f>
        <v>98214.28571428571</v>
      </c>
      <c r="M101" s="58">
        <f t="shared" si="9"/>
        <v>71428.57142857142</v>
      </c>
      <c r="N101" s="58">
        <f t="shared" si="9"/>
        <v>124999.99999999999</v>
      </c>
      <c r="O101" s="58">
        <f t="shared" si="9"/>
        <v>133928.57142857142</v>
      </c>
    </row>
    <row r="102" spans="3:15" x14ac:dyDescent="0.3">
      <c r="C102" s="95">
        <v>2</v>
      </c>
      <c r="D102" s="58">
        <v>110000</v>
      </c>
      <c r="E102" s="58">
        <v>90000</v>
      </c>
      <c r="F102" s="58">
        <v>150000</v>
      </c>
      <c r="G102" s="58">
        <v>140000</v>
      </c>
      <c r="I102" s="133">
        <f t="shared" si="10"/>
        <v>0.79719387755102034</v>
      </c>
      <c r="K102" s="95">
        <v>2</v>
      </c>
      <c r="L102" s="58">
        <f t="shared" ref="L102:L105" si="12">D102*$I102</f>
        <v>87691.326530612234</v>
      </c>
      <c r="M102" s="58">
        <f t="shared" si="9"/>
        <v>71747.448979591834</v>
      </c>
      <c r="N102" s="58">
        <f t="shared" si="9"/>
        <v>119579.08163265305</v>
      </c>
      <c r="O102" s="58">
        <f t="shared" si="9"/>
        <v>111607.14285714284</v>
      </c>
    </row>
    <row r="103" spans="3:15" x14ac:dyDescent="0.3">
      <c r="C103" s="95">
        <v>3</v>
      </c>
      <c r="D103" s="58">
        <v>110000</v>
      </c>
      <c r="E103" s="58">
        <v>110000</v>
      </c>
      <c r="F103" s="58">
        <v>120000</v>
      </c>
      <c r="G103" s="58">
        <v>120000</v>
      </c>
      <c r="I103" s="133">
        <f t="shared" si="10"/>
        <v>0.71178024781341087</v>
      </c>
      <c r="K103" s="95">
        <v>3</v>
      </c>
      <c r="L103" s="58">
        <f t="shared" si="12"/>
        <v>78295.827259475191</v>
      </c>
      <c r="M103" s="58">
        <f t="shared" si="9"/>
        <v>78295.827259475191</v>
      </c>
      <c r="N103" s="58">
        <f t="shared" si="9"/>
        <v>85413.629737609299</v>
      </c>
      <c r="O103" s="58">
        <f t="shared" si="9"/>
        <v>85413.629737609299</v>
      </c>
    </row>
    <row r="104" spans="3:15" x14ac:dyDescent="0.3">
      <c r="C104" s="95">
        <v>4</v>
      </c>
      <c r="D104" s="58">
        <v>110000</v>
      </c>
      <c r="E104" s="58">
        <v>125000</v>
      </c>
      <c r="F104" s="58">
        <v>160000</v>
      </c>
      <c r="G104" s="58">
        <v>90000</v>
      </c>
      <c r="I104" s="133">
        <f t="shared" si="10"/>
        <v>0.63551807840483121</v>
      </c>
      <c r="K104" s="95">
        <v>4</v>
      </c>
      <c r="L104" s="58">
        <f t="shared" si="12"/>
        <v>69906.988624531426</v>
      </c>
      <c r="M104" s="58">
        <f t="shared" si="9"/>
        <v>79439.759800603904</v>
      </c>
      <c r="N104" s="58">
        <f t="shared" si="9"/>
        <v>101682.892544773</v>
      </c>
      <c r="O104" s="58">
        <f t="shared" si="9"/>
        <v>57196.627056434809</v>
      </c>
    </row>
    <row r="105" spans="3:15" x14ac:dyDescent="0.3">
      <c r="C105" s="95">
        <v>5</v>
      </c>
      <c r="D105" s="58">
        <v>110000</v>
      </c>
      <c r="E105" s="58">
        <v>200000</v>
      </c>
      <c r="F105" s="58">
        <v>200000</v>
      </c>
      <c r="G105" s="58">
        <v>75000</v>
      </c>
      <c r="I105" s="133">
        <f t="shared" si="10"/>
        <v>0.56742685571859919</v>
      </c>
      <c r="K105" s="95">
        <v>5</v>
      </c>
      <c r="L105" s="58">
        <f t="shared" si="12"/>
        <v>62416.954129045909</v>
      </c>
      <c r="M105" s="58">
        <f t="shared" si="9"/>
        <v>113485.37114371984</v>
      </c>
      <c r="N105" s="58">
        <f t="shared" si="9"/>
        <v>113485.37114371984</v>
      </c>
      <c r="O105" s="58">
        <f t="shared" si="9"/>
        <v>42557.01417889494</v>
      </c>
    </row>
    <row r="106" spans="3:15" x14ac:dyDescent="0.3">
      <c r="K106" s="125"/>
      <c r="L106" s="134">
        <f>SUM(L100:L105)</f>
        <v>-3474.6177420495442</v>
      </c>
      <c r="M106" s="134">
        <f t="shared" ref="M106:O106" si="13">SUM(M100:M105)</f>
        <v>-5603.0213880378142</v>
      </c>
      <c r="N106" s="134">
        <f t="shared" si="13"/>
        <v>95160.975058755183</v>
      </c>
      <c r="O106" s="134">
        <f t="shared" si="13"/>
        <v>-69297.014741346691</v>
      </c>
    </row>
    <row r="108" spans="3:15" x14ac:dyDescent="0.3">
      <c r="C108" s="94" t="s">
        <v>295</v>
      </c>
    </row>
    <row r="111" spans="3:15" x14ac:dyDescent="0.3">
      <c r="C111" s="135" t="s">
        <v>297</v>
      </c>
    </row>
    <row r="114" spans="3:6" x14ac:dyDescent="0.3">
      <c r="C114" s="95" t="s">
        <v>298</v>
      </c>
      <c r="D114" s="136">
        <v>0.12</v>
      </c>
      <c r="E114" s="137">
        <f>D114+0.5%</f>
        <v>0.125</v>
      </c>
      <c r="F114" s="137">
        <f>D114-0.5%</f>
        <v>0.11499999999999999</v>
      </c>
    </row>
    <row r="115" spans="3:6" x14ac:dyDescent="0.3">
      <c r="C115" s="95">
        <v>0</v>
      </c>
      <c r="D115" s="123">
        <f>1/((POWER((1+D$114),$C115)))</f>
        <v>1</v>
      </c>
      <c r="E115" s="123">
        <f t="shared" ref="E115:F115" si="14">1/((POWER((1+E$114),$C115)))</f>
        <v>1</v>
      </c>
      <c r="F115" s="123">
        <f t="shared" si="14"/>
        <v>1</v>
      </c>
    </row>
    <row r="116" spans="3:6" x14ac:dyDescent="0.3">
      <c r="C116" s="95">
        <v>1</v>
      </c>
      <c r="D116" s="123">
        <f t="shared" ref="D116:F120" si="15">1/((POWER((1+D$114),$C116)))</f>
        <v>0.89285714285714279</v>
      </c>
      <c r="E116" s="123">
        <f t="shared" si="15"/>
        <v>0.88888888888888884</v>
      </c>
      <c r="F116" s="123">
        <f t="shared" si="15"/>
        <v>0.89686098654708524</v>
      </c>
    </row>
    <row r="117" spans="3:6" x14ac:dyDescent="0.3">
      <c r="C117" s="95">
        <v>2</v>
      </c>
      <c r="D117" s="123">
        <f t="shared" si="15"/>
        <v>0.79719387755102034</v>
      </c>
      <c r="E117" s="123">
        <f t="shared" si="15"/>
        <v>0.79012345679012341</v>
      </c>
      <c r="F117" s="123">
        <f t="shared" si="15"/>
        <v>0.80435962919021098</v>
      </c>
    </row>
    <row r="118" spans="3:6" x14ac:dyDescent="0.3">
      <c r="C118" s="95">
        <v>3</v>
      </c>
      <c r="D118" s="123">
        <f t="shared" si="15"/>
        <v>0.71178024781341087</v>
      </c>
      <c r="E118" s="123">
        <f t="shared" si="15"/>
        <v>0.7023319615912208</v>
      </c>
      <c r="F118" s="123">
        <f t="shared" si="15"/>
        <v>0.72139877057418023</v>
      </c>
    </row>
    <row r="119" spans="3:6" x14ac:dyDescent="0.3">
      <c r="C119" s="95">
        <v>4</v>
      </c>
      <c r="D119" s="123">
        <f t="shared" si="15"/>
        <v>0.63551807840483121</v>
      </c>
      <c r="E119" s="123">
        <f t="shared" si="15"/>
        <v>0.62429507696997411</v>
      </c>
      <c r="F119" s="123">
        <f t="shared" si="15"/>
        <v>0.64699441307101357</v>
      </c>
    </row>
    <row r="120" spans="3:6" x14ac:dyDescent="0.3">
      <c r="C120" s="95">
        <v>5</v>
      </c>
      <c r="D120" s="123">
        <f t="shared" si="15"/>
        <v>0.56742685571859919</v>
      </c>
      <c r="E120" s="123">
        <f t="shared" si="15"/>
        <v>0.5549289573066436</v>
      </c>
      <c r="F120" s="123">
        <f t="shared" si="15"/>
        <v>0.58026404759732153</v>
      </c>
    </row>
    <row r="124" spans="3:6" x14ac:dyDescent="0.3">
      <c r="C124" s="2" t="s">
        <v>299</v>
      </c>
    </row>
    <row r="125" spans="3:6" x14ac:dyDescent="0.3">
      <c r="C125" s="128" t="s">
        <v>233</v>
      </c>
      <c r="D125" s="128" t="s">
        <v>234</v>
      </c>
      <c r="E125" s="128" t="s">
        <v>235</v>
      </c>
      <c r="F125" s="128" t="s">
        <v>236</v>
      </c>
    </row>
    <row r="126" spans="3:6" x14ac:dyDescent="0.3">
      <c r="C126" s="58">
        <f t="shared" ref="C126:F131" si="16">D100*$E115</f>
        <v>-400000</v>
      </c>
      <c r="D126" s="58">
        <f t="shared" si="16"/>
        <v>-420000</v>
      </c>
      <c r="E126" s="58">
        <f t="shared" si="16"/>
        <v>-450000</v>
      </c>
      <c r="F126" s="58">
        <f t="shared" si="16"/>
        <v>-500000</v>
      </c>
    </row>
    <row r="127" spans="3:6" x14ac:dyDescent="0.3">
      <c r="C127" s="58">
        <f t="shared" si="16"/>
        <v>97777.777777777766</v>
      </c>
      <c r="D127" s="58">
        <f t="shared" si="16"/>
        <v>71111.111111111109</v>
      </c>
      <c r="E127" s="58">
        <f t="shared" si="16"/>
        <v>124444.44444444444</v>
      </c>
      <c r="F127" s="58">
        <f t="shared" si="16"/>
        <v>133333.33333333331</v>
      </c>
    </row>
    <row r="128" spans="3:6" x14ac:dyDescent="0.3">
      <c r="C128" s="58">
        <f t="shared" si="16"/>
        <v>86913.580246913582</v>
      </c>
      <c r="D128" s="58">
        <f t="shared" si="16"/>
        <v>71111.111111111109</v>
      </c>
      <c r="E128" s="58">
        <f t="shared" si="16"/>
        <v>118518.51851851851</v>
      </c>
      <c r="F128" s="58">
        <f t="shared" si="16"/>
        <v>110617.28395061727</v>
      </c>
    </row>
    <row r="129" spans="3:6" x14ac:dyDescent="0.3">
      <c r="C129" s="58">
        <f t="shared" si="16"/>
        <v>77256.515775034291</v>
      </c>
      <c r="D129" s="58">
        <f t="shared" si="16"/>
        <v>77256.515775034291</v>
      </c>
      <c r="E129" s="58">
        <f t="shared" si="16"/>
        <v>84279.835390946493</v>
      </c>
      <c r="F129" s="58">
        <f t="shared" si="16"/>
        <v>84279.835390946493</v>
      </c>
    </row>
    <row r="130" spans="3:6" x14ac:dyDescent="0.3">
      <c r="C130" s="58">
        <f t="shared" si="16"/>
        <v>68672.45846669715</v>
      </c>
      <c r="D130" s="58">
        <f t="shared" si="16"/>
        <v>78036.884621246762</v>
      </c>
      <c r="E130" s="58">
        <f t="shared" si="16"/>
        <v>99887.212315195851</v>
      </c>
      <c r="F130" s="58">
        <f t="shared" si="16"/>
        <v>56186.556927297672</v>
      </c>
    </row>
    <row r="131" spans="3:6" x14ac:dyDescent="0.3">
      <c r="C131" s="58">
        <f t="shared" si="16"/>
        <v>61042.185303730796</v>
      </c>
      <c r="D131" s="58">
        <f t="shared" si="16"/>
        <v>110985.79146132871</v>
      </c>
      <c r="E131" s="58">
        <f t="shared" si="16"/>
        <v>110985.79146132871</v>
      </c>
      <c r="F131" s="58">
        <f t="shared" si="16"/>
        <v>41619.671797998271</v>
      </c>
    </row>
    <row r="132" spans="3:6" x14ac:dyDescent="0.3">
      <c r="C132" s="130">
        <f>SUM(C126:C131)</f>
        <v>-8337.4824298464155</v>
      </c>
      <c r="D132" s="130">
        <f t="shared" ref="D132:F132" si="17">SUM(D126:D131)</f>
        <v>-11498.585920167985</v>
      </c>
      <c r="E132" s="134">
        <f t="shared" si="17"/>
        <v>88115.802130434007</v>
      </c>
      <c r="F132" s="130">
        <f t="shared" si="17"/>
        <v>-73963.318599806953</v>
      </c>
    </row>
    <row r="134" spans="3:6" x14ac:dyDescent="0.3">
      <c r="C134" s="2" t="s">
        <v>300</v>
      </c>
    </row>
    <row r="135" spans="3:6" x14ac:dyDescent="0.3">
      <c r="C135" s="138" t="s">
        <v>233</v>
      </c>
      <c r="D135" s="138" t="s">
        <v>234</v>
      </c>
      <c r="E135" s="138" t="s">
        <v>235</v>
      </c>
      <c r="F135" s="138" t="s">
        <v>236</v>
      </c>
    </row>
    <row r="136" spans="3:6" x14ac:dyDescent="0.3">
      <c r="C136" s="58">
        <f>D100*$F115</f>
        <v>-400000</v>
      </c>
      <c r="D136" s="58">
        <f t="shared" ref="D136:F136" si="18">E100*$F115</f>
        <v>-420000</v>
      </c>
      <c r="E136" s="58">
        <f t="shared" si="18"/>
        <v>-450000</v>
      </c>
      <c r="F136" s="58">
        <f t="shared" si="18"/>
        <v>-500000</v>
      </c>
    </row>
    <row r="137" spans="3:6" x14ac:dyDescent="0.3">
      <c r="C137" s="58">
        <f t="shared" ref="C137:F141" si="19">D101*$F116</f>
        <v>98654.708520179382</v>
      </c>
      <c r="D137" s="58">
        <f t="shared" si="19"/>
        <v>71748.878923766824</v>
      </c>
      <c r="E137" s="58">
        <f t="shared" si="19"/>
        <v>125560.53811659194</v>
      </c>
      <c r="F137" s="58">
        <f t="shared" si="19"/>
        <v>134529.14798206277</v>
      </c>
    </row>
    <row r="138" spans="3:6" x14ac:dyDescent="0.3">
      <c r="C138" s="58">
        <f t="shared" si="19"/>
        <v>88479.559210923209</v>
      </c>
      <c r="D138" s="58">
        <f t="shared" si="19"/>
        <v>72392.366627118987</v>
      </c>
      <c r="E138" s="58">
        <f t="shared" si="19"/>
        <v>120653.94437853164</v>
      </c>
      <c r="F138" s="58">
        <f t="shared" si="19"/>
        <v>112610.34808662954</v>
      </c>
    </row>
    <row r="139" spans="3:6" x14ac:dyDescent="0.3">
      <c r="C139" s="58">
        <f t="shared" si="19"/>
        <v>79353.864763159829</v>
      </c>
      <c r="D139" s="58">
        <f t="shared" si="19"/>
        <v>79353.864763159829</v>
      </c>
      <c r="E139" s="58">
        <f t="shared" si="19"/>
        <v>86567.852468901634</v>
      </c>
      <c r="F139" s="58">
        <f t="shared" si="19"/>
        <v>86567.852468901634</v>
      </c>
    </row>
    <row r="140" spans="3:6" x14ac:dyDescent="0.3">
      <c r="C140" s="58">
        <f t="shared" si="19"/>
        <v>71169.385437811492</v>
      </c>
      <c r="D140" s="58">
        <f t="shared" si="19"/>
        <v>80874.30163387669</v>
      </c>
      <c r="E140" s="58">
        <f t="shared" si="19"/>
        <v>103519.10609136218</v>
      </c>
      <c r="F140" s="58">
        <f t="shared" si="19"/>
        <v>58229.497176391218</v>
      </c>
    </row>
    <row r="141" spans="3:6" x14ac:dyDescent="0.3">
      <c r="C141" s="58">
        <f t="shared" si="19"/>
        <v>63829.045235705365</v>
      </c>
      <c r="D141" s="58">
        <f t="shared" si="19"/>
        <v>116052.80951946431</v>
      </c>
      <c r="E141" s="58">
        <f t="shared" si="19"/>
        <v>116052.80951946431</v>
      </c>
      <c r="F141" s="58">
        <f t="shared" si="19"/>
        <v>43519.803569799114</v>
      </c>
    </row>
    <row r="142" spans="3:6" x14ac:dyDescent="0.3">
      <c r="C142" s="58">
        <f>SUM(C136:C141)</f>
        <v>1486.5631677792771</v>
      </c>
      <c r="D142" s="58">
        <f t="shared" ref="D142:F142" si="20">SUM(D136:D141)</f>
        <v>422.22146738662559</v>
      </c>
      <c r="E142" s="126">
        <f t="shared" si="20"/>
        <v>102354.2505748517</v>
      </c>
      <c r="F142" s="58">
        <f t="shared" si="20"/>
        <v>-64543.350716215733</v>
      </c>
    </row>
  </sheetData>
  <mergeCells count="2">
    <mergeCell ref="C8:H9"/>
    <mergeCell ref="C18:G19"/>
  </mergeCells>
  <phoneticPr fontId="9"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2283B-3221-4A25-993D-4BAF71BE000F}">
  <dimension ref="B3:L71"/>
  <sheetViews>
    <sheetView showGridLines="0" tabSelected="1" workbookViewId="0">
      <selection activeCell="K10" sqref="K10"/>
    </sheetView>
  </sheetViews>
  <sheetFormatPr defaultRowHeight="13.8" x14ac:dyDescent="0.3"/>
  <cols>
    <col min="1" max="2" width="8.88671875" style="165"/>
    <col min="3" max="3" width="14.44140625" style="165" bestFit="1" customWidth="1"/>
    <col min="4" max="4" width="17" style="165" customWidth="1"/>
    <col min="5" max="9" width="14.109375" style="165" bestFit="1" customWidth="1"/>
    <col min="10" max="11" width="15.77734375" style="165" bestFit="1" customWidth="1"/>
    <col min="12" max="12" width="13.77734375" style="165" bestFit="1" customWidth="1"/>
    <col min="13" max="13" width="8.88671875" style="165"/>
    <col min="14" max="14" width="14.109375" style="165" bestFit="1" customWidth="1"/>
    <col min="15" max="15" width="14.6640625" style="165" bestFit="1" customWidth="1"/>
    <col min="16" max="16384" width="8.88671875" style="165"/>
  </cols>
  <sheetData>
    <row r="3" spans="2:10" x14ac:dyDescent="0.3">
      <c r="B3" s="165" t="s">
        <v>422</v>
      </c>
    </row>
    <row r="4" spans="2:10" x14ac:dyDescent="0.3">
      <c r="C4" s="165" t="s">
        <v>400</v>
      </c>
    </row>
    <row r="6" spans="2:10" x14ac:dyDescent="0.3">
      <c r="C6" s="111" t="s">
        <v>4</v>
      </c>
      <c r="D6" s="111" t="s">
        <v>251</v>
      </c>
      <c r="E6" s="111" t="s">
        <v>72</v>
      </c>
      <c r="F6" s="111" t="s">
        <v>73</v>
      </c>
      <c r="G6" s="111" t="s">
        <v>74</v>
      </c>
      <c r="H6" s="111" t="s">
        <v>75</v>
      </c>
      <c r="I6" s="111" t="s">
        <v>76</v>
      </c>
      <c r="J6" s="111" t="s">
        <v>77</v>
      </c>
    </row>
    <row r="7" spans="2:10" x14ac:dyDescent="0.3">
      <c r="C7" s="166" t="s">
        <v>5</v>
      </c>
      <c r="D7" s="167">
        <v>12400000</v>
      </c>
      <c r="E7" s="167">
        <v>13888000.000000002</v>
      </c>
      <c r="F7" s="167">
        <v>15554560.000000004</v>
      </c>
      <c r="G7" s="167">
        <v>17421107.200000007</v>
      </c>
      <c r="H7" s="167">
        <v>20905328.640000008</v>
      </c>
      <c r="I7" s="167">
        <v>25086394.368000008</v>
      </c>
      <c r="J7" s="168">
        <v>30103673.241600011</v>
      </c>
    </row>
    <row r="8" spans="2:10" x14ac:dyDescent="0.3">
      <c r="C8" s="166" t="s">
        <v>1</v>
      </c>
      <c r="D8" s="167">
        <v>3600000</v>
      </c>
      <c r="E8" s="167">
        <v>4000000</v>
      </c>
      <c r="F8" s="167">
        <v>4400000</v>
      </c>
      <c r="G8" s="167">
        <v>4800000</v>
      </c>
      <c r="H8" s="167">
        <v>5200000</v>
      </c>
      <c r="I8" s="167">
        <v>5600000</v>
      </c>
      <c r="J8" s="168">
        <v>6000000</v>
      </c>
    </row>
    <row r="9" spans="2:10" x14ac:dyDescent="0.3">
      <c r="C9" s="169" t="s">
        <v>6</v>
      </c>
      <c r="D9" s="170">
        <f>SUM(D7:D8)</f>
        <v>16000000</v>
      </c>
      <c r="E9" s="170">
        <f t="shared" ref="E9:J9" si="0">SUM(E7:E8)</f>
        <v>17888000</v>
      </c>
      <c r="F9" s="170">
        <f t="shared" si="0"/>
        <v>19954560.000000004</v>
      </c>
      <c r="G9" s="170">
        <f t="shared" si="0"/>
        <v>22221107.200000007</v>
      </c>
      <c r="H9" s="170">
        <f t="shared" si="0"/>
        <v>26105328.640000008</v>
      </c>
      <c r="I9" s="170">
        <f t="shared" si="0"/>
        <v>30686394.368000008</v>
      </c>
      <c r="J9" s="171">
        <f t="shared" si="0"/>
        <v>36103673.241600007</v>
      </c>
    </row>
    <row r="10" spans="2:10" x14ac:dyDescent="0.3">
      <c r="C10" s="172" t="s">
        <v>7</v>
      </c>
      <c r="D10" s="173">
        <v>2500000</v>
      </c>
      <c r="E10" s="173">
        <v>2750000</v>
      </c>
      <c r="F10" s="173">
        <v>3025000.0000000005</v>
      </c>
      <c r="G10" s="173">
        <v>3630000.0000000005</v>
      </c>
      <c r="H10" s="173">
        <v>4356000</v>
      </c>
      <c r="I10" s="173">
        <v>5227200</v>
      </c>
      <c r="J10" s="174">
        <v>6272640</v>
      </c>
    </row>
    <row r="11" spans="2:10" x14ac:dyDescent="0.3">
      <c r="C11" s="169" t="s">
        <v>8</v>
      </c>
      <c r="D11" s="170">
        <f>D9-D10</f>
        <v>13500000</v>
      </c>
      <c r="E11" s="170">
        <f t="shared" ref="E11:J11" si="1">E9-E10</f>
        <v>15138000</v>
      </c>
      <c r="F11" s="170">
        <f t="shared" si="1"/>
        <v>16929560.000000004</v>
      </c>
      <c r="G11" s="170">
        <f t="shared" si="1"/>
        <v>18591107.200000007</v>
      </c>
      <c r="H11" s="170">
        <f t="shared" si="1"/>
        <v>21749328.640000008</v>
      </c>
      <c r="I11" s="170">
        <f t="shared" si="1"/>
        <v>25459194.368000008</v>
      </c>
      <c r="J11" s="171">
        <f t="shared" si="1"/>
        <v>29831033.241600007</v>
      </c>
    </row>
    <row r="12" spans="2:10" x14ac:dyDescent="0.3">
      <c r="C12" s="172" t="s">
        <v>9</v>
      </c>
      <c r="D12" s="173">
        <v>2524000</v>
      </c>
      <c r="E12" s="173">
        <v>3994400.0000000005</v>
      </c>
      <c r="F12" s="173">
        <v>5133728.0000000009</v>
      </c>
      <c r="G12" s="173">
        <v>6461255.3600000022</v>
      </c>
      <c r="H12" s="173">
        <v>8700106.2912000045</v>
      </c>
      <c r="I12" s="173">
        <v>10703665.549440004</v>
      </c>
      <c r="J12" s="174">
        <v>13037659.859328005</v>
      </c>
    </row>
    <row r="13" spans="2:10" x14ac:dyDescent="0.3">
      <c r="C13" s="169" t="s">
        <v>10</v>
      </c>
      <c r="D13" s="170">
        <f>D11-D12</f>
        <v>10976000</v>
      </c>
      <c r="E13" s="170">
        <f t="shared" ref="E13:J13" si="2">E11-E12</f>
        <v>11143600</v>
      </c>
      <c r="F13" s="170">
        <f t="shared" si="2"/>
        <v>11795832.000000004</v>
      </c>
      <c r="G13" s="170">
        <f t="shared" si="2"/>
        <v>12129851.840000004</v>
      </c>
      <c r="H13" s="170">
        <f t="shared" si="2"/>
        <v>13049222.348800004</v>
      </c>
      <c r="I13" s="170">
        <f t="shared" si="2"/>
        <v>14755528.818560004</v>
      </c>
      <c r="J13" s="171">
        <f t="shared" si="2"/>
        <v>16793373.382272001</v>
      </c>
    </row>
    <row r="14" spans="2:10" x14ac:dyDescent="0.3">
      <c r="C14" s="166" t="s">
        <v>12</v>
      </c>
      <c r="D14" s="167">
        <f>P30+P31</f>
        <v>0</v>
      </c>
      <c r="E14" s="167">
        <f>D14</f>
        <v>0</v>
      </c>
      <c r="F14" s="167">
        <v>1050000</v>
      </c>
      <c r="G14" s="167">
        <v>1050000</v>
      </c>
      <c r="H14" s="167">
        <v>900000</v>
      </c>
      <c r="I14" s="167">
        <v>900000</v>
      </c>
      <c r="J14" s="168">
        <v>900000</v>
      </c>
    </row>
    <row r="15" spans="2:10" x14ac:dyDescent="0.3">
      <c r="C15" s="166" t="s">
        <v>11</v>
      </c>
      <c r="D15" s="167">
        <v>625000</v>
      </c>
      <c r="E15" s="167">
        <v>543750</v>
      </c>
      <c r="F15" s="167">
        <v>473437.5</v>
      </c>
      <c r="G15" s="167">
        <v>412546.875</v>
      </c>
      <c r="H15" s="167">
        <v>359777.34375</v>
      </c>
      <c r="I15" s="167">
        <v>314011.9921875</v>
      </c>
      <c r="J15" s="168">
        <v>274291.318359375</v>
      </c>
    </row>
    <row r="16" spans="2:10" x14ac:dyDescent="0.3">
      <c r="C16" s="169" t="s">
        <v>13</v>
      </c>
      <c r="D16" s="170">
        <f>D13-D14-D15</f>
        <v>10351000</v>
      </c>
      <c r="E16" s="170">
        <f t="shared" ref="E16:J16" si="3">E13-E14-E15</f>
        <v>10599850</v>
      </c>
      <c r="F16" s="170">
        <f t="shared" si="3"/>
        <v>10272394.500000004</v>
      </c>
      <c r="G16" s="170">
        <f t="shared" si="3"/>
        <v>10667304.965000004</v>
      </c>
      <c r="H16" s="170">
        <f t="shared" si="3"/>
        <v>11789445.005050004</v>
      </c>
      <c r="I16" s="170">
        <f t="shared" si="3"/>
        <v>13541516.826372504</v>
      </c>
      <c r="J16" s="171">
        <f t="shared" si="3"/>
        <v>15619082.063912626</v>
      </c>
    </row>
    <row r="17" spans="3:10" x14ac:dyDescent="0.3">
      <c r="C17" s="166" t="s">
        <v>14</v>
      </c>
      <c r="D17" s="167">
        <v>2525250</v>
      </c>
      <c r="E17" s="167">
        <v>2587462.5</v>
      </c>
      <c r="F17" s="167">
        <v>2568098.6250000005</v>
      </c>
      <c r="G17" s="167">
        <v>2666826.2412500009</v>
      </c>
      <c r="H17" s="167">
        <v>2947361.2512625009</v>
      </c>
      <c r="I17" s="167">
        <v>3385379.2065931261</v>
      </c>
      <c r="J17" s="168">
        <v>3904770.5159781557</v>
      </c>
    </row>
    <row r="18" spans="3:10" x14ac:dyDescent="0.3">
      <c r="C18" s="169" t="s">
        <v>17</v>
      </c>
      <c r="D18" s="170">
        <f>D16-D17</f>
        <v>7825750</v>
      </c>
      <c r="E18" s="170">
        <f t="shared" ref="E18:J18" si="4">E16-E17</f>
        <v>8012387.5</v>
      </c>
      <c r="F18" s="170">
        <f t="shared" si="4"/>
        <v>7704295.8750000037</v>
      </c>
      <c r="G18" s="170">
        <f t="shared" si="4"/>
        <v>8000478.7237500027</v>
      </c>
      <c r="H18" s="170">
        <f t="shared" si="4"/>
        <v>8842083.7537875026</v>
      </c>
      <c r="I18" s="170">
        <f t="shared" si="4"/>
        <v>10156137.619779378</v>
      </c>
      <c r="J18" s="171">
        <f t="shared" si="4"/>
        <v>11714311.547934471</v>
      </c>
    </row>
    <row r="20" spans="3:10" x14ac:dyDescent="0.3">
      <c r="C20" s="165" t="s">
        <v>401</v>
      </c>
    </row>
    <row r="21" spans="3:10" x14ac:dyDescent="0.3">
      <c r="C21" s="165" t="s">
        <v>402</v>
      </c>
    </row>
    <row r="22" spans="3:10" x14ac:dyDescent="0.3">
      <c r="C22" s="165" t="s">
        <v>407</v>
      </c>
    </row>
    <row r="23" spans="3:10" x14ac:dyDescent="0.3">
      <c r="C23" s="165" t="s">
        <v>410</v>
      </c>
    </row>
    <row r="24" spans="3:10" x14ac:dyDescent="0.3">
      <c r="C24" s="165" t="s">
        <v>412</v>
      </c>
    </row>
    <row r="25" spans="3:10" x14ac:dyDescent="0.3">
      <c r="C25" s="165" t="s">
        <v>418</v>
      </c>
    </row>
    <row r="27" spans="3:10" x14ac:dyDescent="0.3">
      <c r="C27" s="165" t="s">
        <v>408</v>
      </c>
    </row>
    <row r="28" spans="3:10" x14ac:dyDescent="0.3">
      <c r="C28" s="165" t="s">
        <v>409</v>
      </c>
    </row>
    <row r="29" spans="3:10" x14ac:dyDescent="0.3">
      <c r="C29" s="165" t="s">
        <v>411</v>
      </c>
    </row>
    <row r="30" spans="3:10" x14ac:dyDescent="0.3">
      <c r="C30" s="165" t="s">
        <v>421</v>
      </c>
    </row>
    <row r="36" spans="3:8" x14ac:dyDescent="0.3">
      <c r="C36" s="189" t="s">
        <v>262</v>
      </c>
    </row>
    <row r="38" spans="3:8" x14ac:dyDescent="0.3">
      <c r="C38" s="189" t="s">
        <v>413</v>
      </c>
    </row>
    <row r="41" spans="3:8" ht="27.6" x14ac:dyDescent="0.3">
      <c r="C41" s="186" t="s">
        <v>317</v>
      </c>
      <c r="D41" s="187" t="s">
        <v>23</v>
      </c>
      <c r="E41" s="188" t="s">
        <v>321</v>
      </c>
      <c r="F41" s="186" t="s">
        <v>406</v>
      </c>
      <c r="G41" s="186" t="s">
        <v>316</v>
      </c>
    </row>
    <row r="42" spans="3:8" x14ac:dyDescent="0.3">
      <c r="C42" s="178" t="s">
        <v>404</v>
      </c>
      <c r="D42" s="179">
        <f>(D44*1.5)/5*1</f>
        <v>1200000</v>
      </c>
      <c r="E42" s="180">
        <f>8%*(1-20%)</f>
        <v>6.4000000000000001E-2</v>
      </c>
      <c r="F42" s="181">
        <f>D42/$D$45</f>
        <v>0.12</v>
      </c>
      <c r="G42" s="182">
        <f>E42*F42</f>
        <v>7.6800000000000002E-3</v>
      </c>
    </row>
    <row r="43" spans="3:8" x14ac:dyDescent="0.3">
      <c r="C43" s="178" t="s">
        <v>405</v>
      </c>
      <c r="D43" s="179">
        <f>(D44*1.5)/5*4</f>
        <v>4800000</v>
      </c>
      <c r="E43" s="180">
        <f>12%*(1-20%)</f>
        <v>9.6000000000000002E-2</v>
      </c>
      <c r="F43" s="181">
        <f>D43/$D$45</f>
        <v>0.48</v>
      </c>
      <c r="G43" s="182">
        <f>E43*F43</f>
        <v>4.6079999999999996E-2</v>
      </c>
    </row>
    <row r="44" spans="3:8" x14ac:dyDescent="0.3">
      <c r="C44" s="178" t="s">
        <v>403</v>
      </c>
      <c r="D44" s="179">
        <f>4000000</f>
        <v>4000000</v>
      </c>
      <c r="E44" s="182">
        <f>7.5%+((16.5%-7.5%)*0.85)</f>
        <v>0.15150000000000002</v>
      </c>
      <c r="F44" s="181">
        <f>D44/$D$45</f>
        <v>0.4</v>
      </c>
      <c r="G44" s="182">
        <f>E44*F44</f>
        <v>6.0600000000000015E-2</v>
      </c>
    </row>
    <row r="45" spans="3:8" x14ac:dyDescent="0.3">
      <c r="C45" s="183"/>
      <c r="D45" s="184">
        <f>SUM(D42:D44)</f>
        <v>10000000</v>
      </c>
      <c r="E45" s="183"/>
      <c r="F45" s="183">
        <v>1</v>
      </c>
      <c r="G45" s="185">
        <f>SUM(G42:G44)</f>
        <v>0.11436000000000002</v>
      </c>
      <c r="H45" s="176"/>
    </row>
    <row r="47" spans="3:8" x14ac:dyDescent="0.3">
      <c r="C47" s="189" t="s">
        <v>414</v>
      </c>
    </row>
    <row r="49" spans="3:12" x14ac:dyDescent="0.3">
      <c r="C49" s="165" t="s">
        <v>17</v>
      </c>
    </row>
    <row r="51" spans="3:12" x14ac:dyDescent="0.3">
      <c r="C51" s="111" t="s">
        <v>4</v>
      </c>
      <c r="D51" s="111" t="s">
        <v>416</v>
      </c>
      <c r="E51" s="111" t="s">
        <v>251</v>
      </c>
      <c r="F51" s="111" t="s">
        <v>72</v>
      </c>
      <c r="G51" s="111" t="s">
        <v>73</v>
      </c>
      <c r="H51" s="111" t="s">
        <v>74</v>
      </c>
      <c r="I51" s="111" t="s">
        <v>75</v>
      </c>
      <c r="J51" s="111" t="s">
        <v>76</v>
      </c>
      <c r="K51" s="111" t="s">
        <v>77</v>
      </c>
    </row>
    <row r="52" spans="3:12" ht="14.4" x14ac:dyDescent="0.3">
      <c r="C52" s="190" t="s">
        <v>278</v>
      </c>
      <c r="D52" s="178">
        <v>0</v>
      </c>
      <c r="E52" s="178">
        <v>1</v>
      </c>
      <c r="F52" s="178">
        <f>E52+1</f>
        <v>2</v>
      </c>
      <c r="G52" s="178">
        <f t="shared" ref="G52:K52" si="5">F52+1</f>
        <v>3</v>
      </c>
      <c r="H52" s="178">
        <f t="shared" si="5"/>
        <v>4</v>
      </c>
      <c r="I52" s="178">
        <f t="shared" si="5"/>
        <v>5</v>
      </c>
      <c r="J52" s="178">
        <f t="shared" si="5"/>
        <v>6</v>
      </c>
      <c r="K52" s="178">
        <f t="shared" si="5"/>
        <v>7</v>
      </c>
    </row>
    <row r="53" spans="3:12" ht="14.4" x14ac:dyDescent="0.3">
      <c r="C53" s="190" t="s">
        <v>415</v>
      </c>
      <c r="D53" s="191">
        <f>1/POWER((1+11.44%),D52)</f>
        <v>1</v>
      </c>
      <c r="E53" s="191">
        <f t="shared" ref="E53:K53" si="6">1/POWER((1+11.44%),E52)</f>
        <v>0.89734386216798268</v>
      </c>
      <c r="F53" s="191">
        <f t="shared" si="6"/>
        <v>0.80522600697055147</v>
      </c>
      <c r="G53" s="191">
        <f t="shared" si="6"/>
        <v>0.72256461501305769</v>
      </c>
      <c r="H53" s="191">
        <f t="shared" si="6"/>
        <v>0.64838892230173861</v>
      </c>
      <c r="I53" s="191">
        <f t="shared" si="6"/>
        <v>0.58182781972517827</v>
      </c>
      <c r="J53" s="191">
        <f t="shared" si="6"/>
        <v>0.52209962286896816</v>
      </c>
      <c r="K53" s="191">
        <f t="shared" si="6"/>
        <v>0.46850289202168716</v>
      </c>
    </row>
    <row r="54" spans="3:12" x14ac:dyDescent="0.3">
      <c r="C54" s="178" t="s">
        <v>279</v>
      </c>
      <c r="D54" s="179">
        <f>-55000000</f>
        <v>-55000000</v>
      </c>
      <c r="E54" s="179">
        <f>D18</f>
        <v>7825750</v>
      </c>
      <c r="F54" s="179">
        <f t="shared" ref="F54:K54" si="7">E18</f>
        <v>8012387.5</v>
      </c>
      <c r="G54" s="179">
        <f t="shared" si="7"/>
        <v>7704295.8750000037</v>
      </c>
      <c r="H54" s="179">
        <f t="shared" si="7"/>
        <v>8000478.7237500027</v>
      </c>
      <c r="I54" s="179">
        <f t="shared" si="7"/>
        <v>8842083.7537875026</v>
      </c>
      <c r="J54" s="179">
        <f t="shared" si="7"/>
        <v>10156137.619779378</v>
      </c>
      <c r="K54" s="179">
        <f t="shared" si="7"/>
        <v>11714311.547934471</v>
      </c>
    </row>
    <row r="55" spans="3:12" ht="14.4" x14ac:dyDescent="0.3">
      <c r="C55" s="190" t="s">
        <v>417</v>
      </c>
      <c r="D55" s="179">
        <f>D53*D54</f>
        <v>-55000000</v>
      </c>
      <c r="E55" s="179">
        <f t="shared" ref="E55:K55" si="8">E53*E54</f>
        <v>7022388.7293610908</v>
      </c>
      <c r="F55" s="179">
        <f t="shared" si="8"/>
        <v>6451782.7929257592</v>
      </c>
      <c r="G55" s="179">
        <f t="shared" si="8"/>
        <v>5566851.5828660661</v>
      </c>
      <c r="H55" s="179">
        <f t="shared" si="8"/>
        <v>5187421.7775902534</v>
      </c>
      <c r="I55" s="179">
        <f t="shared" si="8"/>
        <v>5144570.3122936031</v>
      </c>
      <c r="J55" s="179">
        <f t="shared" si="8"/>
        <v>5302515.6210921537</v>
      </c>
      <c r="K55" s="179">
        <f t="shared" si="8"/>
        <v>5488188.8382503465</v>
      </c>
      <c r="L55" s="175">
        <f>SUM(D55:K55)</f>
        <v>-14836280.345620729</v>
      </c>
    </row>
    <row r="58" spans="3:12" x14ac:dyDescent="0.3">
      <c r="C58" s="189" t="s">
        <v>420</v>
      </c>
    </row>
    <row r="60" spans="3:12" ht="27.6" x14ac:dyDescent="0.3">
      <c r="C60" s="186" t="s">
        <v>317</v>
      </c>
      <c r="D60" s="187" t="s">
        <v>23</v>
      </c>
      <c r="E60" s="188" t="s">
        <v>321</v>
      </c>
      <c r="F60" s="186" t="s">
        <v>406</v>
      </c>
      <c r="G60" s="186" t="s">
        <v>316</v>
      </c>
    </row>
    <row r="61" spans="3:12" x14ac:dyDescent="0.3">
      <c r="C61" s="178" t="s">
        <v>404</v>
      </c>
      <c r="D61" s="179">
        <f>(D63*1.5)/5*1</f>
        <v>1200000</v>
      </c>
      <c r="E61" s="180">
        <f>8%*(1-20%)</f>
        <v>6.4000000000000001E-2</v>
      </c>
      <c r="F61" s="181">
        <f>D61/$D$45</f>
        <v>0.12</v>
      </c>
      <c r="G61" s="182">
        <f>E61*F61</f>
        <v>7.6800000000000002E-3</v>
      </c>
    </row>
    <row r="62" spans="3:12" x14ac:dyDescent="0.3">
      <c r="C62" s="178" t="s">
        <v>405</v>
      </c>
      <c r="D62" s="179">
        <f>(D63*1.5)/5*4</f>
        <v>4800000</v>
      </c>
      <c r="E62" s="180">
        <f>12%*(1-20%)</f>
        <v>9.6000000000000002E-2</v>
      </c>
      <c r="F62" s="181">
        <f>D62/$D$45</f>
        <v>0.48</v>
      </c>
      <c r="G62" s="182">
        <f>E62*F62</f>
        <v>4.6079999999999996E-2</v>
      </c>
    </row>
    <row r="63" spans="3:12" x14ac:dyDescent="0.3">
      <c r="C63" s="178" t="s">
        <v>403</v>
      </c>
      <c r="D63" s="179">
        <f>4000000</f>
        <v>4000000</v>
      </c>
      <c r="E63" s="182">
        <f>7%+((15.5%-7%)*0.45)</f>
        <v>0.10825000000000001</v>
      </c>
      <c r="F63" s="181">
        <f>D63/$D$45</f>
        <v>0.4</v>
      </c>
      <c r="G63" s="182">
        <f>E63*F63</f>
        <v>4.3300000000000005E-2</v>
      </c>
    </row>
    <row r="64" spans="3:12" x14ac:dyDescent="0.3">
      <c r="C64" s="183"/>
      <c r="D64" s="184">
        <f>SUM(D61:D63)</f>
        <v>10000000</v>
      </c>
      <c r="E64" s="183"/>
      <c r="F64" s="183">
        <v>1</v>
      </c>
      <c r="G64" s="185">
        <f>SUM(G61:G63)</f>
        <v>9.7060000000000007E-2</v>
      </c>
    </row>
    <row r="66" spans="3:12" x14ac:dyDescent="0.3">
      <c r="D66" s="177">
        <v>9.7100000000000006E-2</v>
      </c>
    </row>
    <row r="67" spans="3:12" x14ac:dyDescent="0.3">
      <c r="C67" s="111" t="s">
        <v>4</v>
      </c>
      <c r="D67" s="111" t="s">
        <v>416</v>
      </c>
      <c r="E67" s="111" t="s">
        <v>251</v>
      </c>
      <c r="F67" s="111" t="s">
        <v>72</v>
      </c>
      <c r="G67" s="111" t="s">
        <v>73</v>
      </c>
      <c r="H67" s="111" t="s">
        <v>74</v>
      </c>
      <c r="I67" s="111" t="s">
        <v>75</v>
      </c>
      <c r="J67" s="111" t="s">
        <v>76</v>
      </c>
      <c r="K67" s="111" t="s">
        <v>77</v>
      </c>
    </row>
    <row r="68" spans="3:12" ht="14.4" x14ac:dyDescent="0.3">
      <c r="C68" s="190" t="s">
        <v>278</v>
      </c>
      <c r="D68" s="178">
        <v>0</v>
      </c>
      <c r="E68" s="178">
        <v>1</v>
      </c>
      <c r="F68" s="178">
        <f>E68+1</f>
        <v>2</v>
      </c>
      <c r="G68" s="178">
        <f t="shared" ref="G68:K68" si="9">F68+1</f>
        <v>3</v>
      </c>
      <c r="H68" s="178">
        <f t="shared" si="9"/>
        <v>4</v>
      </c>
      <c r="I68" s="178">
        <f t="shared" si="9"/>
        <v>5</v>
      </c>
      <c r="J68" s="178">
        <f t="shared" si="9"/>
        <v>6</v>
      </c>
      <c r="K68" s="178">
        <f t="shared" si="9"/>
        <v>7</v>
      </c>
    </row>
    <row r="69" spans="3:12" ht="14.4" x14ac:dyDescent="0.3">
      <c r="C69" s="190" t="s">
        <v>415</v>
      </c>
      <c r="D69" s="191">
        <f>1/POWER((1+$D$66),D68)</f>
        <v>1</v>
      </c>
      <c r="E69" s="191">
        <f t="shared" ref="E69:K69" si="10">1/POWER((1+$D$66),E68)</f>
        <v>0.91149393856530858</v>
      </c>
      <c r="F69" s="191">
        <f t="shared" si="10"/>
        <v>0.83082120004129856</v>
      </c>
      <c r="G69" s="191">
        <f t="shared" si="10"/>
        <v>0.75728848786919933</v>
      </c>
      <c r="H69" s="191">
        <f t="shared" si="10"/>
        <v>0.69026386643806348</v>
      </c>
      <c r="I69" s="191">
        <f t="shared" si="10"/>
        <v>0.62917133026894856</v>
      </c>
      <c r="J69" s="191">
        <f t="shared" si="10"/>
        <v>0.57348585385921846</v>
      </c>
      <c r="K69" s="191">
        <f t="shared" si="10"/>
        <v>0.52272887964562809</v>
      </c>
    </row>
    <row r="70" spans="3:12" x14ac:dyDescent="0.3">
      <c r="C70" s="178" t="s">
        <v>419</v>
      </c>
      <c r="D70" s="179">
        <f>D54</f>
        <v>-55000000</v>
      </c>
      <c r="E70" s="179">
        <f t="shared" ref="E70:K70" si="11">E54</f>
        <v>7825750</v>
      </c>
      <c r="F70" s="179">
        <f t="shared" si="11"/>
        <v>8012387.5</v>
      </c>
      <c r="G70" s="179">
        <f t="shared" si="11"/>
        <v>7704295.8750000037</v>
      </c>
      <c r="H70" s="179">
        <f t="shared" si="11"/>
        <v>8000478.7237500027</v>
      </c>
      <c r="I70" s="179">
        <f t="shared" si="11"/>
        <v>8842083.7537875026</v>
      </c>
      <c r="J70" s="179">
        <f t="shared" si="11"/>
        <v>10156137.619779378</v>
      </c>
      <c r="K70" s="179">
        <f t="shared" si="11"/>
        <v>11714311.547934471</v>
      </c>
    </row>
    <row r="71" spans="3:12" x14ac:dyDescent="0.3">
      <c r="C71" s="178" t="s">
        <v>417</v>
      </c>
      <c r="D71" s="179">
        <f>D69*D70</f>
        <v>-55000000</v>
      </c>
      <c r="E71" s="179">
        <f t="shared" ref="E71:K71" si="12">E69*E70</f>
        <v>7133123.6897274638</v>
      </c>
      <c r="F71" s="179">
        <f t="shared" si="12"/>
        <v>6656861.3979459004</v>
      </c>
      <c r="G71" s="179">
        <f t="shared" si="12"/>
        <v>5834374.573275663</v>
      </c>
      <c r="H71" s="179">
        <f t="shared" si="12"/>
        <v>5522441.3772111405</v>
      </c>
      <c r="I71" s="179">
        <f t="shared" si="12"/>
        <v>5563185.5977199413</v>
      </c>
      <c r="J71" s="179">
        <f t="shared" si="12"/>
        <v>5824401.2547909077</v>
      </c>
      <c r="K71" s="179">
        <f t="shared" si="12"/>
        <v>6123408.951271629</v>
      </c>
      <c r="L71" s="175">
        <f>SUM(D71:K71)</f>
        <v>-12342203.158057356</v>
      </c>
    </row>
  </sheetData>
  <hyperlinks>
    <hyperlink ref="C52" r:id="rId1" display="PVF@ 11.44%" xr:uid="{1BB90EB6-A92D-41A9-894F-9C52684739F0}"/>
    <hyperlink ref="C53" r:id="rId2" xr:uid="{67FFDAD9-22C6-4910-923B-ED102B187049}"/>
    <hyperlink ref="C55" r:id="rId3" display="PVF@ 11.44%" xr:uid="{7B01260A-96B6-447C-BEF9-E47371737D4B}"/>
    <hyperlink ref="C68" r:id="rId4" display="PVF@ 11.44%" xr:uid="{205AF38F-E18A-4EB5-9732-F303C0172763}"/>
    <hyperlink ref="C69" r:id="rId5" xr:uid="{F0CF5B31-638C-4077-A5FF-5F46AA5CE46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DBED-69EB-41D8-8C64-8819B265BDE9}">
  <dimension ref="A2:K119"/>
  <sheetViews>
    <sheetView showGridLines="0" topLeftCell="A31" workbookViewId="0">
      <selection activeCell="J9" sqref="J9"/>
    </sheetView>
  </sheetViews>
  <sheetFormatPr defaultRowHeight="14.4" x14ac:dyDescent="0.3"/>
  <cols>
    <col min="1" max="2" width="8.88671875" style="1"/>
    <col min="3" max="3" width="31" style="1" customWidth="1"/>
    <col min="4" max="9" width="13.88671875" style="96" bestFit="1" customWidth="1"/>
    <col min="10" max="10" width="8.88671875" style="96"/>
    <col min="11" max="11" width="11.21875" style="96" bestFit="1" customWidth="1"/>
    <col min="12" max="15" width="13.88671875" style="1" bestFit="1" customWidth="1"/>
    <col min="16" max="16384" width="8.88671875" style="1"/>
  </cols>
  <sheetData>
    <row r="2" spans="1:8" x14ac:dyDescent="0.3">
      <c r="A2" s="1" t="s">
        <v>274</v>
      </c>
    </row>
    <row r="3" spans="1:8" x14ac:dyDescent="0.3">
      <c r="C3" s="1" t="s">
        <v>301</v>
      </c>
    </row>
    <row r="5" spans="1:8" x14ac:dyDescent="0.3">
      <c r="C5" s="1" t="s">
        <v>302</v>
      </c>
    </row>
    <row r="6" spans="1:8" x14ac:dyDescent="0.3">
      <c r="C6" s="104" t="s">
        <v>4</v>
      </c>
      <c r="D6" s="105" t="s">
        <v>72</v>
      </c>
      <c r="E6" s="105" t="s">
        <v>73</v>
      </c>
      <c r="F6" s="105" t="s">
        <v>74</v>
      </c>
      <c r="G6" s="105" t="s">
        <v>75</v>
      </c>
      <c r="H6" s="105" t="s">
        <v>76</v>
      </c>
    </row>
    <row r="7" spans="1:8" x14ac:dyDescent="0.3">
      <c r="C7" s="106" t="s">
        <v>2</v>
      </c>
      <c r="D7" s="107">
        <v>14560000</v>
      </c>
      <c r="E7" s="107">
        <v>17855000</v>
      </c>
      <c r="F7" s="107">
        <v>21900000</v>
      </c>
      <c r="G7" s="107">
        <v>27000000</v>
      </c>
      <c r="H7" s="107">
        <v>33760000</v>
      </c>
    </row>
    <row r="8" spans="1:8" x14ac:dyDescent="0.3">
      <c r="C8" s="106" t="s">
        <v>1</v>
      </c>
      <c r="D8" s="107">
        <v>800000</v>
      </c>
      <c r="E8" s="108">
        <v>650000</v>
      </c>
      <c r="F8" s="108">
        <v>420000</v>
      </c>
      <c r="G8" s="108">
        <v>840000</v>
      </c>
      <c r="H8" s="108">
        <v>900000</v>
      </c>
    </row>
    <row r="9" spans="1:8" x14ac:dyDescent="0.3">
      <c r="C9" s="109" t="s">
        <v>6</v>
      </c>
      <c r="D9" s="110">
        <f>SUM(D7:D8)</f>
        <v>15360000</v>
      </c>
      <c r="E9" s="110">
        <f t="shared" ref="E9:H9" si="0">SUM(E7:E8)</f>
        <v>18505000</v>
      </c>
      <c r="F9" s="110">
        <f t="shared" si="0"/>
        <v>22320000</v>
      </c>
      <c r="G9" s="110">
        <f t="shared" si="0"/>
        <v>27840000</v>
      </c>
      <c r="H9" s="110">
        <f t="shared" si="0"/>
        <v>34660000</v>
      </c>
    </row>
    <row r="10" spans="1:8" x14ac:dyDescent="0.3">
      <c r="C10" s="106" t="s">
        <v>7</v>
      </c>
      <c r="D10" s="107">
        <v>9735000</v>
      </c>
      <c r="E10" s="108">
        <v>12525000</v>
      </c>
      <c r="F10" s="108">
        <v>14700000</v>
      </c>
      <c r="G10" s="108">
        <v>17800000</v>
      </c>
      <c r="H10" s="108">
        <v>21345000</v>
      </c>
    </row>
    <row r="11" spans="1:8" x14ac:dyDescent="0.3">
      <c r="C11" s="109" t="s">
        <v>10</v>
      </c>
      <c r="D11" s="110">
        <f>D9-D10</f>
        <v>5625000</v>
      </c>
      <c r="E11" s="110">
        <f t="shared" ref="E11:H11" si="1">E9-E10</f>
        <v>5980000</v>
      </c>
      <c r="F11" s="110">
        <f t="shared" si="1"/>
        <v>7620000</v>
      </c>
      <c r="G11" s="110">
        <f t="shared" si="1"/>
        <v>10040000</v>
      </c>
      <c r="H11" s="110">
        <f t="shared" si="1"/>
        <v>13315000</v>
      </c>
    </row>
    <row r="12" spans="1:8" x14ac:dyDescent="0.3">
      <c r="C12" s="106" t="s">
        <v>11</v>
      </c>
      <c r="D12" s="107">
        <v>350000</v>
      </c>
      <c r="E12" s="107">
        <v>330000</v>
      </c>
      <c r="F12" s="107">
        <v>310000</v>
      </c>
      <c r="G12" s="107">
        <v>270000</v>
      </c>
      <c r="H12" s="107">
        <v>250000</v>
      </c>
    </row>
    <row r="13" spans="1:8" x14ac:dyDescent="0.3">
      <c r="C13" s="106" t="s">
        <v>12</v>
      </c>
      <c r="D13" s="107">
        <v>250000</v>
      </c>
      <c r="E13" s="107">
        <v>250000</v>
      </c>
      <c r="F13" s="107">
        <v>250000</v>
      </c>
      <c r="G13" s="107">
        <v>100000</v>
      </c>
      <c r="H13" s="107">
        <v>100000</v>
      </c>
    </row>
    <row r="14" spans="1:8" x14ac:dyDescent="0.3">
      <c r="C14" s="109" t="s">
        <v>13</v>
      </c>
      <c r="D14" s="110">
        <f>D11-D12-D13</f>
        <v>5025000</v>
      </c>
      <c r="E14" s="110">
        <f t="shared" ref="E14:H14" si="2">E11-E12-E13</f>
        <v>5400000</v>
      </c>
      <c r="F14" s="110">
        <f t="shared" si="2"/>
        <v>7060000</v>
      </c>
      <c r="G14" s="110">
        <f t="shared" si="2"/>
        <v>9670000</v>
      </c>
      <c r="H14" s="110">
        <f t="shared" si="2"/>
        <v>12965000</v>
      </c>
    </row>
    <row r="15" spans="1:8" x14ac:dyDescent="0.3">
      <c r="C15" s="106" t="s">
        <v>244</v>
      </c>
      <c r="D15" s="107">
        <f>D14*20%</f>
        <v>1005000</v>
      </c>
      <c r="E15" s="107">
        <f t="shared" ref="E15:H15" si="3">E14*20%</f>
        <v>1080000</v>
      </c>
      <c r="F15" s="107">
        <f t="shared" si="3"/>
        <v>1412000</v>
      </c>
      <c r="G15" s="107">
        <f t="shared" si="3"/>
        <v>1934000</v>
      </c>
      <c r="H15" s="107">
        <f t="shared" si="3"/>
        <v>2593000</v>
      </c>
    </row>
    <row r="16" spans="1:8" x14ac:dyDescent="0.3">
      <c r="C16" s="109" t="s">
        <v>15</v>
      </c>
      <c r="D16" s="110">
        <f>D14-D15</f>
        <v>4020000</v>
      </c>
      <c r="E16" s="110">
        <f t="shared" ref="E16:H16" si="4">E14-E15</f>
        <v>4320000</v>
      </c>
      <c r="F16" s="110">
        <f t="shared" si="4"/>
        <v>5648000</v>
      </c>
      <c r="G16" s="110">
        <f t="shared" si="4"/>
        <v>7736000</v>
      </c>
      <c r="H16" s="110">
        <f t="shared" si="4"/>
        <v>10372000</v>
      </c>
    </row>
    <row r="17" spans="3:8" x14ac:dyDescent="0.3">
      <c r="C17" s="106" t="s">
        <v>16</v>
      </c>
      <c r="D17" s="107">
        <v>250000</v>
      </c>
      <c r="E17" s="107">
        <f>D17*1.1</f>
        <v>275000</v>
      </c>
      <c r="F17" s="107">
        <f t="shared" ref="F17:H17" si="5">E17*1.1</f>
        <v>302500</v>
      </c>
      <c r="G17" s="107">
        <f t="shared" si="5"/>
        <v>332750</v>
      </c>
      <c r="H17" s="107">
        <f t="shared" si="5"/>
        <v>366025.00000000006</v>
      </c>
    </row>
    <row r="18" spans="3:8" x14ac:dyDescent="0.3">
      <c r="C18" s="109" t="s">
        <v>17</v>
      </c>
      <c r="D18" s="110">
        <f>D16-D17</f>
        <v>3770000</v>
      </c>
      <c r="E18" s="110">
        <f t="shared" ref="E18:H18" si="6">E16-E17</f>
        <v>4045000</v>
      </c>
      <c r="F18" s="110">
        <f t="shared" si="6"/>
        <v>5345500</v>
      </c>
      <c r="G18" s="110">
        <f t="shared" si="6"/>
        <v>7403250</v>
      </c>
      <c r="H18" s="110">
        <f t="shared" si="6"/>
        <v>10005975</v>
      </c>
    </row>
    <row r="21" spans="3:8" x14ac:dyDescent="0.3">
      <c r="C21" s="1" t="s">
        <v>248</v>
      </c>
    </row>
    <row r="22" spans="3:8" x14ac:dyDescent="0.3">
      <c r="C22" s="104" t="s">
        <v>4</v>
      </c>
      <c r="D22" s="105" t="s">
        <v>72</v>
      </c>
      <c r="E22" s="105" t="s">
        <v>73</v>
      </c>
      <c r="F22" s="105" t="s">
        <v>74</v>
      </c>
      <c r="G22" s="105" t="s">
        <v>75</v>
      </c>
      <c r="H22" s="105" t="s">
        <v>76</v>
      </c>
    </row>
    <row r="23" spans="3:8" x14ac:dyDescent="0.3">
      <c r="C23" s="106" t="s">
        <v>247</v>
      </c>
      <c r="D23" s="107">
        <v>250000</v>
      </c>
      <c r="E23" s="107">
        <v>250000</v>
      </c>
      <c r="F23" s="107">
        <v>250000</v>
      </c>
      <c r="G23" s="107">
        <v>250000</v>
      </c>
      <c r="H23" s="107">
        <v>250000</v>
      </c>
    </row>
    <row r="24" spans="3:8" x14ac:dyDescent="0.3">
      <c r="C24" s="106" t="s">
        <v>140</v>
      </c>
      <c r="D24" s="107">
        <v>3770000</v>
      </c>
      <c r="E24" s="107">
        <v>7815000</v>
      </c>
      <c r="F24" s="107">
        <v>13160500</v>
      </c>
      <c r="G24" s="107">
        <v>20563750</v>
      </c>
      <c r="H24" s="107">
        <v>30569725</v>
      </c>
    </row>
    <row r="25" spans="3:8" x14ac:dyDescent="0.3">
      <c r="C25" s="106" t="s">
        <v>203</v>
      </c>
      <c r="D25" s="107">
        <v>2500000</v>
      </c>
      <c r="E25" s="107">
        <v>2500000</v>
      </c>
      <c r="F25" s="107">
        <v>2500000</v>
      </c>
      <c r="G25" s="107">
        <v>1000000</v>
      </c>
      <c r="H25" s="107">
        <v>1000000</v>
      </c>
    </row>
    <row r="26" spans="3:8" x14ac:dyDescent="0.3">
      <c r="C26" s="106" t="s">
        <v>246</v>
      </c>
      <c r="D26" s="107">
        <v>17547000</v>
      </c>
      <c r="E26" s="107">
        <f>D26+9000000</f>
        <v>26547000</v>
      </c>
      <c r="F26" s="107">
        <f>E26+7945800</f>
        <v>34492800</v>
      </c>
      <c r="G26" s="107">
        <f>F26+12450000</f>
        <v>46942800</v>
      </c>
      <c r="H26" s="107">
        <f>G26+6875400</f>
        <v>53818200</v>
      </c>
    </row>
    <row r="28" spans="3:8" x14ac:dyDescent="0.3">
      <c r="C28" s="1" t="s">
        <v>249</v>
      </c>
    </row>
    <row r="29" spans="3:8" x14ac:dyDescent="0.3">
      <c r="C29" s="109" t="s">
        <v>106</v>
      </c>
      <c r="D29" s="107">
        <v>25000</v>
      </c>
      <c r="E29" s="107">
        <v>25000</v>
      </c>
      <c r="F29" s="107">
        <v>25000</v>
      </c>
      <c r="G29" s="107">
        <v>25000</v>
      </c>
      <c r="H29" s="107">
        <v>25000</v>
      </c>
    </row>
    <row r="30" spans="3:8" x14ac:dyDescent="0.3">
      <c r="C30" s="106" t="s">
        <v>243</v>
      </c>
      <c r="D30" s="107">
        <v>210</v>
      </c>
      <c r="E30" s="107">
        <f>D30*1.15</f>
        <v>241.49999999999997</v>
      </c>
      <c r="F30" s="107">
        <f>E30*1.07</f>
        <v>258.40499999999997</v>
      </c>
      <c r="G30" s="107">
        <f>F30*1.12</f>
        <v>289.41359999999997</v>
      </c>
      <c r="H30" s="107">
        <f>G30*1.18</f>
        <v>341.50804799999997</v>
      </c>
    </row>
    <row r="32" spans="3:8" x14ac:dyDescent="0.3">
      <c r="C32" s="1" t="s">
        <v>250</v>
      </c>
    </row>
    <row r="33" spans="3:8" x14ac:dyDescent="0.3">
      <c r="C33" s="1" t="s">
        <v>257</v>
      </c>
    </row>
    <row r="34" spans="3:8" x14ac:dyDescent="0.3">
      <c r="C34" s="1" t="s">
        <v>258</v>
      </c>
    </row>
    <row r="35" spans="3:8" x14ac:dyDescent="0.3">
      <c r="C35" s="1" t="s">
        <v>259</v>
      </c>
    </row>
    <row r="36" spans="3:8" x14ac:dyDescent="0.3">
      <c r="C36" s="1" t="s">
        <v>260</v>
      </c>
    </row>
    <row r="37" spans="3:8" x14ac:dyDescent="0.3">
      <c r="C37" s="1" t="s">
        <v>261</v>
      </c>
    </row>
    <row r="39" spans="3:8" x14ac:dyDescent="0.3">
      <c r="C39" s="1" t="s">
        <v>303</v>
      </c>
    </row>
    <row r="40" spans="3:8" ht="45" customHeight="1" x14ac:dyDescent="0.3">
      <c r="C40" s="145" t="s">
        <v>326</v>
      </c>
      <c r="D40" s="145"/>
      <c r="E40" s="145"/>
      <c r="F40" s="145"/>
      <c r="G40" s="145"/>
      <c r="H40" s="145"/>
    </row>
    <row r="42" spans="3:8" x14ac:dyDescent="0.3">
      <c r="C42" s="1" t="s">
        <v>304</v>
      </c>
    </row>
    <row r="43" spans="3:8" ht="30.6" customHeight="1" x14ac:dyDescent="0.3">
      <c r="C43" s="145" t="s">
        <v>313</v>
      </c>
      <c r="D43" s="145"/>
      <c r="E43" s="145"/>
      <c r="F43" s="145"/>
      <c r="G43" s="145"/>
      <c r="H43" s="145"/>
    </row>
    <row r="48" spans="3:8" x14ac:dyDescent="0.3">
      <c r="C48" s="117" t="s">
        <v>262</v>
      </c>
    </row>
    <row r="49" spans="3:9" x14ac:dyDescent="0.3">
      <c r="C49" s="117" t="s">
        <v>305</v>
      </c>
    </row>
    <row r="51" spans="3:9" x14ac:dyDescent="0.3">
      <c r="C51" s="111" t="s">
        <v>4</v>
      </c>
      <c r="D51" s="112" t="s">
        <v>251</v>
      </c>
      <c r="E51" s="112" t="s">
        <v>72</v>
      </c>
      <c r="F51" s="112" t="s">
        <v>73</v>
      </c>
      <c r="G51" s="112" t="s">
        <v>74</v>
      </c>
      <c r="H51" s="112" t="s">
        <v>75</v>
      </c>
    </row>
    <row r="52" spans="3:9" x14ac:dyDescent="0.3">
      <c r="C52" s="106" t="s">
        <v>252</v>
      </c>
      <c r="D52" s="115">
        <f>D62</f>
        <v>1.3059701492537312</v>
      </c>
      <c r="E52" s="115">
        <f t="shared" ref="E52:H52" si="7">E62</f>
        <v>1.3975694444444442</v>
      </c>
      <c r="F52" s="115">
        <f t="shared" si="7"/>
        <v>1.1437898371104815</v>
      </c>
      <c r="G52" s="115">
        <f t="shared" si="7"/>
        <v>0.93528179937952427</v>
      </c>
      <c r="H52" s="115">
        <f t="shared" si="7"/>
        <v>0.82314897801774001</v>
      </c>
      <c r="I52" s="96" t="s">
        <v>265</v>
      </c>
    </row>
    <row r="53" spans="3:9" x14ac:dyDescent="0.3">
      <c r="C53" s="106" t="s">
        <v>253</v>
      </c>
      <c r="D53" s="115">
        <f>D67</f>
        <v>0.36057692307692307</v>
      </c>
      <c r="E53" s="115">
        <f t="shared" ref="E53:H53" si="8">E67</f>
        <v>0.33814057686922427</v>
      </c>
      <c r="F53" s="115">
        <f t="shared" si="8"/>
        <v>0.2949828767123287</v>
      </c>
      <c r="G53" s="115">
        <f t="shared" si="8"/>
        <v>0.26797555555555552</v>
      </c>
      <c r="H53" s="115">
        <f t="shared" si="8"/>
        <v>0.25289399289099523</v>
      </c>
      <c r="I53" s="96" t="s">
        <v>266</v>
      </c>
    </row>
    <row r="54" spans="3:9" x14ac:dyDescent="0.3">
      <c r="C54" s="106" t="s">
        <v>254</v>
      </c>
      <c r="D54" s="115">
        <f>D73</f>
        <v>3.6083555555555558</v>
      </c>
      <c r="E54" s="115">
        <f t="shared" ref="E54:H54" si="9">E73</f>
        <v>5.0308528428093648</v>
      </c>
      <c r="F54" s="115">
        <f t="shared" si="9"/>
        <v>5.0463156167979006</v>
      </c>
      <c r="G54" s="115">
        <f t="shared" si="9"/>
        <v>5.2966274900398407</v>
      </c>
      <c r="H54" s="115">
        <f t="shared" si="9"/>
        <v>4.6080286293653776</v>
      </c>
      <c r="I54" s="96" t="s">
        <v>267</v>
      </c>
    </row>
    <row r="55" spans="3:9" x14ac:dyDescent="0.3">
      <c r="C55" s="106" t="s">
        <v>255</v>
      </c>
      <c r="D55" s="116">
        <f>D78</f>
        <v>4.7619047619047616E-2</v>
      </c>
      <c r="E55" s="116">
        <f t="shared" ref="E55:H55" si="10">E78</f>
        <v>4.5548654244306423E-2</v>
      </c>
      <c r="F55" s="116">
        <f t="shared" si="10"/>
        <v>4.6825719316576697E-2</v>
      </c>
      <c r="G55" s="116">
        <f t="shared" si="10"/>
        <v>4.5989545757352111E-2</v>
      </c>
      <c r="H55" s="116">
        <f t="shared" si="10"/>
        <v>4.2871610451768925E-2</v>
      </c>
      <c r="I55" s="96" t="s">
        <v>269</v>
      </c>
    </row>
    <row r="56" spans="3:9" x14ac:dyDescent="0.3">
      <c r="C56" s="106" t="s">
        <v>256</v>
      </c>
      <c r="D56" s="115">
        <f>D86</f>
        <v>1.3059701492537312</v>
      </c>
      <c r="E56" s="115">
        <f t="shared" ref="E56:H56" si="11">E86</f>
        <v>0.74860508369497814</v>
      </c>
      <c r="F56" s="115">
        <f t="shared" si="11"/>
        <v>0.48172141232616233</v>
      </c>
      <c r="G56" s="115">
        <f t="shared" si="11"/>
        <v>0.3476230857005585</v>
      </c>
      <c r="H56" s="115">
        <f t="shared" si="11"/>
        <v>0.27702068074909819</v>
      </c>
      <c r="I56" s="96" t="s">
        <v>271</v>
      </c>
    </row>
    <row r="57" spans="3:9" x14ac:dyDescent="0.3">
      <c r="D57" s="113"/>
      <c r="E57" s="113"/>
      <c r="F57" s="113"/>
      <c r="G57" s="113"/>
      <c r="H57" s="113"/>
    </row>
    <row r="59" spans="3:9" x14ac:dyDescent="0.3">
      <c r="C59" s="1" t="s">
        <v>265</v>
      </c>
    </row>
    <row r="60" spans="3:9" x14ac:dyDescent="0.3">
      <c r="C60" s="72" t="s">
        <v>242</v>
      </c>
      <c r="D60" s="99">
        <f>D16/D29</f>
        <v>160.80000000000001</v>
      </c>
      <c r="E60" s="99">
        <f>E16/E29</f>
        <v>172.8</v>
      </c>
      <c r="F60" s="99">
        <f>F16/F29</f>
        <v>225.92</v>
      </c>
      <c r="G60" s="99">
        <f>G16/G29</f>
        <v>309.44</v>
      </c>
      <c r="H60" s="100">
        <f>H16/H29</f>
        <v>414.88</v>
      </c>
    </row>
    <row r="61" spans="3:9" x14ac:dyDescent="0.3">
      <c r="C61" s="74" t="s">
        <v>243</v>
      </c>
      <c r="D61" s="101">
        <f>D30</f>
        <v>210</v>
      </c>
      <c r="E61" s="101">
        <f>E30</f>
        <v>241.49999999999997</v>
      </c>
      <c r="F61" s="101">
        <f>F30</f>
        <v>258.40499999999997</v>
      </c>
      <c r="G61" s="101">
        <f>G30</f>
        <v>289.41359999999997</v>
      </c>
      <c r="H61" s="102">
        <f>H30</f>
        <v>341.50804799999997</v>
      </c>
    </row>
    <row r="62" spans="3:9" x14ac:dyDescent="0.3">
      <c r="C62" s="118" t="s">
        <v>263</v>
      </c>
      <c r="D62" s="119">
        <f>D61/D60</f>
        <v>1.3059701492537312</v>
      </c>
      <c r="E62" s="119">
        <f t="shared" ref="E62:H62" si="12">E61/E60</f>
        <v>1.3975694444444442</v>
      </c>
      <c r="F62" s="119">
        <f t="shared" si="12"/>
        <v>1.1437898371104815</v>
      </c>
      <c r="G62" s="119">
        <f t="shared" si="12"/>
        <v>0.93528179937952427</v>
      </c>
      <c r="H62" s="120">
        <f t="shared" si="12"/>
        <v>0.82314897801774001</v>
      </c>
    </row>
    <row r="64" spans="3:9" x14ac:dyDescent="0.3">
      <c r="C64" s="1" t="s">
        <v>266</v>
      </c>
    </row>
    <row r="65" spans="3:8" x14ac:dyDescent="0.3">
      <c r="C65" s="72" t="s">
        <v>264</v>
      </c>
      <c r="D65" s="99">
        <f>D29*D30</f>
        <v>5250000</v>
      </c>
      <c r="E65" s="99">
        <f>E29*E30</f>
        <v>6037499.9999999991</v>
      </c>
      <c r="F65" s="99">
        <f>F29*F30</f>
        <v>6460124.9999999991</v>
      </c>
      <c r="G65" s="99">
        <f>G29*G30</f>
        <v>7235339.9999999991</v>
      </c>
      <c r="H65" s="100">
        <f>H29*H30</f>
        <v>8537701.1999999993</v>
      </c>
    </row>
    <row r="66" spans="3:8" x14ac:dyDescent="0.3">
      <c r="C66" s="74" t="s">
        <v>5</v>
      </c>
      <c r="D66" s="101">
        <f>D7</f>
        <v>14560000</v>
      </c>
      <c r="E66" s="101">
        <f>E7</f>
        <v>17855000</v>
      </c>
      <c r="F66" s="101">
        <f>F7</f>
        <v>21900000</v>
      </c>
      <c r="G66" s="101">
        <f>G7</f>
        <v>27000000</v>
      </c>
      <c r="H66" s="102">
        <f>H7</f>
        <v>33760000</v>
      </c>
    </row>
    <row r="67" spans="3:8" x14ac:dyDescent="0.3">
      <c r="C67" s="118" t="s">
        <v>253</v>
      </c>
      <c r="D67" s="119">
        <f>D65/D66</f>
        <v>0.36057692307692307</v>
      </c>
      <c r="E67" s="119">
        <f t="shared" ref="E67:H67" si="13">E65/E66</f>
        <v>0.33814057686922427</v>
      </c>
      <c r="F67" s="119">
        <f t="shared" si="13"/>
        <v>0.2949828767123287</v>
      </c>
      <c r="G67" s="119">
        <f t="shared" si="13"/>
        <v>0.26797555555555552</v>
      </c>
      <c r="H67" s="120">
        <f t="shared" si="13"/>
        <v>0.25289399289099523</v>
      </c>
    </row>
    <row r="70" spans="3:8" x14ac:dyDescent="0.3">
      <c r="C70" s="1" t="s">
        <v>267</v>
      </c>
    </row>
    <row r="71" spans="3:8" x14ac:dyDescent="0.3">
      <c r="C71" s="72" t="s">
        <v>268</v>
      </c>
      <c r="D71" s="99">
        <f>D65+D26-D25</f>
        <v>20297000</v>
      </c>
      <c r="E71" s="99">
        <f>E65+E26-E25</f>
        <v>30084500</v>
      </c>
      <c r="F71" s="99">
        <f>F65+F26-F25</f>
        <v>38452925</v>
      </c>
      <c r="G71" s="99">
        <f>G65+G26-G25</f>
        <v>53178140</v>
      </c>
      <c r="H71" s="100">
        <f>H65+H26-H25</f>
        <v>61355901.200000003</v>
      </c>
    </row>
    <row r="72" spans="3:8" x14ac:dyDescent="0.3">
      <c r="C72" s="74" t="s">
        <v>10</v>
      </c>
      <c r="D72" s="101">
        <f>D11</f>
        <v>5625000</v>
      </c>
      <c r="E72" s="101">
        <f>E11</f>
        <v>5980000</v>
      </c>
      <c r="F72" s="101">
        <f>F11</f>
        <v>7620000</v>
      </c>
      <c r="G72" s="101">
        <f>G11</f>
        <v>10040000</v>
      </c>
      <c r="H72" s="102">
        <f>H11</f>
        <v>13315000</v>
      </c>
    </row>
    <row r="73" spans="3:8" x14ac:dyDescent="0.3">
      <c r="C73" s="118" t="s">
        <v>254</v>
      </c>
      <c r="D73" s="119">
        <f>D71/D72</f>
        <v>3.6083555555555558</v>
      </c>
      <c r="E73" s="119">
        <f t="shared" ref="E73:H73" si="14">E71/E72</f>
        <v>5.0308528428093648</v>
      </c>
      <c r="F73" s="119">
        <f t="shared" si="14"/>
        <v>5.0463156167979006</v>
      </c>
      <c r="G73" s="119">
        <f t="shared" si="14"/>
        <v>5.2966274900398407</v>
      </c>
      <c r="H73" s="120">
        <f t="shared" si="14"/>
        <v>4.6080286293653776</v>
      </c>
    </row>
    <row r="75" spans="3:8" x14ac:dyDescent="0.3">
      <c r="C75" s="1" t="s">
        <v>269</v>
      </c>
    </row>
    <row r="76" spans="3:8" x14ac:dyDescent="0.3">
      <c r="C76" s="72" t="s">
        <v>270</v>
      </c>
      <c r="D76" s="99">
        <f>D17/D29</f>
        <v>10</v>
      </c>
      <c r="E76" s="99">
        <f>E17/E29</f>
        <v>11</v>
      </c>
      <c r="F76" s="99">
        <f>F17/F29</f>
        <v>12.1</v>
      </c>
      <c r="G76" s="99">
        <f>G17/G29</f>
        <v>13.31</v>
      </c>
      <c r="H76" s="100">
        <f>H17/H29</f>
        <v>14.641000000000002</v>
      </c>
    </row>
    <row r="77" spans="3:8" x14ac:dyDescent="0.3">
      <c r="C77" s="74" t="s">
        <v>243</v>
      </c>
      <c r="D77" s="101">
        <f>D30</f>
        <v>210</v>
      </c>
      <c r="E77" s="101">
        <f>E30</f>
        <v>241.49999999999997</v>
      </c>
      <c r="F77" s="101">
        <f>F30</f>
        <v>258.40499999999997</v>
      </c>
      <c r="G77" s="101">
        <f>G30</f>
        <v>289.41359999999997</v>
      </c>
      <c r="H77" s="102">
        <f>H30</f>
        <v>341.50804799999997</v>
      </c>
    </row>
    <row r="78" spans="3:8" x14ac:dyDescent="0.3">
      <c r="C78" s="118" t="s">
        <v>255</v>
      </c>
      <c r="D78" s="121">
        <f>D76/D77</f>
        <v>4.7619047619047616E-2</v>
      </c>
      <c r="E78" s="121">
        <f t="shared" ref="E78:H78" si="15">E76/E77</f>
        <v>4.5548654244306423E-2</v>
      </c>
      <c r="F78" s="121">
        <f t="shared" si="15"/>
        <v>4.6825719316576697E-2</v>
      </c>
      <c r="G78" s="121">
        <f t="shared" si="15"/>
        <v>4.5989545757352111E-2</v>
      </c>
      <c r="H78" s="122">
        <f t="shared" si="15"/>
        <v>4.2871610451768925E-2</v>
      </c>
    </row>
    <row r="81" spans="3:8" x14ac:dyDescent="0.3">
      <c r="C81" s="1" t="s">
        <v>271</v>
      </c>
    </row>
    <row r="82" spans="3:8" x14ac:dyDescent="0.3">
      <c r="C82" s="72" t="s">
        <v>245</v>
      </c>
      <c r="D82" s="99">
        <f>D23+D24</f>
        <v>4020000</v>
      </c>
      <c r="E82" s="99">
        <f>E23+E24</f>
        <v>8065000</v>
      </c>
      <c r="F82" s="99">
        <f>F23+F24</f>
        <v>13410500</v>
      </c>
      <c r="G82" s="99">
        <f>G23+G24</f>
        <v>20813750</v>
      </c>
      <c r="H82" s="100">
        <f>H23+H24</f>
        <v>30819725</v>
      </c>
    </row>
    <row r="83" spans="3:8" x14ac:dyDescent="0.3">
      <c r="C83" s="74" t="s">
        <v>106</v>
      </c>
      <c r="D83" s="101">
        <f>D29</f>
        <v>25000</v>
      </c>
      <c r="E83" s="101">
        <f>E29</f>
        <v>25000</v>
      </c>
      <c r="F83" s="101">
        <f>F29</f>
        <v>25000</v>
      </c>
      <c r="G83" s="101">
        <f>G29</f>
        <v>25000</v>
      </c>
      <c r="H83" s="102">
        <f>H29</f>
        <v>25000</v>
      </c>
    </row>
    <row r="84" spans="3:8" x14ac:dyDescent="0.3">
      <c r="C84" s="74" t="s">
        <v>272</v>
      </c>
      <c r="D84" s="101">
        <f>D82/D83</f>
        <v>160.80000000000001</v>
      </c>
      <c r="E84" s="101">
        <f t="shared" ref="E84:H84" si="16">E82/E83</f>
        <v>322.60000000000002</v>
      </c>
      <c r="F84" s="101">
        <f t="shared" si="16"/>
        <v>536.41999999999996</v>
      </c>
      <c r="G84" s="101">
        <f t="shared" si="16"/>
        <v>832.55</v>
      </c>
      <c r="H84" s="102">
        <f t="shared" si="16"/>
        <v>1232.789</v>
      </c>
    </row>
    <row r="85" spans="3:8" x14ac:dyDescent="0.3">
      <c r="C85" s="74" t="s">
        <v>243</v>
      </c>
      <c r="D85" s="101">
        <f>D30</f>
        <v>210</v>
      </c>
      <c r="E85" s="101">
        <f>E30</f>
        <v>241.49999999999997</v>
      </c>
      <c r="F85" s="101">
        <f>F30</f>
        <v>258.40499999999997</v>
      </c>
      <c r="G85" s="101">
        <f>G30</f>
        <v>289.41359999999997</v>
      </c>
      <c r="H85" s="102">
        <f>H30</f>
        <v>341.50804799999997</v>
      </c>
    </row>
    <row r="86" spans="3:8" x14ac:dyDescent="0.3">
      <c r="C86" s="118" t="s">
        <v>273</v>
      </c>
      <c r="D86" s="119">
        <f>D85/D84</f>
        <v>1.3059701492537312</v>
      </c>
      <c r="E86" s="119">
        <f t="shared" ref="E86:H86" si="17">E85/E84</f>
        <v>0.74860508369497814</v>
      </c>
      <c r="F86" s="119">
        <f t="shared" si="17"/>
        <v>0.48172141232616233</v>
      </c>
      <c r="G86" s="119">
        <f t="shared" si="17"/>
        <v>0.3476230857005585</v>
      </c>
      <c r="H86" s="120">
        <f t="shared" si="17"/>
        <v>0.27702068074909819</v>
      </c>
    </row>
    <row r="89" spans="3:8" x14ac:dyDescent="0.3">
      <c r="C89" s="80" t="s">
        <v>306</v>
      </c>
    </row>
    <row r="92" spans="3:8" x14ac:dyDescent="0.3">
      <c r="C92" s="111" t="s">
        <v>4</v>
      </c>
      <c r="D92" s="112" t="s">
        <v>251</v>
      </c>
      <c r="E92" s="112" t="s">
        <v>72</v>
      </c>
      <c r="F92" s="112" t="s">
        <v>73</v>
      </c>
      <c r="G92" s="112" t="s">
        <v>74</v>
      </c>
      <c r="H92" s="112" t="s">
        <v>75</v>
      </c>
    </row>
    <row r="93" spans="3:8" x14ac:dyDescent="0.3">
      <c r="C93" s="106" t="s">
        <v>322</v>
      </c>
      <c r="D93" s="107">
        <f>D14</f>
        <v>5025000</v>
      </c>
      <c r="E93" s="107">
        <f t="shared" ref="E93:H93" si="18">E14</f>
        <v>5400000</v>
      </c>
      <c r="F93" s="107">
        <f t="shared" si="18"/>
        <v>7060000</v>
      </c>
      <c r="G93" s="107">
        <f t="shared" si="18"/>
        <v>9670000</v>
      </c>
      <c r="H93" s="107">
        <f t="shared" si="18"/>
        <v>12965000</v>
      </c>
    </row>
    <row r="94" spans="3:8" x14ac:dyDescent="0.3">
      <c r="C94" s="106" t="s">
        <v>323</v>
      </c>
      <c r="D94" s="107">
        <f>D12</f>
        <v>350000</v>
      </c>
      <c r="E94" s="107">
        <f t="shared" ref="E94:H94" si="19">E12</f>
        <v>330000</v>
      </c>
      <c r="F94" s="107">
        <f t="shared" si="19"/>
        <v>310000</v>
      </c>
      <c r="G94" s="107">
        <f t="shared" si="19"/>
        <v>270000</v>
      </c>
      <c r="H94" s="107">
        <f t="shared" si="19"/>
        <v>250000</v>
      </c>
    </row>
    <row r="95" spans="3:8" x14ac:dyDescent="0.3">
      <c r="C95" s="106" t="s">
        <v>324</v>
      </c>
      <c r="D95" s="107">
        <f>D13*(1-0.2)</f>
        <v>200000</v>
      </c>
      <c r="E95" s="107">
        <f t="shared" ref="E95:H95" si="20">E13*(1-0.2)</f>
        <v>200000</v>
      </c>
      <c r="F95" s="107">
        <f t="shared" si="20"/>
        <v>200000</v>
      </c>
      <c r="G95" s="107">
        <f t="shared" si="20"/>
        <v>80000</v>
      </c>
      <c r="H95" s="107">
        <f t="shared" si="20"/>
        <v>80000</v>
      </c>
    </row>
    <row r="96" spans="3:8" x14ac:dyDescent="0.3">
      <c r="C96" s="106" t="s">
        <v>325</v>
      </c>
      <c r="D96" s="107">
        <f>SUM(D93:D95)</f>
        <v>5575000</v>
      </c>
      <c r="E96" s="107">
        <f t="shared" ref="E96:H96" si="21">SUM(E93:E95)</f>
        <v>5930000</v>
      </c>
      <c r="F96" s="107">
        <f t="shared" si="21"/>
        <v>7570000</v>
      </c>
      <c r="G96" s="107">
        <f t="shared" si="21"/>
        <v>10020000</v>
      </c>
      <c r="H96" s="107">
        <f t="shared" si="21"/>
        <v>13295000</v>
      </c>
    </row>
    <row r="100" spans="3:4" x14ac:dyDescent="0.3">
      <c r="C100" s="80" t="s">
        <v>308</v>
      </c>
    </row>
    <row r="103" spans="3:4" x14ac:dyDescent="0.3">
      <c r="C103" s="82" t="s">
        <v>307</v>
      </c>
    </row>
    <row r="104" spans="3:4" x14ac:dyDescent="0.3">
      <c r="C104" s="1" t="s">
        <v>309</v>
      </c>
      <c r="D104" s="140">
        <v>4.4999999999999998E-2</v>
      </c>
    </row>
    <row r="105" spans="3:4" x14ac:dyDescent="0.3">
      <c r="C105" s="1" t="s">
        <v>310</v>
      </c>
      <c r="D105" s="113">
        <v>0.7</v>
      </c>
    </row>
    <row r="106" spans="3:4" x14ac:dyDescent="0.3">
      <c r="C106" s="1" t="s">
        <v>311</v>
      </c>
      <c r="D106" s="139">
        <v>0.12</v>
      </c>
    </row>
    <row r="107" spans="3:4" x14ac:dyDescent="0.3">
      <c r="C107" s="1" t="s">
        <v>312</v>
      </c>
      <c r="D107" s="114">
        <f>D104+((D106-D104)*D105)</f>
        <v>9.7500000000000003E-2</v>
      </c>
    </row>
    <row r="109" spans="3:4" x14ac:dyDescent="0.3">
      <c r="C109" s="82" t="s">
        <v>314</v>
      </c>
    </row>
    <row r="110" spans="3:4" x14ac:dyDescent="0.3">
      <c r="C110" s="1" t="s">
        <v>315</v>
      </c>
      <c r="D110" s="114">
        <v>0.1</v>
      </c>
    </row>
    <row r="111" spans="3:4" x14ac:dyDescent="0.3">
      <c r="C111" s="1" t="s">
        <v>60</v>
      </c>
      <c r="D111" s="114">
        <v>0.2</v>
      </c>
    </row>
    <row r="112" spans="3:4" x14ac:dyDescent="0.3">
      <c r="C112" s="1" t="s">
        <v>314</v>
      </c>
      <c r="D112" s="114">
        <f>D110*(1-D111)</f>
        <v>8.0000000000000016E-2</v>
      </c>
    </row>
    <row r="115" spans="3:7" x14ac:dyDescent="0.3">
      <c r="C115" s="117" t="s">
        <v>316</v>
      </c>
    </row>
    <row r="116" spans="3:7" x14ac:dyDescent="0.3">
      <c r="C116" s="142" t="s">
        <v>317</v>
      </c>
      <c r="D116" s="143" t="s">
        <v>23</v>
      </c>
      <c r="E116" s="143" t="s">
        <v>320</v>
      </c>
      <c r="F116" s="143" t="s">
        <v>321</v>
      </c>
      <c r="G116" s="143" t="s">
        <v>316</v>
      </c>
    </row>
    <row r="117" spans="3:7" x14ac:dyDescent="0.3">
      <c r="C117" s="106" t="s">
        <v>318</v>
      </c>
      <c r="D117" s="107">
        <f>D23</f>
        <v>250000</v>
      </c>
      <c r="E117" s="116">
        <f>D117/$D$119</f>
        <v>9.0909090909090912E-2</v>
      </c>
      <c r="F117" s="116">
        <f>D107</f>
        <v>9.7500000000000003E-2</v>
      </c>
      <c r="G117" s="116">
        <f>E117*F117</f>
        <v>8.8636363636363635E-3</v>
      </c>
    </row>
    <row r="118" spans="3:7" x14ac:dyDescent="0.3">
      <c r="C118" s="106" t="s">
        <v>319</v>
      </c>
      <c r="D118" s="107">
        <f>D25</f>
        <v>2500000</v>
      </c>
      <c r="E118" s="116">
        <f>D118/$D$119</f>
        <v>0.90909090909090906</v>
      </c>
      <c r="F118" s="116">
        <f>D112</f>
        <v>8.0000000000000016E-2</v>
      </c>
      <c r="G118" s="116">
        <f>E118*F118</f>
        <v>7.2727272727272738E-2</v>
      </c>
    </row>
    <row r="119" spans="3:7" x14ac:dyDescent="0.3">
      <c r="C119" s="106" t="s">
        <v>6</v>
      </c>
      <c r="D119" s="107">
        <f>SUM(D117:D118)</f>
        <v>2750000</v>
      </c>
      <c r="E119" s="141">
        <f>SUM(E117:E118)</f>
        <v>1</v>
      </c>
      <c r="F119" s="116">
        <f t="shared" ref="F119:G119" si="22">SUM(F117:F118)</f>
        <v>0.17750000000000002</v>
      </c>
      <c r="G119" s="116">
        <f t="shared" si="22"/>
        <v>8.1590909090909103E-2</v>
      </c>
    </row>
  </sheetData>
  <mergeCells count="2">
    <mergeCell ref="C40:H40"/>
    <mergeCell ref="C43:H4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4D92-A58F-4803-8078-310BE18600BC}">
  <dimension ref="B4:I55"/>
  <sheetViews>
    <sheetView showGridLines="0" workbookViewId="0">
      <selection activeCell="O88" sqref="O88"/>
    </sheetView>
  </sheetViews>
  <sheetFormatPr defaultRowHeight="11.4" x14ac:dyDescent="0.3"/>
  <cols>
    <col min="1" max="2" width="8.88671875" style="2"/>
    <col min="3" max="3" width="17.21875" style="2" bestFit="1" customWidth="1"/>
    <col min="4" max="7" width="11.5546875" style="2" bestFit="1" customWidth="1"/>
    <col min="8" max="8" width="11.6640625" style="2" bestFit="1" customWidth="1"/>
    <col min="9" max="9" width="13.109375" style="2" bestFit="1" customWidth="1"/>
    <col min="10" max="16384" width="8.88671875" style="2"/>
  </cols>
  <sheetData>
    <row r="4" spans="2:3" x14ac:dyDescent="0.3">
      <c r="B4" s="2" t="s">
        <v>226</v>
      </c>
    </row>
    <row r="8" spans="2:3" x14ac:dyDescent="0.3">
      <c r="C8" s="94" t="s">
        <v>218</v>
      </c>
    </row>
    <row r="9" spans="2:3" ht="14.4" x14ac:dyDescent="0.3">
      <c r="C9" s="96" t="s">
        <v>191</v>
      </c>
    </row>
    <row r="10" spans="2:3" ht="14.4" x14ac:dyDescent="0.3">
      <c r="C10" s="96" t="s">
        <v>192</v>
      </c>
    </row>
    <row r="11" spans="2:3" ht="14.4" x14ac:dyDescent="0.3">
      <c r="C11" s="96" t="s">
        <v>193</v>
      </c>
    </row>
    <row r="12" spans="2:3" ht="14.4" x14ac:dyDescent="0.3">
      <c r="C12" s="96" t="s">
        <v>194</v>
      </c>
    </row>
    <row r="13" spans="2:3" ht="14.4" x14ac:dyDescent="0.3">
      <c r="C13" s="1" t="s">
        <v>217</v>
      </c>
    </row>
    <row r="14" spans="2:3" ht="14.4" x14ac:dyDescent="0.3">
      <c r="C14" s="1" t="s">
        <v>219</v>
      </c>
    </row>
    <row r="15" spans="2:3" ht="14.4" x14ac:dyDescent="0.3">
      <c r="C15" s="96" t="s">
        <v>211</v>
      </c>
    </row>
    <row r="16" spans="2:3" ht="14.4" x14ac:dyDescent="0.3">
      <c r="C16" s="96" t="s">
        <v>195</v>
      </c>
    </row>
    <row r="17" spans="3:3" ht="14.4" x14ac:dyDescent="0.3">
      <c r="C17" s="96" t="s">
        <v>197</v>
      </c>
    </row>
    <row r="18" spans="3:3" ht="14.4" x14ac:dyDescent="0.3">
      <c r="C18" s="96" t="s">
        <v>198</v>
      </c>
    </row>
    <row r="19" spans="3:3" x14ac:dyDescent="0.3">
      <c r="C19" s="2" t="s">
        <v>212</v>
      </c>
    </row>
    <row r="22" spans="3:3" ht="14.4" x14ac:dyDescent="0.3">
      <c r="C22" s="97" t="s">
        <v>199</v>
      </c>
    </row>
    <row r="23" spans="3:3" ht="14.4" x14ac:dyDescent="0.3">
      <c r="C23" s="1" t="s">
        <v>200</v>
      </c>
    </row>
    <row r="24" spans="3:3" ht="14.4" x14ac:dyDescent="0.3">
      <c r="C24" s="1" t="s">
        <v>201</v>
      </c>
    </row>
    <row r="25" spans="3:3" ht="14.4" x14ac:dyDescent="0.3">
      <c r="C25" s="1" t="s">
        <v>202</v>
      </c>
    </row>
    <row r="26" spans="3:3" ht="14.4" x14ac:dyDescent="0.3">
      <c r="C26" s="1"/>
    </row>
    <row r="27" spans="3:3" ht="14.4" x14ac:dyDescent="0.3">
      <c r="C27" s="97" t="s">
        <v>206</v>
      </c>
    </row>
    <row r="28" spans="3:3" ht="14.4" x14ac:dyDescent="0.3">
      <c r="C28" s="1" t="s">
        <v>207</v>
      </c>
    </row>
    <row r="29" spans="3:3" ht="14.4" x14ac:dyDescent="0.3">
      <c r="C29" s="1" t="s">
        <v>208</v>
      </c>
    </row>
    <row r="30" spans="3:3" ht="14.4" x14ac:dyDescent="0.3">
      <c r="C30" s="1" t="s">
        <v>209</v>
      </c>
    </row>
    <row r="31" spans="3:3" ht="14.4" x14ac:dyDescent="0.3">
      <c r="C31" s="96" t="s">
        <v>196</v>
      </c>
    </row>
    <row r="32" spans="3:3" ht="14.4" x14ac:dyDescent="0.3">
      <c r="C32" s="1" t="s">
        <v>210</v>
      </c>
    </row>
    <row r="33" spans="3:9" ht="14.4" x14ac:dyDescent="0.3">
      <c r="C33" s="1"/>
    </row>
    <row r="34" spans="3:9" ht="14.4" x14ac:dyDescent="0.3">
      <c r="C34" s="80" t="s">
        <v>203</v>
      </c>
    </row>
    <row r="35" spans="3:9" ht="14.4" x14ac:dyDescent="0.3">
      <c r="C35" s="1" t="s">
        <v>204</v>
      </c>
    </row>
    <row r="36" spans="3:9" ht="14.4" x14ac:dyDescent="0.3">
      <c r="C36" s="1" t="s">
        <v>205</v>
      </c>
    </row>
    <row r="39" spans="3:9" x14ac:dyDescent="0.3">
      <c r="C39" s="94" t="s">
        <v>215</v>
      </c>
    </row>
    <row r="40" spans="3:9" x14ac:dyDescent="0.3">
      <c r="C40" s="2" t="s">
        <v>214</v>
      </c>
    </row>
    <row r="41" spans="3:9" x14ac:dyDescent="0.3">
      <c r="C41" s="2" t="s">
        <v>213</v>
      </c>
    </row>
    <row r="42" spans="3:9" x14ac:dyDescent="0.3">
      <c r="C42" s="2" t="s">
        <v>216</v>
      </c>
    </row>
    <row r="44" spans="3:9" x14ac:dyDescent="0.3">
      <c r="C44" s="94" t="s">
        <v>220</v>
      </c>
    </row>
    <row r="45" spans="3:9" x14ac:dyDescent="0.3">
      <c r="C45" s="2" t="s">
        <v>222</v>
      </c>
    </row>
    <row r="46" spans="3:9" ht="14.4" x14ac:dyDescent="0.3">
      <c r="C46" s="98" t="s">
        <v>4</v>
      </c>
      <c r="D46" s="98" t="s">
        <v>72</v>
      </c>
      <c r="E46" s="98" t="s">
        <v>73</v>
      </c>
      <c r="F46" s="98" t="s">
        <v>74</v>
      </c>
      <c r="G46" s="98" t="s">
        <v>75</v>
      </c>
      <c r="H46" s="98" t="s">
        <v>76</v>
      </c>
      <c r="I46" s="98" t="s">
        <v>77</v>
      </c>
    </row>
    <row r="47" spans="3:9" x14ac:dyDescent="0.3">
      <c r="C47" s="58" t="s">
        <v>123</v>
      </c>
      <c r="D47" s="58">
        <v>0</v>
      </c>
      <c r="E47" s="58">
        <v>600000</v>
      </c>
      <c r="F47" s="58">
        <v>900000</v>
      </c>
      <c r="G47" s="58">
        <v>750000</v>
      </c>
      <c r="H47" s="58">
        <v>1050000</v>
      </c>
      <c r="I47" s="58">
        <v>1150000</v>
      </c>
    </row>
    <row r="48" spans="3:9" x14ac:dyDescent="0.3">
      <c r="C48" s="58" t="s">
        <v>121</v>
      </c>
      <c r="D48" s="58">
        <v>0</v>
      </c>
      <c r="E48" s="58">
        <v>250000</v>
      </c>
      <c r="F48" s="58">
        <v>350000</v>
      </c>
      <c r="G48" s="58">
        <v>550000</v>
      </c>
      <c r="H48" s="58">
        <v>750000</v>
      </c>
      <c r="I48" s="58">
        <v>950000</v>
      </c>
    </row>
    <row r="49" spans="3:9" x14ac:dyDescent="0.3">
      <c r="C49" s="2" t="s">
        <v>221</v>
      </c>
    </row>
    <row r="51" spans="3:9" x14ac:dyDescent="0.3">
      <c r="C51" s="2" t="s">
        <v>225</v>
      </c>
    </row>
    <row r="52" spans="3:9" ht="14.4" x14ac:dyDescent="0.3">
      <c r="C52" s="98" t="s">
        <v>4</v>
      </c>
      <c r="D52" s="98" t="s">
        <v>72</v>
      </c>
      <c r="E52" s="98" t="s">
        <v>73</v>
      </c>
      <c r="F52" s="98" t="s">
        <v>74</v>
      </c>
      <c r="G52" s="98" t="s">
        <v>75</v>
      </c>
      <c r="H52" s="98" t="s">
        <v>76</v>
      </c>
      <c r="I52" s="98" t="s">
        <v>77</v>
      </c>
    </row>
    <row r="53" spans="3:9" x14ac:dyDescent="0.3">
      <c r="C53" s="95" t="s">
        <v>223</v>
      </c>
      <c r="D53" s="58">
        <f>'Q3Bal Sheet'!D14</f>
        <v>1918200</v>
      </c>
      <c r="E53" s="58">
        <f>'Q3Bal Sheet'!E14</f>
        <v>2047300</v>
      </c>
      <c r="F53" s="58">
        <f>'Q3Bal Sheet'!F14</f>
        <v>500300</v>
      </c>
      <c r="G53" s="58">
        <f>'Q3Bal Sheet'!G14</f>
        <v>2204400</v>
      </c>
      <c r="H53" s="58">
        <f>'Q3Bal Sheet'!H14</f>
        <v>4747300</v>
      </c>
      <c r="I53" s="58">
        <f>'Q3Bal Sheet'!I14</f>
        <v>7872690</v>
      </c>
    </row>
    <row r="54" spans="3:9" x14ac:dyDescent="0.3">
      <c r="C54" s="95" t="s">
        <v>146</v>
      </c>
      <c r="D54" s="58">
        <f>'Q3Bal Sheet'!D15</f>
        <v>0</v>
      </c>
      <c r="E54" s="58">
        <f>'Q3Bal Sheet'!E15</f>
        <v>2100000</v>
      </c>
      <c r="F54" s="58">
        <f>'Q3Bal Sheet'!F15</f>
        <v>4185700</v>
      </c>
      <c r="G54" s="58">
        <f>'Q3Bal Sheet'!G15</f>
        <v>4757800</v>
      </c>
      <c r="H54" s="58">
        <f>'Q3Bal Sheet'!H15</f>
        <v>6857800</v>
      </c>
      <c r="I54" s="58">
        <f>'Q3Bal Sheet'!I15</f>
        <v>11490200</v>
      </c>
    </row>
    <row r="55" spans="3:9" x14ac:dyDescent="0.3">
      <c r="C55" s="95" t="s">
        <v>224</v>
      </c>
      <c r="D55" s="58">
        <f>'Q3Bal Sheet'!D34</f>
        <v>0</v>
      </c>
      <c r="E55" s="58">
        <f>'Q3Bal Sheet'!E34</f>
        <v>181800</v>
      </c>
      <c r="F55" s="58">
        <f>'Q3Bal Sheet'!F34</f>
        <v>220200</v>
      </c>
      <c r="G55" s="58">
        <f>'Q3Bal Sheet'!G34</f>
        <v>292000</v>
      </c>
      <c r="H55" s="58">
        <f>'Q3Bal Sheet'!H34</f>
        <v>187600</v>
      </c>
      <c r="I55" s="58">
        <f>'Q3Bal Sheet'!I34</f>
        <v>72700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I19"/>
  <sheetViews>
    <sheetView showGridLines="0" workbookViewId="0">
      <selection activeCell="C5" sqref="C5:I19"/>
    </sheetView>
  </sheetViews>
  <sheetFormatPr defaultRowHeight="11.4" x14ac:dyDescent="0.3"/>
  <cols>
    <col min="1" max="2" width="8.88671875" style="2"/>
    <col min="3" max="3" width="19.6640625" style="2" bestFit="1" customWidth="1"/>
    <col min="4" max="4" width="14.109375" style="57" customWidth="1"/>
    <col min="5" max="5" width="13.109375" style="57" customWidth="1"/>
    <col min="6" max="6" width="14" style="57" customWidth="1"/>
    <col min="7" max="7" width="13.77734375" style="57" customWidth="1"/>
    <col min="8" max="9" width="13.88671875" style="57" customWidth="1"/>
    <col min="10" max="16384" width="8.88671875" style="2"/>
  </cols>
  <sheetData>
    <row r="5" spans="3:9" ht="14.4" x14ac:dyDescent="0.3">
      <c r="C5" s="59" t="s">
        <v>4</v>
      </c>
      <c r="D5" s="60" t="s">
        <v>72</v>
      </c>
      <c r="E5" s="60" t="s">
        <v>73</v>
      </c>
      <c r="F5" s="60" t="s">
        <v>74</v>
      </c>
      <c r="G5" s="60" t="s">
        <v>75</v>
      </c>
      <c r="H5" s="60" t="s">
        <v>76</v>
      </c>
      <c r="I5" s="60" t="s">
        <v>77</v>
      </c>
    </row>
    <row r="6" spans="3:9" x14ac:dyDescent="0.3">
      <c r="C6" s="45" t="s">
        <v>2</v>
      </c>
      <c r="D6" s="61">
        <f>Q3Working!D7</f>
        <v>21250000</v>
      </c>
      <c r="E6" s="61">
        <f>Q3Working!E7</f>
        <v>26630000</v>
      </c>
      <c r="F6" s="61">
        <f>Q3Working!F7</f>
        <v>32980000</v>
      </c>
      <c r="G6" s="61">
        <f>Q3Working!G7</f>
        <v>40390000</v>
      </c>
      <c r="H6" s="61">
        <f>Q3Working!H7</f>
        <v>50640000</v>
      </c>
      <c r="I6" s="61">
        <f>Q3Working!I7</f>
        <v>62760000</v>
      </c>
    </row>
    <row r="7" spans="3:9" x14ac:dyDescent="0.3">
      <c r="C7" s="43" t="s">
        <v>1</v>
      </c>
      <c r="D7" s="62">
        <f>Q3Working!D8</f>
        <v>600000</v>
      </c>
      <c r="E7" s="62">
        <f>Q3Working!E8</f>
        <v>720000</v>
      </c>
      <c r="F7" s="62">
        <f>Q3Working!F8</f>
        <v>840000</v>
      </c>
      <c r="G7" s="62">
        <f>Q3Working!G8</f>
        <v>1200000</v>
      </c>
      <c r="H7" s="62">
        <f>Q3Working!H8</f>
        <v>1350000</v>
      </c>
      <c r="I7" s="62">
        <f>Q3Working!I8</f>
        <v>500000</v>
      </c>
    </row>
    <row r="8" spans="3:9" ht="12" x14ac:dyDescent="0.3">
      <c r="C8" s="42" t="s">
        <v>6</v>
      </c>
      <c r="D8" s="63">
        <f>SUM(D6:D7)</f>
        <v>21850000</v>
      </c>
      <c r="E8" s="63">
        <f t="shared" ref="E8:I8" si="0">SUM(E6:E7)</f>
        <v>27350000</v>
      </c>
      <c r="F8" s="63">
        <f t="shared" si="0"/>
        <v>33820000</v>
      </c>
      <c r="G8" s="63">
        <f t="shared" si="0"/>
        <v>41590000</v>
      </c>
      <c r="H8" s="63">
        <f t="shared" si="0"/>
        <v>51990000</v>
      </c>
      <c r="I8" s="63">
        <f t="shared" si="0"/>
        <v>63260000</v>
      </c>
    </row>
    <row r="9" spans="3:9" x14ac:dyDescent="0.3">
      <c r="C9" s="43" t="s">
        <v>7</v>
      </c>
      <c r="D9" s="62">
        <f>Q3Working!D14</f>
        <v>14900000</v>
      </c>
      <c r="E9" s="62">
        <f>Q3Working!E14</f>
        <v>18180000</v>
      </c>
      <c r="F9" s="62">
        <f>Q3Working!F14</f>
        <v>22080000</v>
      </c>
      <c r="G9" s="62">
        <f>Q3Working!G14</f>
        <v>26660000</v>
      </c>
      <c r="H9" s="62">
        <f>Q3Working!H14</f>
        <v>32450000</v>
      </c>
      <c r="I9" s="62">
        <f>Q3Working!I14</f>
        <v>39740000</v>
      </c>
    </row>
    <row r="10" spans="3:9" ht="12" x14ac:dyDescent="0.3">
      <c r="C10" s="42" t="s">
        <v>8</v>
      </c>
      <c r="D10" s="63">
        <f>D8-D9</f>
        <v>6950000</v>
      </c>
      <c r="E10" s="63">
        <f t="shared" ref="E10:I10" si="1">E8-E9</f>
        <v>9170000</v>
      </c>
      <c r="F10" s="63">
        <f t="shared" si="1"/>
        <v>11740000</v>
      </c>
      <c r="G10" s="63">
        <f t="shared" si="1"/>
        <v>14930000</v>
      </c>
      <c r="H10" s="63">
        <f t="shared" si="1"/>
        <v>19540000</v>
      </c>
      <c r="I10" s="63">
        <f t="shared" si="1"/>
        <v>23520000</v>
      </c>
    </row>
    <row r="11" spans="3:9" x14ac:dyDescent="0.3">
      <c r="C11" s="43" t="s">
        <v>9</v>
      </c>
      <c r="D11" s="62">
        <f>Q3Working!D17</f>
        <v>600000</v>
      </c>
      <c r="E11" s="62">
        <f>Q3Working!E17</f>
        <v>753000</v>
      </c>
      <c r="F11" s="62">
        <f>Q3Working!F17</f>
        <v>934300</v>
      </c>
      <c r="G11" s="62">
        <f>Q3Working!G17</f>
        <v>1146600</v>
      </c>
      <c r="H11" s="62">
        <f>Q3Working!H17</f>
        <v>1440000</v>
      </c>
      <c r="I11" s="62">
        <f>Q3Working!I17</f>
        <v>1785600</v>
      </c>
    </row>
    <row r="12" spans="3:9" ht="12" x14ac:dyDescent="0.3">
      <c r="C12" s="42" t="s">
        <v>10</v>
      </c>
      <c r="D12" s="63">
        <f>D10-D11</f>
        <v>6350000</v>
      </c>
      <c r="E12" s="63">
        <f t="shared" ref="E12:I12" si="2">E10-E11</f>
        <v>8417000</v>
      </c>
      <c r="F12" s="63">
        <f t="shared" si="2"/>
        <v>10805700</v>
      </c>
      <c r="G12" s="63">
        <f t="shared" si="2"/>
        <v>13783400</v>
      </c>
      <c r="H12" s="63">
        <f t="shared" si="2"/>
        <v>18100000</v>
      </c>
      <c r="I12" s="63">
        <f t="shared" si="2"/>
        <v>21734400</v>
      </c>
    </row>
    <row r="13" spans="3:9" x14ac:dyDescent="0.3">
      <c r="C13" s="43" t="s">
        <v>11</v>
      </c>
      <c r="D13" s="62">
        <f>Q3Working!D20</f>
        <v>1175000</v>
      </c>
      <c r="E13" s="62">
        <f>Q3Working!E20</f>
        <v>1008800</v>
      </c>
      <c r="F13" s="62">
        <f>Q3Working!F20</f>
        <v>926400</v>
      </c>
      <c r="G13" s="62">
        <f>Q3Working!G20</f>
        <v>798600</v>
      </c>
      <c r="H13" s="62">
        <f>Q3Working!H20</f>
        <v>688800</v>
      </c>
      <c r="I13" s="62">
        <f>Q3Working!I20</f>
        <v>594400</v>
      </c>
    </row>
    <row r="14" spans="3:9" x14ac:dyDescent="0.3">
      <c r="C14" s="43" t="s">
        <v>12</v>
      </c>
      <c r="D14" s="62">
        <f>Q3Working!D21</f>
        <v>480000</v>
      </c>
      <c r="E14" s="62">
        <f>Q3Working!E21</f>
        <v>544000</v>
      </c>
      <c r="F14" s="62">
        <f>Q3Working!F21</f>
        <v>448000</v>
      </c>
      <c r="G14" s="62">
        <f>Q3Working!G21</f>
        <v>352000</v>
      </c>
      <c r="H14" s="62">
        <f>Q3Working!H21</f>
        <v>96000</v>
      </c>
      <c r="I14" s="62">
        <f>Q3Working!I21</f>
        <v>0</v>
      </c>
    </row>
    <row r="15" spans="3:9" ht="12" x14ac:dyDescent="0.3">
      <c r="C15" s="42" t="s">
        <v>13</v>
      </c>
      <c r="D15" s="63">
        <f>D12-D13-D14</f>
        <v>4695000</v>
      </c>
      <c r="E15" s="63">
        <f t="shared" ref="E15:I15" si="3">E12-E13-E14</f>
        <v>6864200</v>
      </c>
      <c r="F15" s="63">
        <f t="shared" si="3"/>
        <v>9431300</v>
      </c>
      <c r="G15" s="63">
        <f t="shared" si="3"/>
        <v>12632800</v>
      </c>
      <c r="H15" s="63">
        <f t="shared" si="3"/>
        <v>17315200</v>
      </c>
      <c r="I15" s="63">
        <f t="shared" si="3"/>
        <v>21140000</v>
      </c>
    </row>
    <row r="16" spans="3:9" x14ac:dyDescent="0.3">
      <c r="C16" s="43" t="s">
        <v>14</v>
      </c>
      <c r="D16" s="62">
        <f>Q3Working!D24</f>
        <v>1173800</v>
      </c>
      <c r="E16" s="62">
        <f>Q3Working!E24</f>
        <v>1716100</v>
      </c>
      <c r="F16" s="62">
        <f>Q3Working!F24</f>
        <v>2357800</v>
      </c>
      <c r="G16" s="62">
        <f>Q3Working!G24</f>
        <v>3158200</v>
      </c>
      <c r="H16" s="62">
        <f>Q3Working!H24</f>
        <v>4328800</v>
      </c>
      <c r="I16" s="62">
        <f>Q3Working!I24</f>
        <v>5285000</v>
      </c>
    </row>
    <row r="17" spans="3:9" ht="12" x14ac:dyDescent="0.3">
      <c r="C17" s="42" t="s">
        <v>15</v>
      </c>
      <c r="D17" s="63">
        <f>D15-D16</f>
        <v>3521200</v>
      </c>
      <c r="E17" s="63">
        <f t="shared" ref="E17:I17" si="4">E15-E16</f>
        <v>5148100</v>
      </c>
      <c r="F17" s="63">
        <f t="shared" si="4"/>
        <v>7073500</v>
      </c>
      <c r="G17" s="63">
        <f t="shared" si="4"/>
        <v>9474600</v>
      </c>
      <c r="H17" s="63">
        <f t="shared" si="4"/>
        <v>12986400</v>
      </c>
      <c r="I17" s="63">
        <f t="shared" si="4"/>
        <v>15855000</v>
      </c>
    </row>
    <row r="18" spans="3:9" x14ac:dyDescent="0.3">
      <c r="C18" s="43" t="s">
        <v>16</v>
      </c>
      <c r="D18" s="62">
        <f>Q3Working!D26</f>
        <v>1000000</v>
      </c>
      <c r="E18" s="62">
        <f>Q3Working!E26</f>
        <v>1100000</v>
      </c>
      <c r="F18" s="62">
        <f>Q3Working!F26</f>
        <v>1210000.0000000002</v>
      </c>
      <c r="G18" s="62">
        <f>Q3Working!G26</f>
        <v>1331000.0000000005</v>
      </c>
      <c r="H18" s="62">
        <f>Q3Working!H26</f>
        <v>1464100.0000000007</v>
      </c>
      <c r="I18" s="62">
        <f>Q3Working!I26</f>
        <v>1610510.0000000007</v>
      </c>
    </row>
    <row r="19" spans="3:9" ht="12" x14ac:dyDescent="0.3">
      <c r="C19" s="65" t="s">
        <v>17</v>
      </c>
      <c r="D19" s="64">
        <f>D17-D18</f>
        <v>2521200</v>
      </c>
      <c r="E19" s="64">
        <f t="shared" ref="E19:I19" si="5">E17-E18</f>
        <v>4048100</v>
      </c>
      <c r="F19" s="64">
        <f t="shared" si="5"/>
        <v>5863500</v>
      </c>
      <c r="G19" s="64">
        <f t="shared" si="5"/>
        <v>8143600</v>
      </c>
      <c r="H19" s="64">
        <f t="shared" si="5"/>
        <v>11522300</v>
      </c>
      <c r="I19" s="64">
        <f t="shared" si="5"/>
        <v>14244490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BE0AD-A587-4CC6-B063-8DE47F54BA5A}">
  <dimension ref="C4:P39"/>
  <sheetViews>
    <sheetView showGridLines="0" topLeftCell="A13" workbookViewId="0">
      <selection activeCell="C4" sqref="C4:C37"/>
    </sheetView>
  </sheetViews>
  <sheetFormatPr defaultRowHeight="14.4" x14ac:dyDescent="0.3"/>
  <cols>
    <col min="3" max="3" width="26.109375" bestFit="1" customWidth="1"/>
    <col min="4" max="9" width="16.6640625" style="4" customWidth="1"/>
    <col min="11" max="15" width="10.44140625" bestFit="1" customWidth="1"/>
    <col min="16" max="16" width="11.21875" bestFit="1" customWidth="1"/>
  </cols>
  <sheetData>
    <row r="4" spans="3:16" x14ac:dyDescent="0.3">
      <c r="C4" s="37" t="s">
        <v>4</v>
      </c>
      <c r="D4" s="38" t="s">
        <v>72</v>
      </c>
      <c r="E4" s="38" t="s">
        <v>73</v>
      </c>
      <c r="F4" s="51" t="s">
        <v>74</v>
      </c>
      <c r="G4" s="51" t="s">
        <v>75</v>
      </c>
      <c r="H4" s="51" t="s">
        <v>76</v>
      </c>
      <c r="I4" s="51" t="s">
        <v>77</v>
      </c>
    </row>
    <row r="5" spans="3:16" x14ac:dyDescent="0.3">
      <c r="C5" s="41" t="s">
        <v>78</v>
      </c>
      <c r="D5" s="10"/>
      <c r="E5" s="52"/>
      <c r="F5" s="11"/>
      <c r="G5" s="11"/>
      <c r="H5" s="11"/>
      <c r="I5" s="11"/>
    </row>
    <row r="6" spans="3:16" x14ac:dyDescent="0.3">
      <c r="C6" s="42" t="s">
        <v>79</v>
      </c>
      <c r="D6" s="10"/>
      <c r="E6" s="53"/>
      <c r="F6" s="11"/>
      <c r="G6" s="11"/>
      <c r="H6" s="11"/>
      <c r="I6" s="11"/>
    </row>
    <row r="7" spans="3:16" x14ac:dyDescent="0.3">
      <c r="C7" s="43" t="s">
        <v>80</v>
      </c>
      <c r="D7" s="10">
        <f>Q3Working!D100+Q3Working!D109</f>
        <v>7325000</v>
      </c>
      <c r="E7" s="53">
        <f>Q3Working!E100+Q3Working!E109</f>
        <v>6316200</v>
      </c>
      <c r="F7" s="11">
        <f>Q3Working!F100+Q3Working!F109</f>
        <v>5989800</v>
      </c>
      <c r="G7" s="11">
        <f>Q3Working!G100+Q3Working!G109</f>
        <v>5191200</v>
      </c>
      <c r="H7" s="11">
        <f>Q3Working!H100+Q3Working!H109</f>
        <v>4502400</v>
      </c>
      <c r="I7" s="11">
        <f>Q3Working!I100+Q3Working!I109</f>
        <v>3908000</v>
      </c>
    </row>
    <row r="8" spans="3:16" x14ac:dyDescent="0.3">
      <c r="C8" s="43" t="s">
        <v>81</v>
      </c>
      <c r="D8" s="10">
        <f>Q3Working!D161</f>
        <v>960000</v>
      </c>
      <c r="E8" s="53">
        <f>Q3Working!E161</f>
        <v>960000</v>
      </c>
      <c r="F8" s="11">
        <f>Q3Working!F161</f>
        <v>960000</v>
      </c>
      <c r="G8" s="11">
        <f>Q3Working!G161</f>
        <v>1410000</v>
      </c>
      <c r="H8" s="11">
        <f>Q3Working!H161</f>
        <v>610000</v>
      </c>
      <c r="I8" s="11">
        <f>Q3Working!I161</f>
        <v>610000</v>
      </c>
    </row>
    <row r="9" spans="3:16" x14ac:dyDescent="0.3">
      <c r="C9" s="44" t="s">
        <v>82</v>
      </c>
      <c r="D9" s="19">
        <f>SUM(D7:D8)</f>
        <v>8285000</v>
      </c>
      <c r="E9" s="54">
        <f t="shared" ref="E9:I9" si="0">SUM(E7:E8)</f>
        <v>7276200</v>
      </c>
      <c r="F9" s="15">
        <f t="shared" si="0"/>
        <v>6949800</v>
      </c>
      <c r="G9" s="15">
        <f t="shared" si="0"/>
        <v>6601200</v>
      </c>
      <c r="H9" s="15">
        <f t="shared" si="0"/>
        <v>5112400</v>
      </c>
      <c r="I9" s="15">
        <f t="shared" si="0"/>
        <v>4518000</v>
      </c>
    </row>
    <row r="10" spans="3:16" x14ac:dyDescent="0.3">
      <c r="C10" s="45"/>
      <c r="D10" s="52"/>
      <c r="E10" s="8"/>
      <c r="F10" s="8"/>
      <c r="G10" s="8"/>
      <c r="H10" s="8"/>
      <c r="I10" s="8"/>
    </row>
    <row r="11" spans="3:16" x14ac:dyDescent="0.3">
      <c r="C11" s="42" t="s">
        <v>83</v>
      </c>
      <c r="D11" s="53"/>
      <c r="E11" s="11"/>
      <c r="F11" s="11"/>
      <c r="G11" s="11"/>
      <c r="H11" s="11"/>
      <c r="I11" s="11"/>
    </row>
    <row r="12" spans="3:16" x14ac:dyDescent="0.3">
      <c r="C12" s="43" t="s">
        <v>84</v>
      </c>
      <c r="D12" s="53">
        <f>Q3Working!D13</f>
        <v>4870000</v>
      </c>
      <c r="E12" s="11">
        <f>Q3Working!E13</f>
        <v>10920000</v>
      </c>
      <c r="F12" s="11">
        <f>Q3Working!F13</f>
        <v>18240000</v>
      </c>
      <c r="G12" s="11">
        <f>Q3Working!G13</f>
        <v>26180000</v>
      </c>
      <c r="H12" s="11">
        <f>Q3Working!H13</f>
        <v>34620000</v>
      </c>
      <c r="I12" s="11">
        <f>Q3Working!I13</f>
        <v>44270000</v>
      </c>
      <c r="K12" s="5"/>
      <c r="L12" s="5"/>
      <c r="M12" s="5"/>
      <c r="N12" s="5"/>
      <c r="O12" s="5"/>
      <c r="P12" s="5"/>
    </row>
    <row r="13" spans="3:16" x14ac:dyDescent="0.3">
      <c r="C13" s="43" t="s">
        <v>85</v>
      </c>
      <c r="D13" s="53">
        <f>Q3Working!D191</f>
        <v>425000</v>
      </c>
      <c r="E13" s="11">
        <f>Q3Working!E191</f>
        <v>357600</v>
      </c>
      <c r="F13" s="11">
        <f>Q3Working!F191</f>
        <v>117200</v>
      </c>
      <c r="G13" s="11">
        <f>Q3Working!G191</f>
        <v>175000</v>
      </c>
      <c r="H13" s="11">
        <f>Q3Working!H191</f>
        <v>137800</v>
      </c>
      <c r="I13" s="11">
        <f>Q3Working!I191</f>
        <v>243000</v>
      </c>
      <c r="K13" s="5"/>
      <c r="L13" s="5"/>
      <c r="M13" s="5"/>
      <c r="N13" s="5"/>
      <c r="O13" s="5"/>
      <c r="P13" s="5"/>
    </row>
    <row r="14" spans="3:16" x14ac:dyDescent="0.3">
      <c r="C14" s="43" t="s">
        <v>86</v>
      </c>
      <c r="D14" s="53">
        <f>Q3Working!D212</f>
        <v>1918200</v>
      </c>
      <c r="E14" s="11">
        <f>Q3Working!E212</f>
        <v>2047300</v>
      </c>
      <c r="F14" s="11">
        <f>Q3Working!F212</f>
        <v>500300</v>
      </c>
      <c r="G14" s="11">
        <f>Q3Working!G212</f>
        <v>2204400</v>
      </c>
      <c r="H14" s="11">
        <f>Q3Working!H212</f>
        <v>4747300</v>
      </c>
      <c r="I14" s="11">
        <f>Q3Working!I212</f>
        <v>7872690</v>
      </c>
    </row>
    <row r="15" spans="3:16" x14ac:dyDescent="0.3">
      <c r="C15" s="43" t="s">
        <v>87</v>
      </c>
      <c r="D15" s="53">
        <f>Q3Working!D223</f>
        <v>0</v>
      </c>
      <c r="E15" s="53">
        <f>Q3Working!E223</f>
        <v>2100000</v>
      </c>
      <c r="F15" s="53">
        <f>Q3Working!F223</f>
        <v>4185700</v>
      </c>
      <c r="G15" s="53">
        <f>Q3Working!G223</f>
        <v>4757800</v>
      </c>
      <c r="H15" s="53">
        <f>Q3Working!H223</f>
        <v>6857800</v>
      </c>
      <c r="I15" s="53">
        <f>Q3Working!I223</f>
        <v>11490200</v>
      </c>
      <c r="K15" s="5"/>
      <c r="L15" s="5"/>
      <c r="M15" s="5"/>
      <c r="N15" s="5"/>
      <c r="O15" s="5"/>
      <c r="P15" s="5"/>
    </row>
    <row r="16" spans="3:16" x14ac:dyDescent="0.3">
      <c r="C16" s="44" t="s">
        <v>88</v>
      </c>
      <c r="D16" s="54">
        <f>SUM(D12:D15)</f>
        <v>7213200</v>
      </c>
      <c r="E16" s="15">
        <f t="shared" ref="E16:I16" si="1">SUM(E12:E15)</f>
        <v>15424900</v>
      </c>
      <c r="F16" s="15">
        <f t="shared" si="1"/>
        <v>23043200</v>
      </c>
      <c r="G16" s="15">
        <f t="shared" si="1"/>
        <v>33317200</v>
      </c>
      <c r="H16" s="15">
        <f t="shared" si="1"/>
        <v>46362900</v>
      </c>
      <c r="I16" s="15">
        <f t="shared" si="1"/>
        <v>63875890</v>
      </c>
    </row>
    <row r="17" spans="3:9" x14ac:dyDescent="0.3">
      <c r="C17" s="43"/>
      <c r="D17" s="10"/>
      <c r="E17" s="53"/>
      <c r="F17" s="11"/>
      <c r="G17" s="11"/>
      <c r="H17" s="11"/>
      <c r="I17" s="11"/>
    </row>
    <row r="18" spans="3:9" x14ac:dyDescent="0.3">
      <c r="C18" s="3" t="s">
        <v>89</v>
      </c>
      <c r="D18" s="28">
        <f>D9+D16</f>
        <v>15498200</v>
      </c>
      <c r="E18" s="29">
        <f t="shared" ref="E18:I18" si="2">E9+E16</f>
        <v>22701100</v>
      </c>
      <c r="F18" s="29">
        <f t="shared" si="2"/>
        <v>29993000</v>
      </c>
      <c r="G18" s="29">
        <f t="shared" si="2"/>
        <v>39918400</v>
      </c>
      <c r="H18" s="29">
        <f t="shared" si="2"/>
        <v>51475300</v>
      </c>
      <c r="I18" s="29">
        <f t="shared" si="2"/>
        <v>68393890</v>
      </c>
    </row>
    <row r="19" spans="3:9" x14ac:dyDescent="0.3">
      <c r="C19" s="43"/>
      <c r="D19" s="11"/>
      <c r="E19" s="11"/>
      <c r="F19" s="11"/>
      <c r="G19" s="11"/>
      <c r="H19" s="11"/>
      <c r="I19" s="11"/>
    </row>
    <row r="20" spans="3:9" x14ac:dyDescent="0.3">
      <c r="C20" s="43"/>
      <c r="D20" s="11"/>
      <c r="E20" s="11"/>
      <c r="F20" s="11"/>
      <c r="G20" s="11"/>
      <c r="H20" s="11"/>
      <c r="I20" s="11"/>
    </row>
    <row r="21" spans="3:9" x14ac:dyDescent="0.3">
      <c r="C21" s="46" t="s">
        <v>90</v>
      </c>
      <c r="D21" s="11"/>
      <c r="E21" s="11"/>
      <c r="F21" s="11"/>
      <c r="G21" s="11"/>
      <c r="H21" s="11"/>
      <c r="I21" s="11"/>
    </row>
    <row r="22" spans="3:9" x14ac:dyDescent="0.3">
      <c r="C22" s="42" t="s">
        <v>91</v>
      </c>
      <c r="D22" s="11"/>
      <c r="E22" s="11"/>
      <c r="F22" s="11"/>
      <c r="G22" s="11"/>
      <c r="H22" s="11"/>
      <c r="I22" s="11"/>
    </row>
    <row r="23" spans="3:9" x14ac:dyDescent="0.3">
      <c r="C23" s="43" t="s">
        <v>92</v>
      </c>
      <c r="D23" s="11">
        <f>Q3Working!D143</f>
        <v>5000000</v>
      </c>
      <c r="E23" s="11">
        <f>Q3Working!E143</f>
        <v>5000000</v>
      </c>
      <c r="F23" s="11">
        <f>Q3Working!F143</f>
        <v>5000000</v>
      </c>
      <c r="G23" s="11">
        <f>Q3Working!G143</f>
        <v>5000000</v>
      </c>
      <c r="H23" s="11">
        <f>Q3Working!H143</f>
        <v>5000000</v>
      </c>
      <c r="I23" s="11">
        <f>Q3Working!I143</f>
        <v>5000000</v>
      </c>
    </row>
    <row r="24" spans="3:9" x14ac:dyDescent="0.3">
      <c r="C24" s="43" t="s">
        <v>93</v>
      </c>
      <c r="D24" s="11">
        <f>Q3Working!D220</f>
        <v>2521200</v>
      </c>
      <c r="E24" s="11">
        <f>Q3Working!E220</f>
        <v>6569300</v>
      </c>
      <c r="F24" s="11">
        <f>Q3Working!F220</f>
        <v>12432800</v>
      </c>
      <c r="G24" s="11">
        <f>Q3Working!G220</f>
        <v>20576400</v>
      </c>
      <c r="H24" s="11">
        <f>Q3Working!H220</f>
        <v>32098700</v>
      </c>
      <c r="I24" s="11">
        <f>Q3Working!I220</f>
        <v>46343190</v>
      </c>
    </row>
    <row r="25" spans="3:9" x14ac:dyDescent="0.3">
      <c r="C25" s="44" t="s">
        <v>94</v>
      </c>
      <c r="D25" s="36">
        <f>SUM(D23:D24)</f>
        <v>7521200</v>
      </c>
      <c r="E25" s="36">
        <f t="shared" ref="E25:I25" si="3">SUM(E23:E24)</f>
        <v>11569300</v>
      </c>
      <c r="F25" s="36">
        <f t="shared" si="3"/>
        <v>17432800</v>
      </c>
      <c r="G25" s="36">
        <f t="shared" si="3"/>
        <v>25576400</v>
      </c>
      <c r="H25" s="36">
        <f t="shared" si="3"/>
        <v>37098700</v>
      </c>
      <c r="I25" s="36">
        <f t="shared" si="3"/>
        <v>51343190</v>
      </c>
    </row>
    <row r="26" spans="3:9" x14ac:dyDescent="0.3">
      <c r="C26" s="43"/>
      <c r="D26" s="11"/>
      <c r="E26" s="11"/>
      <c r="F26" s="11"/>
      <c r="G26" s="11"/>
      <c r="H26" s="11"/>
      <c r="I26" s="11"/>
    </row>
    <row r="27" spans="3:9" x14ac:dyDescent="0.3">
      <c r="C27" s="42" t="s">
        <v>95</v>
      </c>
      <c r="D27" s="11"/>
      <c r="E27" s="11"/>
      <c r="F27" s="11"/>
      <c r="G27" s="11"/>
      <c r="H27" s="11"/>
      <c r="I27" s="11"/>
    </row>
    <row r="28" spans="3:9" x14ac:dyDescent="0.3">
      <c r="C28" s="43" t="s">
        <v>96</v>
      </c>
      <c r="D28" s="11">
        <f>Q3Working!D118+Q3Working!D125</f>
        <v>6000000</v>
      </c>
      <c r="E28" s="11">
        <f>Q3Working!E118+Q3Working!E125</f>
        <v>6800000</v>
      </c>
      <c r="F28" s="11">
        <f>Q3Working!F118+Q3Working!F125</f>
        <v>5600000</v>
      </c>
      <c r="G28" s="11">
        <f>Q3Working!G118+Q3Working!G125</f>
        <v>4400000</v>
      </c>
      <c r="H28" s="11">
        <f>Q3Working!H118+Q3Working!H125</f>
        <v>1200000</v>
      </c>
      <c r="I28" s="11">
        <f>Q3Working!I118+Q3Working!I125</f>
        <v>0</v>
      </c>
    </row>
    <row r="29" spans="3:9" x14ac:dyDescent="0.3">
      <c r="C29" s="44" t="s">
        <v>97</v>
      </c>
      <c r="D29" s="36">
        <f>SUM(D28)</f>
        <v>6000000</v>
      </c>
      <c r="E29" s="36">
        <f t="shared" ref="E29:I29" si="4">SUM(E28)</f>
        <v>6800000</v>
      </c>
      <c r="F29" s="36">
        <f t="shared" si="4"/>
        <v>5600000</v>
      </c>
      <c r="G29" s="36">
        <f t="shared" si="4"/>
        <v>4400000</v>
      </c>
      <c r="H29" s="36">
        <f t="shared" si="4"/>
        <v>1200000</v>
      </c>
      <c r="I29" s="36">
        <f t="shared" si="4"/>
        <v>0</v>
      </c>
    </row>
    <row r="30" spans="3:9" x14ac:dyDescent="0.3">
      <c r="C30" s="43"/>
      <c r="D30" s="11"/>
      <c r="E30" s="11"/>
      <c r="F30" s="11"/>
      <c r="G30" s="11"/>
      <c r="H30" s="11"/>
      <c r="I30" s="11"/>
    </row>
    <row r="31" spans="3:9" x14ac:dyDescent="0.3">
      <c r="C31" s="43"/>
      <c r="D31" s="11"/>
      <c r="E31" s="11"/>
      <c r="F31" s="11"/>
      <c r="G31" s="11"/>
      <c r="H31" s="11"/>
      <c r="I31" s="11"/>
    </row>
    <row r="32" spans="3:9" x14ac:dyDescent="0.3">
      <c r="C32" s="42" t="s">
        <v>98</v>
      </c>
      <c r="D32" s="11"/>
      <c r="E32" s="11"/>
      <c r="F32" s="11"/>
      <c r="G32" s="11"/>
      <c r="H32" s="11"/>
      <c r="I32" s="11"/>
    </row>
    <row r="33" spans="3:16" x14ac:dyDescent="0.3">
      <c r="C33" s="43" t="s">
        <v>99</v>
      </c>
      <c r="D33" s="11">
        <f>Q3Working!D184</f>
        <v>1977000</v>
      </c>
      <c r="E33" s="11">
        <f>Q3Working!E184</f>
        <v>4150000</v>
      </c>
      <c r="F33" s="11">
        <f>Q3Working!F184</f>
        <v>6740000</v>
      </c>
      <c r="G33" s="11">
        <f>Q3Working!G184</f>
        <v>9650000</v>
      </c>
      <c r="H33" s="11">
        <f>Q3Working!H184</f>
        <v>12989000</v>
      </c>
      <c r="I33" s="11">
        <f>Q3Working!I184</f>
        <v>16978000</v>
      </c>
      <c r="K33" s="5"/>
      <c r="L33" s="5"/>
      <c r="M33" s="5"/>
      <c r="N33" s="5"/>
      <c r="O33" s="5"/>
      <c r="P33" s="5"/>
    </row>
    <row r="34" spans="3:16" x14ac:dyDescent="0.3">
      <c r="C34" s="43" t="s">
        <v>100</v>
      </c>
      <c r="D34" s="11">
        <f>Q3Working!D224</f>
        <v>0</v>
      </c>
      <c r="E34" s="11">
        <f>Q3Working!E224</f>
        <v>181800</v>
      </c>
      <c r="F34" s="11">
        <f>Q3Working!F224</f>
        <v>220200</v>
      </c>
      <c r="G34" s="11">
        <f>Q3Working!G224</f>
        <v>292000</v>
      </c>
      <c r="H34" s="11">
        <f>Q3Working!H224</f>
        <v>187600</v>
      </c>
      <c r="I34" s="11">
        <f>Q3Working!I224</f>
        <v>72700</v>
      </c>
      <c r="K34" s="5"/>
      <c r="L34" s="5"/>
      <c r="M34" s="5"/>
      <c r="N34" s="5"/>
      <c r="O34" s="5"/>
      <c r="P34" s="5"/>
    </row>
    <row r="35" spans="3:16" x14ac:dyDescent="0.3">
      <c r="C35" s="44" t="s">
        <v>101</v>
      </c>
      <c r="D35" s="15">
        <f>SUM(D33:D34)</f>
        <v>1977000</v>
      </c>
      <c r="E35" s="15">
        <f t="shared" ref="E35:I35" si="5">SUM(E33:E34)</f>
        <v>4331800</v>
      </c>
      <c r="F35" s="15">
        <f t="shared" si="5"/>
        <v>6960200</v>
      </c>
      <c r="G35" s="15">
        <f t="shared" si="5"/>
        <v>9942000</v>
      </c>
      <c r="H35" s="15">
        <f t="shared" si="5"/>
        <v>13176600</v>
      </c>
      <c r="I35" s="15">
        <f t="shared" si="5"/>
        <v>17050700</v>
      </c>
    </row>
    <row r="36" spans="3:16" x14ac:dyDescent="0.3">
      <c r="C36" s="43"/>
      <c r="D36" s="11"/>
      <c r="E36" s="11"/>
      <c r="F36" s="11"/>
      <c r="G36" s="11"/>
      <c r="H36" s="11"/>
      <c r="I36" s="11"/>
    </row>
    <row r="37" spans="3:16" x14ac:dyDescent="0.3">
      <c r="C37" s="3" t="s">
        <v>102</v>
      </c>
      <c r="D37" s="28">
        <f>D25+D29+D35</f>
        <v>15498200</v>
      </c>
      <c r="E37" s="29">
        <f t="shared" ref="E37:I37" si="6">E25+E29+E35</f>
        <v>22701100</v>
      </c>
      <c r="F37" s="29">
        <f t="shared" si="6"/>
        <v>29993000</v>
      </c>
      <c r="G37" s="29">
        <f t="shared" si="6"/>
        <v>39918400</v>
      </c>
      <c r="H37" s="29">
        <f t="shared" si="6"/>
        <v>51475300</v>
      </c>
      <c r="I37" s="29">
        <f t="shared" si="6"/>
        <v>68393890</v>
      </c>
    </row>
    <row r="38" spans="3:16" x14ac:dyDescent="0.3">
      <c r="C38" s="47"/>
    </row>
    <row r="39" spans="3:16" x14ac:dyDescent="0.3">
      <c r="C39" s="47" t="s">
        <v>103</v>
      </c>
      <c r="D39" s="4">
        <f>D18-D37</f>
        <v>0</v>
      </c>
      <c r="E39" s="4">
        <f t="shared" ref="E39:I39" si="7">E18-E37</f>
        <v>0</v>
      </c>
      <c r="F39" s="4">
        <f t="shared" si="7"/>
        <v>0</v>
      </c>
      <c r="G39" s="4">
        <f t="shared" si="7"/>
        <v>0</v>
      </c>
      <c r="H39" s="4">
        <f t="shared" si="7"/>
        <v>0</v>
      </c>
      <c r="I39" s="4">
        <f t="shared" si="7"/>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9270E-2EA4-4B3C-AF6D-D15348AD3AFF}">
  <dimension ref="B6:J58"/>
  <sheetViews>
    <sheetView showGridLines="0" topLeftCell="A8" workbookViewId="0">
      <selection activeCell="C4" sqref="C4"/>
    </sheetView>
  </sheetViews>
  <sheetFormatPr defaultRowHeight="11.4" x14ac:dyDescent="0.3"/>
  <cols>
    <col min="1" max="2" width="8.88671875" style="2"/>
    <col min="3" max="3" width="52.6640625" style="2" customWidth="1"/>
    <col min="4" max="9" width="12.6640625" style="57" customWidth="1"/>
    <col min="10" max="16384" width="8.88671875" style="2"/>
  </cols>
  <sheetData>
    <row r="6" spans="2:9" x14ac:dyDescent="0.3">
      <c r="B6" s="2" t="s">
        <v>151</v>
      </c>
    </row>
    <row r="7" spans="2:9" ht="14.4" x14ac:dyDescent="0.3">
      <c r="B7" s="66"/>
      <c r="C7" s="66" t="s">
        <v>4</v>
      </c>
      <c r="D7" s="38" t="s">
        <v>72</v>
      </c>
      <c r="E7" s="38" t="s">
        <v>73</v>
      </c>
      <c r="F7" s="38" t="s">
        <v>74</v>
      </c>
      <c r="G7" s="38" t="s">
        <v>75</v>
      </c>
      <c r="H7" s="38" t="s">
        <v>76</v>
      </c>
      <c r="I7" s="38" t="s">
        <v>77</v>
      </c>
    </row>
    <row r="8" spans="2:9" ht="14.4" x14ac:dyDescent="0.3">
      <c r="B8" s="67" t="s">
        <v>152</v>
      </c>
      <c r="C8" s="80" t="s">
        <v>151</v>
      </c>
      <c r="D8" s="89"/>
      <c r="E8" s="61"/>
      <c r="F8" s="61"/>
      <c r="G8" s="61"/>
      <c r="H8" s="61"/>
      <c r="I8" s="61"/>
    </row>
    <row r="9" spans="2:9" ht="14.4" x14ac:dyDescent="0.3">
      <c r="B9" s="68"/>
      <c r="C9" s="81" t="s">
        <v>153</v>
      </c>
      <c r="D9" s="90">
        <f>'Q3P&amp;L'!D15</f>
        <v>4695000</v>
      </c>
      <c r="E9" s="90">
        <f>'Q3P&amp;L'!E15</f>
        <v>6864200</v>
      </c>
      <c r="F9" s="90">
        <f>'Q3P&amp;L'!F15</f>
        <v>9431300</v>
      </c>
      <c r="G9" s="90">
        <f>'Q3P&amp;L'!G15</f>
        <v>12632800</v>
      </c>
      <c r="H9" s="90">
        <f>'Q3P&amp;L'!H15</f>
        <v>17315200</v>
      </c>
      <c r="I9" s="90">
        <f>'Q3P&amp;L'!I15</f>
        <v>21140000</v>
      </c>
    </row>
    <row r="10" spans="2:9" ht="14.4" x14ac:dyDescent="0.3">
      <c r="B10" s="68"/>
      <c r="C10" s="1"/>
      <c r="D10" s="90"/>
      <c r="E10" s="62"/>
      <c r="F10" s="62"/>
      <c r="G10" s="62"/>
      <c r="H10" s="62"/>
      <c r="I10" s="62"/>
    </row>
    <row r="11" spans="2:9" ht="14.4" x14ac:dyDescent="0.3">
      <c r="B11" s="68"/>
      <c r="C11" s="82" t="s">
        <v>154</v>
      </c>
      <c r="D11" s="90"/>
      <c r="E11" s="62"/>
      <c r="F11" s="62"/>
      <c r="G11" s="62"/>
      <c r="H11" s="62"/>
      <c r="I11" s="62"/>
    </row>
    <row r="12" spans="2:9" ht="14.4" x14ac:dyDescent="0.3">
      <c r="B12" s="68"/>
      <c r="C12" s="1" t="s">
        <v>155</v>
      </c>
      <c r="D12" s="90">
        <f>'Q3P&amp;L'!D13</f>
        <v>1175000</v>
      </c>
      <c r="E12" s="90">
        <f>'Q3P&amp;L'!E13</f>
        <v>1008800</v>
      </c>
      <c r="F12" s="90">
        <f>'Q3P&amp;L'!F13</f>
        <v>926400</v>
      </c>
      <c r="G12" s="90">
        <f>'Q3P&amp;L'!G13</f>
        <v>798600</v>
      </c>
      <c r="H12" s="90">
        <f>'Q3P&amp;L'!H13</f>
        <v>688800</v>
      </c>
      <c r="I12" s="90">
        <f>'Q3P&amp;L'!I13</f>
        <v>594400</v>
      </c>
    </row>
    <row r="13" spans="2:9" ht="14.4" x14ac:dyDescent="0.3">
      <c r="B13" s="68"/>
      <c r="C13" s="1"/>
      <c r="D13" s="90"/>
      <c r="E13" s="62"/>
      <c r="F13" s="62"/>
      <c r="G13" s="62"/>
      <c r="H13" s="62"/>
      <c r="I13" s="62"/>
    </row>
    <row r="14" spans="2:9" ht="14.4" x14ac:dyDescent="0.3">
      <c r="B14" s="68"/>
      <c r="C14" s="82" t="s">
        <v>156</v>
      </c>
      <c r="D14" s="90"/>
      <c r="E14" s="62"/>
      <c r="F14" s="62"/>
      <c r="G14" s="62"/>
      <c r="H14" s="62"/>
      <c r="I14" s="62"/>
    </row>
    <row r="15" spans="2:9" ht="14.4" x14ac:dyDescent="0.3">
      <c r="B15" s="68"/>
      <c r="C15" s="1" t="s">
        <v>157</v>
      </c>
      <c r="D15" s="90">
        <f>'Q3P&amp;L'!D14</f>
        <v>480000</v>
      </c>
      <c r="E15" s="90">
        <f>'Q3P&amp;L'!E14</f>
        <v>544000</v>
      </c>
      <c r="F15" s="90">
        <f>'Q3P&amp;L'!F14</f>
        <v>448000</v>
      </c>
      <c r="G15" s="90">
        <f>'Q3P&amp;L'!G14</f>
        <v>352000</v>
      </c>
      <c r="H15" s="90">
        <f>'Q3P&amp;L'!H14</f>
        <v>96000</v>
      </c>
      <c r="I15" s="90">
        <f>'Q3P&amp;L'!I14</f>
        <v>0</v>
      </c>
    </row>
    <row r="16" spans="2:9" ht="14.4" x14ac:dyDescent="0.3">
      <c r="B16" s="68"/>
      <c r="C16" s="1" t="s">
        <v>26</v>
      </c>
      <c r="D16" s="90">
        <f>-Q3Working!D47</f>
        <v>-600000</v>
      </c>
      <c r="E16" s="90">
        <f>-Q3Working!E47</f>
        <v>-720000</v>
      </c>
      <c r="F16" s="90">
        <f>-Q3Working!F47</f>
        <v>-840000</v>
      </c>
      <c r="G16" s="90">
        <f>-Q3Working!G47</f>
        <v>-1200000</v>
      </c>
      <c r="H16" s="90">
        <f>-Q3Working!H47</f>
        <v>-450000</v>
      </c>
      <c r="I16" s="90">
        <f>-Q3Working!I47</f>
        <v>-500000</v>
      </c>
    </row>
    <row r="17" spans="2:9" ht="14.4" x14ac:dyDescent="0.3">
      <c r="B17" s="68"/>
      <c r="C17" s="1" t="s">
        <v>185</v>
      </c>
      <c r="D17" s="90">
        <f>-Q3Working!D49</f>
        <v>0</v>
      </c>
      <c r="E17" s="90">
        <f>-Q3Working!E49</f>
        <v>0</v>
      </c>
      <c r="F17" s="90">
        <f>-Q3Working!F49</f>
        <v>0</v>
      </c>
      <c r="G17" s="90">
        <f>-Q3Working!G49</f>
        <v>0</v>
      </c>
      <c r="H17" s="90">
        <f>-Q3Working!H49</f>
        <v>-900000</v>
      </c>
      <c r="I17" s="90">
        <f>-Q3Working!I49</f>
        <v>0</v>
      </c>
    </row>
    <row r="18" spans="2:9" ht="14.4" x14ac:dyDescent="0.3">
      <c r="B18" s="68"/>
      <c r="C18" s="1"/>
      <c r="D18" s="90"/>
      <c r="E18" s="62"/>
      <c r="F18" s="62"/>
      <c r="G18" s="62"/>
      <c r="H18" s="62"/>
      <c r="I18" s="62"/>
    </row>
    <row r="19" spans="2:9" ht="14.4" x14ac:dyDescent="0.3">
      <c r="B19" s="68"/>
      <c r="C19" s="83" t="s">
        <v>158</v>
      </c>
      <c r="D19" s="90"/>
      <c r="E19" s="62"/>
      <c r="F19" s="62"/>
      <c r="G19" s="62"/>
      <c r="H19" s="62"/>
      <c r="I19" s="62"/>
    </row>
    <row r="20" spans="2:9" ht="14.4" x14ac:dyDescent="0.3">
      <c r="B20" s="68"/>
      <c r="C20" s="1" t="s">
        <v>159</v>
      </c>
      <c r="D20" s="90">
        <f>-'Q3Bal Sheet'!D13</f>
        <v>-425000</v>
      </c>
      <c r="E20" s="62">
        <f>'Q3Bal Sheet'!D13-'Q3Bal Sheet'!E13</f>
        <v>67400</v>
      </c>
      <c r="F20" s="62">
        <f>'Q3Bal Sheet'!E13-'Q3Bal Sheet'!F13</f>
        <v>240400</v>
      </c>
      <c r="G20" s="62">
        <f>'Q3Bal Sheet'!F13-'Q3Bal Sheet'!G13</f>
        <v>-57800</v>
      </c>
      <c r="H20" s="62">
        <f>'Q3Bal Sheet'!G13-'Q3Bal Sheet'!H13</f>
        <v>37200</v>
      </c>
      <c r="I20" s="62">
        <f>'Q3Bal Sheet'!H13-'Q3Bal Sheet'!I13</f>
        <v>-105200</v>
      </c>
    </row>
    <row r="21" spans="2:9" ht="14.4" x14ac:dyDescent="0.3">
      <c r="B21" s="68"/>
      <c r="C21" s="1" t="s">
        <v>160</v>
      </c>
      <c r="D21" s="90">
        <f>-'Q3Bal Sheet'!D12</f>
        <v>-4870000</v>
      </c>
      <c r="E21" s="62">
        <f>'Q3Bal Sheet'!D12-'Q3Bal Sheet'!E12</f>
        <v>-6050000</v>
      </c>
      <c r="F21" s="62">
        <f>'Q3Bal Sheet'!E12-'Q3Bal Sheet'!F12</f>
        <v>-7320000</v>
      </c>
      <c r="G21" s="62">
        <f>'Q3Bal Sheet'!F12-'Q3Bal Sheet'!G12</f>
        <v>-7940000</v>
      </c>
      <c r="H21" s="62">
        <f>'Q3Bal Sheet'!G12-'Q3Bal Sheet'!H12</f>
        <v>-8440000</v>
      </c>
      <c r="I21" s="62">
        <f>'Q3Bal Sheet'!H12-'Q3Bal Sheet'!I12</f>
        <v>-9650000</v>
      </c>
    </row>
    <row r="22" spans="2:9" ht="14.4" x14ac:dyDescent="0.3">
      <c r="B22" s="68"/>
      <c r="C22" s="1" t="s">
        <v>186</v>
      </c>
      <c r="D22" s="90">
        <f>-'Q3Bal Sheet'!D15</f>
        <v>0</v>
      </c>
      <c r="E22" s="62">
        <f>'Q3Bal Sheet'!D15-'Q3Bal Sheet'!E15</f>
        <v>-2100000</v>
      </c>
      <c r="F22" s="62">
        <f>'Q3Bal Sheet'!E15-'Q3Bal Sheet'!F15</f>
        <v>-2085700</v>
      </c>
      <c r="G22" s="62">
        <f>'Q3Bal Sheet'!F15-'Q3Bal Sheet'!G15</f>
        <v>-572100</v>
      </c>
      <c r="H22" s="62">
        <f>'Q3Bal Sheet'!G15-'Q3Bal Sheet'!H15</f>
        <v>-2100000</v>
      </c>
      <c r="I22" s="62">
        <f>'Q3Bal Sheet'!H15-'Q3Bal Sheet'!I15</f>
        <v>-4632400</v>
      </c>
    </row>
    <row r="23" spans="2:9" ht="14.4" x14ac:dyDescent="0.3">
      <c r="B23" s="68"/>
      <c r="C23" s="1" t="s">
        <v>161</v>
      </c>
      <c r="D23" s="90">
        <f>'Q3Bal Sheet'!D33</f>
        <v>1977000</v>
      </c>
      <c r="E23" s="62">
        <f>'Q3Bal Sheet'!E33-'Q3Bal Sheet'!D33</f>
        <v>2173000</v>
      </c>
      <c r="F23" s="62">
        <f>'Q3Bal Sheet'!F33-'Q3Bal Sheet'!E33</f>
        <v>2590000</v>
      </c>
      <c r="G23" s="62">
        <f>'Q3Bal Sheet'!G33-'Q3Bal Sheet'!F33</f>
        <v>2910000</v>
      </c>
      <c r="H23" s="62">
        <f>'Q3Bal Sheet'!H33-'Q3Bal Sheet'!G33</f>
        <v>3339000</v>
      </c>
      <c r="I23" s="62">
        <f>'Q3Bal Sheet'!I33-'Q3Bal Sheet'!H33</f>
        <v>3989000</v>
      </c>
    </row>
    <row r="24" spans="2:9" ht="14.4" x14ac:dyDescent="0.3">
      <c r="B24" s="68"/>
      <c r="C24" s="1" t="s">
        <v>162</v>
      </c>
      <c r="D24" s="90">
        <f>'Q3Bal Sheet'!D34</f>
        <v>0</v>
      </c>
      <c r="E24" s="62">
        <f>'Q3Bal Sheet'!E34-'Q3Bal Sheet'!D34</f>
        <v>181800</v>
      </c>
      <c r="F24" s="62">
        <f>'Q3Bal Sheet'!F34-'Q3Bal Sheet'!E34</f>
        <v>38400</v>
      </c>
      <c r="G24" s="62">
        <f>'Q3Bal Sheet'!G34-'Q3Bal Sheet'!F34</f>
        <v>71800</v>
      </c>
      <c r="H24" s="62">
        <f>'Q3Bal Sheet'!H34-'Q3Bal Sheet'!G34</f>
        <v>-104400</v>
      </c>
      <c r="I24" s="62">
        <f>'Q3Bal Sheet'!I34-'Q3Bal Sheet'!H34</f>
        <v>-114900</v>
      </c>
    </row>
    <row r="25" spans="2:9" ht="14.4" x14ac:dyDescent="0.3">
      <c r="B25" s="68"/>
      <c r="C25" s="1"/>
      <c r="D25" s="90"/>
      <c r="E25" s="62"/>
      <c r="F25" s="62"/>
      <c r="G25" s="62"/>
      <c r="H25" s="62"/>
      <c r="I25" s="62"/>
    </row>
    <row r="26" spans="2:9" ht="14.4" x14ac:dyDescent="0.3">
      <c r="B26" s="68"/>
      <c r="C26" s="1" t="s">
        <v>163</v>
      </c>
      <c r="D26" s="90">
        <f>-'Q3P&amp;L'!D16</f>
        <v>-1173800</v>
      </c>
      <c r="E26" s="90">
        <f>-'Q3P&amp;L'!E16</f>
        <v>-1716100</v>
      </c>
      <c r="F26" s="90">
        <f>-'Q3P&amp;L'!F16</f>
        <v>-2357800</v>
      </c>
      <c r="G26" s="90">
        <f>-'Q3P&amp;L'!G16</f>
        <v>-3158200</v>
      </c>
      <c r="H26" s="90">
        <f>-'Q3P&amp;L'!H16</f>
        <v>-4328800</v>
      </c>
      <c r="I26" s="90">
        <f>-'Q3P&amp;L'!I16</f>
        <v>-5285000</v>
      </c>
    </row>
    <row r="27" spans="2:9" ht="14.4" x14ac:dyDescent="0.3">
      <c r="B27" s="69"/>
      <c r="C27" s="84" t="s">
        <v>164</v>
      </c>
      <c r="D27" s="92">
        <f>SUM(D9:D26)</f>
        <v>1258200</v>
      </c>
      <c r="E27" s="92">
        <f t="shared" ref="E27:I27" si="0">SUM(E9:E26)</f>
        <v>253100</v>
      </c>
      <c r="F27" s="92">
        <f t="shared" si="0"/>
        <v>1071000</v>
      </c>
      <c r="G27" s="92">
        <f t="shared" si="0"/>
        <v>3837100</v>
      </c>
      <c r="H27" s="92">
        <f t="shared" si="0"/>
        <v>5153000</v>
      </c>
      <c r="I27" s="92">
        <f t="shared" si="0"/>
        <v>5435900</v>
      </c>
    </row>
    <row r="28" spans="2:9" ht="14.4" x14ac:dyDescent="0.3">
      <c r="B28" s="70" t="s">
        <v>165</v>
      </c>
      <c r="C28" s="85" t="s">
        <v>166</v>
      </c>
      <c r="D28" s="58"/>
      <c r="E28" s="58"/>
      <c r="F28" s="58"/>
      <c r="G28" s="58"/>
      <c r="H28" s="58"/>
      <c r="I28" s="58"/>
    </row>
    <row r="29" spans="2:9" ht="14.4" x14ac:dyDescent="0.3">
      <c r="B29" s="71"/>
      <c r="C29" s="72"/>
      <c r="D29" s="90"/>
      <c r="E29" s="62"/>
      <c r="F29" s="62"/>
      <c r="G29" s="62"/>
      <c r="H29" s="62"/>
      <c r="I29" s="62"/>
    </row>
    <row r="30" spans="2:9" ht="14.4" x14ac:dyDescent="0.3">
      <c r="B30" s="73"/>
      <c r="C30" s="74" t="s">
        <v>167</v>
      </c>
      <c r="D30" s="90">
        <f>Q3Working!D199</f>
        <v>-960000</v>
      </c>
      <c r="E30" s="90">
        <f>Q3Working!E199</f>
        <v>0</v>
      </c>
      <c r="F30" s="90">
        <f>Q3Working!F199</f>
        <v>0</v>
      </c>
      <c r="G30" s="90">
        <f>Q3Working!G199</f>
        <v>-450000</v>
      </c>
      <c r="H30" s="90">
        <f>Q3Working!H199</f>
        <v>0</v>
      </c>
      <c r="I30" s="90">
        <f>Q3Working!I199</f>
        <v>0</v>
      </c>
    </row>
    <row r="31" spans="2:9" ht="14.4" x14ac:dyDescent="0.3">
      <c r="B31" s="73"/>
      <c r="C31" s="74" t="s">
        <v>168</v>
      </c>
      <c r="D31" s="90">
        <f>Q3Working!D201</f>
        <v>-8500000</v>
      </c>
      <c r="E31" s="90">
        <f>Q3Working!E201</f>
        <v>0</v>
      </c>
      <c r="F31" s="90">
        <f>Q3Working!F201</f>
        <v>-600000</v>
      </c>
      <c r="G31" s="90">
        <f>Q3Working!G201</f>
        <v>0</v>
      </c>
      <c r="H31" s="90">
        <f>Q3Working!H201</f>
        <v>0</v>
      </c>
      <c r="I31" s="90">
        <f>Q3Working!I201</f>
        <v>0</v>
      </c>
    </row>
    <row r="32" spans="2:9" ht="14.4" x14ac:dyDescent="0.3">
      <c r="B32" s="73"/>
      <c r="C32" s="74" t="s">
        <v>169</v>
      </c>
      <c r="D32" s="90">
        <f>Q3Working!D200</f>
        <v>0</v>
      </c>
      <c r="E32" s="90">
        <f>Q3Working!E200</f>
        <v>0</v>
      </c>
      <c r="F32" s="90">
        <f>Q3Working!F200</f>
        <v>0</v>
      </c>
      <c r="G32" s="90">
        <f>Q3Working!G200</f>
        <v>0</v>
      </c>
      <c r="H32" s="90">
        <f>Q3Working!H200-H34</f>
        <v>800000</v>
      </c>
      <c r="I32" s="90">
        <f>Q3Working!I200</f>
        <v>0</v>
      </c>
    </row>
    <row r="33" spans="2:9" ht="14.4" x14ac:dyDescent="0.3">
      <c r="B33" s="73"/>
      <c r="C33" s="74" t="s">
        <v>26</v>
      </c>
      <c r="D33" s="90">
        <f>-D16</f>
        <v>600000</v>
      </c>
      <c r="E33" s="90">
        <f t="shared" ref="E33:I33" si="1">-E16</f>
        <v>720000</v>
      </c>
      <c r="F33" s="90">
        <f t="shared" si="1"/>
        <v>840000</v>
      </c>
      <c r="G33" s="90">
        <f t="shared" si="1"/>
        <v>1200000</v>
      </c>
      <c r="H33" s="90">
        <f t="shared" si="1"/>
        <v>450000</v>
      </c>
      <c r="I33" s="90">
        <f t="shared" si="1"/>
        <v>500000</v>
      </c>
    </row>
    <row r="34" spans="2:9" ht="14.4" x14ac:dyDescent="0.3">
      <c r="B34" s="73"/>
      <c r="C34" s="74" t="s">
        <v>187</v>
      </c>
      <c r="D34" s="90">
        <f>-D17</f>
        <v>0</v>
      </c>
      <c r="E34" s="90">
        <f t="shared" ref="E34:I34" si="2">-E17</f>
        <v>0</v>
      </c>
      <c r="F34" s="90">
        <f t="shared" si="2"/>
        <v>0</v>
      </c>
      <c r="G34" s="90">
        <f t="shared" si="2"/>
        <v>0</v>
      </c>
      <c r="H34" s="90">
        <f t="shared" si="2"/>
        <v>900000</v>
      </c>
      <c r="I34" s="90">
        <f t="shared" si="2"/>
        <v>0</v>
      </c>
    </row>
    <row r="35" spans="2:9" ht="14.4" x14ac:dyDescent="0.3">
      <c r="B35" s="73"/>
      <c r="C35" s="74"/>
      <c r="D35" s="90"/>
      <c r="E35" s="62"/>
      <c r="F35" s="62"/>
      <c r="G35" s="62"/>
      <c r="H35" s="62"/>
      <c r="I35" s="62"/>
    </row>
    <row r="36" spans="2:9" ht="14.4" x14ac:dyDescent="0.3">
      <c r="B36" s="75"/>
      <c r="C36" s="76" t="s">
        <v>170</v>
      </c>
      <c r="D36" s="93">
        <f t="shared" ref="D36:I36" si="3">SUM(D30:D35)</f>
        <v>-8860000</v>
      </c>
      <c r="E36" s="93">
        <f t="shared" si="3"/>
        <v>720000</v>
      </c>
      <c r="F36" s="93">
        <f t="shared" si="3"/>
        <v>240000</v>
      </c>
      <c r="G36" s="93">
        <f t="shared" si="3"/>
        <v>750000</v>
      </c>
      <c r="H36" s="93">
        <f t="shared" si="3"/>
        <v>2150000</v>
      </c>
      <c r="I36" s="93">
        <f t="shared" si="3"/>
        <v>500000</v>
      </c>
    </row>
    <row r="37" spans="2:9" ht="14.4" x14ac:dyDescent="0.3">
      <c r="B37" s="70" t="s">
        <v>171</v>
      </c>
      <c r="C37" s="86" t="s">
        <v>172</v>
      </c>
      <c r="D37" s="58"/>
      <c r="E37" s="58"/>
      <c r="F37" s="58"/>
      <c r="G37" s="58"/>
      <c r="H37" s="58"/>
      <c r="I37" s="58"/>
    </row>
    <row r="38" spans="2:9" ht="14.4" x14ac:dyDescent="0.3">
      <c r="B38" s="68"/>
      <c r="C38" s="1"/>
      <c r="D38" s="90"/>
      <c r="E38" s="62"/>
      <c r="F38" s="62"/>
      <c r="G38" s="62"/>
      <c r="H38" s="62"/>
      <c r="I38" s="62"/>
    </row>
    <row r="39" spans="2:9" ht="14.4" x14ac:dyDescent="0.3">
      <c r="B39" s="68"/>
      <c r="C39" s="1" t="s">
        <v>173</v>
      </c>
      <c r="D39" s="90">
        <f>-D15</f>
        <v>-480000</v>
      </c>
      <c r="E39" s="90">
        <f t="shared" ref="E39:I39" si="4">-E15</f>
        <v>-544000</v>
      </c>
      <c r="F39" s="90">
        <f t="shared" si="4"/>
        <v>-448000</v>
      </c>
      <c r="G39" s="90">
        <f t="shared" si="4"/>
        <v>-352000</v>
      </c>
      <c r="H39" s="90">
        <f t="shared" si="4"/>
        <v>-96000</v>
      </c>
      <c r="I39" s="90">
        <f t="shared" si="4"/>
        <v>0</v>
      </c>
    </row>
    <row r="40" spans="2:9" ht="14.4" x14ac:dyDescent="0.3">
      <c r="B40" s="68"/>
      <c r="C40" s="1" t="s">
        <v>174</v>
      </c>
      <c r="D40" s="90">
        <f>-'Q3P&amp;L'!D18</f>
        <v>-1000000</v>
      </c>
      <c r="E40" s="90">
        <f>-'Q3P&amp;L'!E18</f>
        <v>-1100000</v>
      </c>
      <c r="F40" s="90">
        <f>-'Q3P&amp;L'!F18</f>
        <v>-1210000.0000000002</v>
      </c>
      <c r="G40" s="90">
        <f>-'Q3P&amp;L'!G18</f>
        <v>-1331000.0000000005</v>
      </c>
      <c r="H40" s="90">
        <f>-'Q3P&amp;L'!H18</f>
        <v>-1464100.0000000007</v>
      </c>
      <c r="I40" s="90">
        <f>-'Q3P&amp;L'!I18</f>
        <v>-1610510.0000000007</v>
      </c>
    </row>
    <row r="41" spans="2:9" ht="14.4" x14ac:dyDescent="0.3">
      <c r="B41" s="68"/>
      <c r="C41" s="1" t="s">
        <v>175</v>
      </c>
      <c r="D41" s="90">
        <f>Q3Working!D197</f>
        <v>6000000</v>
      </c>
      <c r="E41" s="90">
        <f>Q3Working!E197</f>
        <v>2000000</v>
      </c>
      <c r="F41" s="90">
        <f>Q3Working!F197</f>
        <v>0</v>
      </c>
      <c r="G41" s="90">
        <f>Q3Working!G197</f>
        <v>0</v>
      </c>
      <c r="H41" s="90">
        <f>Q3Working!H197</f>
        <v>0</v>
      </c>
      <c r="I41" s="90">
        <f>Q3Working!I197</f>
        <v>0</v>
      </c>
    </row>
    <row r="42" spans="2:9" ht="14.4" x14ac:dyDescent="0.3">
      <c r="B42" s="68"/>
      <c r="C42" s="1" t="s">
        <v>176</v>
      </c>
      <c r="D42" s="90">
        <f>Q3Working!D198</f>
        <v>0</v>
      </c>
      <c r="E42" s="90">
        <f>Q3Working!E198</f>
        <v>-1200000</v>
      </c>
      <c r="F42" s="90">
        <f>Q3Working!F198</f>
        <v>-1200000</v>
      </c>
      <c r="G42" s="90">
        <f>Q3Working!G198</f>
        <v>-1200000</v>
      </c>
      <c r="H42" s="90">
        <f>Q3Working!H198</f>
        <v>-3200000</v>
      </c>
      <c r="I42" s="90">
        <f>Q3Working!I198</f>
        <v>-1200000</v>
      </c>
    </row>
    <row r="43" spans="2:9" ht="14.4" x14ac:dyDescent="0.3">
      <c r="B43" s="68"/>
      <c r="C43" s="1" t="s">
        <v>177</v>
      </c>
      <c r="D43" s="90">
        <f>Q3Working!D196</f>
        <v>5000000</v>
      </c>
      <c r="E43" s="90">
        <f>Q3Working!E196</f>
        <v>0</v>
      </c>
      <c r="F43" s="90">
        <f>Q3Working!F196</f>
        <v>0</v>
      </c>
      <c r="G43" s="90">
        <f>Q3Working!G196</f>
        <v>0</v>
      </c>
      <c r="H43" s="90">
        <f>Q3Working!H196</f>
        <v>0</v>
      </c>
      <c r="I43" s="90">
        <f>Q3Working!I196</f>
        <v>0</v>
      </c>
    </row>
    <row r="44" spans="2:9" ht="14.4" x14ac:dyDescent="0.3">
      <c r="B44" s="68"/>
      <c r="C44" s="1"/>
      <c r="D44" s="90"/>
      <c r="E44" s="62"/>
      <c r="F44" s="62"/>
      <c r="G44" s="62"/>
      <c r="H44" s="62"/>
      <c r="I44" s="62"/>
    </row>
    <row r="45" spans="2:9" ht="14.4" x14ac:dyDescent="0.3">
      <c r="B45" s="69"/>
      <c r="C45" s="84" t="s">
        <v>178</v>
      </c>
      <c r="D45" s="91">
        <f>SUM(D39:D44)</f>
        <v>9520000</v>
      </c>
      <c r="E45" s="91">
        <f t="shared" ref="E45:I45" si="5">SUM(E39:E44)</f>
        <v>-844000</v>
      </c>
      <c r="F45" s="91">
        <f t="shared" si="5"/>
        <v>-2858000</v>
      </c>
      <c r="G45" s="91">
        <f t="shared" si="5"/>
        <v>-2883000.0000000005</v>
      </c>
      <c r="H45" s="91">
        <f t="shared" si="5"/>
        <v>-4760100.0000000009</v>
      </c>
      <c r="I45" s="91">
        <f t="shared" si="5"/>
        <v>-2810510.0000000009</v>
      </c>
    </row>
    <row r="46" spans="2:9" ht="14.4" x14ac:dyDescent="0.3">
      <c r="B46" s="77" t="s">
        <v>179</v>
      </c>
      <c r="C46" s="87" t="s">
        <v>180</v>
      </c>
      <c r="D46" s="58">
        <f>D27+D36+D45</f>
        <v>1918200</v>
      </c>
      <c r="E46" s="58">
        <f t="shared" ref="E46:I46" si="6">E27+E36+E45</f>
        <v>129100</v>
      </c>
      <c r="F46" s="58">
        <f t="shared" si="6"/>
        <v>-1547000</v>
      </c>
      <c r="G46" s="58">
        <f t="shared" si="6"/>
        <v>1704099.9999999995</v>
      </c>
      <c r="H46" s="58">
        <f t="shared" si="6"/>
        <v>2542899.9999999991</v>
      </c>
      <c r="I46" s="58">
        <f t="shared" si="6"/>
        <v>3125389.9999999991</v>
      </c>
    </row>
    <row r="47" spans="2:9" ht="14.4" x14ac:dyDescent="0.3">
      <c r="B47" s="78" t="s">
        <v>181</v>
      </c>
      <c r="C47" s="88" t="s">
        <v>182</v>
      </c>
      <c r="D47" s="58">
        <v>0</v>
      </c>
      <c r="E47" s="58">
        <f>D48</f>
        <v>1918200</v>
      </c>
      <c r="F47" s="58">
        <f t="shared" ref="F47:I47" si="7">E48</f>
        <v>2047300</v>
      </c>
      <c r="G47" s="58">
        <f t="shared" si="7"/>
        <v>500300</v>
      </c>
      <c r="H47" s="58">
        <f t="shared" si="7"/>
        <v>2204399.9999999995</v>
      </c>
      <c r="I47" s="58">
        <f t="shared" si="7"/>
        <v>4747299.9999999981</v>
      </c>
    </row>
    <row r="48" spans="2:9" ht="14.4" x14ac:dyDescent="0.3">
      <c r="B48" s="78" t="s">
        <v>183</v>
      </c>
      <c r="C48" s="86" t="s">
        <v>184</v>
      </c>
      <c r="D48" s="58">
        <f>SUM(D46:D47)</f>
        <v>1918200</v>
      </c>
      <c r="E48" s="58">
        <f t="shared" ref="E48:I48" si="8">SUM(E46:E47)</f>
        <v>2047300</v>
      </c>
      <c r="F48" s="58">
        <f t="shared" si="8"/>
        <v>500300</v>
      </c>
      <c r="G48" s="58">
        <f t="shared" si="8"/>
        <v>2204399.9999999995</v>
      </c>
      <c r="H48" s="58">
        <f t="shared" si="8"/>
        <v>4747299.9999999981</v>
      </c>
      <c r="I48" s="58">
        <f t="shared" si="8"/>
        <v>7872689.9999999972</v>
      </c>
    </row>
    <row r="49" spans="2:10" ht="14.4" x14ac:dyDescent="0.3">
      <c r="B49" s="79"/>
      <c r="C49" s="1"/>
    </row>
    <row r="50" spans="2:10" ht="14.4" x14ac:dyDescent="0.3">
      <c r="B50" s="79"/>
      <c r="C50" s="1" t="s">
        <v>190</v>
      </c>
      <c r="D50" s="57">
        <f>'Q3Bal Sheet'!D14</f>
        <v>1918200</v>
      </c>
      <c r="E50" s="57">
        <f>'Q3Bal Sheet'!E14</f>
        <v>2047300</v>
      </c>
      <c r="F50" s="57">
        <f>'Q3Bal Sheet'!F14</f>
        <v>500300</v>
      </c>
      <c r="G50" s="57">
        <f>'Q3Bal Sheet'!G14</f>
        <v>2204400</v>
      </c>
      <c r="H50" s="57">
        <f>'Q3Bal Sheet'!H14</f>
        <v>4747300</v>
      </c>
      <c r="I50" s="57">
        <f>'Q3Bal Sheet'!I14</f>
        <v>7872690</v>
      </c>
    </row>
    <row r="51" spans="2:10" x14ac:dyDescent="0.3">
      <c r="C51" s="2" t="s">
        <v>103</v>
      </c>
      <c r="D51" s="57">
        <f>D48-D50</f>
        <v>0</v>
      </c>
      <c r="E51" s="57">
        <f t="shared" ref="E51:I51" si="9">E48-E50</f>
        <v>0</v>
      </c>
      <c r="F51" s="57">
        <f t="shared" si="9"/>
        <v>0</v>
      </c>
      <c r="G51" s="57">
        <f t="shared" si="9"/>
        <v>0</v>
      </c>
      <c r="H51" s="57">
        <f t="shared" si="9"/>
        <v>0</v>
      </c>
      <c r="I51" s="57">
        <f t="shared" si="9"/>
        <v>0</v>
      </c>
    </row>
    <row r="58" spans="2:10" x14ac:dyDescent="0.3">
      <c r="J58" s="5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92BF3-13E6-4043-9BDB-16E9F8501F5C}">
  <dimension ref="B4:P224"/>
  <sheetViews>
    <sheetView showGridLines="0" workbookViewId="0">
      <pane ySplit="4" topLeftCell="A126" activePane="bottomLeft" state="frozen"/>
      <selection pane="bottomLeft" activeCell="D183" sqref="D183:I183"/>
    </sheetView>
  </sheetViews>
  <sheetFormatPr defaultRowHeight="14.4" x14ac:dyDescent="0.3"/>
  <cols>
    <col min="3" max="3" width="34.21875" bestFit="1" customWidth="1"/>
    <col min="4" max="9" width="11.88671875" style="4" bestFit="1" customWidth="1"/>
    <col min="11" max="12" width="9.77734375" bestFit="1" customWidth="1"/>
    <col min="13" max="13" width="9.44140625" bestFit="1" customWidth="1"/>
    <col min="14" max="16" width="8.77734375" bestFit="1" customWidth="1"/>
  </cols>
  <sheetData>
    <row r="4" spans="3:9" x14ac:dyDescent="0.3">
      <c r="C4" s="37" t="s">
        <v>4</v>
      </c>
      <c r="D4" s="38" t="s">
        <v>72</v>
      </c>
      <c r="E4" s="38" t="s">
        <v>73</v>
      </c>
      <c r="F4" s="38" t="s">
        <v>74</v>
      </c>
      <c r="G4" s="38" t="s">
        <v>75</v>
      </c>
      <c r="H4" s="38" t="s">
        <v>76</v>
      </c>
      <c r="I4" s="38" t="s">
        <v>77</v>
      </c>
    </row>
    <row r="5" spans="3:9" x14ac:dyDescent="0.3">
      <c r="C5" s="30" t="s">
        <v>18</v>
      </c>
      <c r="D5" s="8">
        <f>D35</f>
        <v>17500000</v>
      </c>
      <c r="E5" s="8">
        <f t="shared" ref="E5:I5" si="0">E35</f>
        <v>22040000</v>
      </c>
      <c r="F5" s="8">
        <f t="shared" si="0"/>
        <v>27470000</v>
      </c>
      <c r="G5" s="8">
        <f t="shared" si="0"/>
        <v>33880000</v>
      </c>
      <c r="H5" s="8">
        <f t="shared" si="0"/>
        <v>42720000</v>
      </c>
      <c r="I5" s="8">
        <f t="shared" si="0"/>
        <v>53040000</v>
      </c>
    </row>
    <row r="6" spans="3:9" x14ac:dyDescent="0.3">
      <c r="C6" s="31" t="s">
        <v>19</v>
      </c>
      <c r="D6" s="11">
        <f>D40</f>
        <v>3750000</v>
      </c>
      <c r="E6" s="11">
        <f t="shared" ref="E6:I6" si="1">E40</f>
        <v>4590000</v>
      </c>
      <c r="F6" s="11">
        <f t="shared" si="1"/>
        <v>5510000</v>
      </c>
      <c r="G6" s="11">
        <f t="shared" si="1"/>
        <v>6510000</v>
      </c>
      <c r="H6" s="11">
        <f t="shared" si="1"/>
        <v>7920000</v>
      </c>
      <c r="I6" s="11">
        <f t="shared" si="1"/>
        <v>9720000</v>
      </c>
    </row>
    <row r="7" spans="3:9" x14ac:dyDescent="0.3">
      <c r="C7" s="31" t="s">
        <v>25</v>
      </c>
      <c r="D7" s="11">
        <f>SUM(D5:D6)</f>
        <v>21250000</v>
      </c>
      <c r="E7" s="11">
        <f t="shared" ref="E7:I7" si="2">SUM(E5:E6)</f>
        <v>26630000</v>
      </c>
      <c r="F7" s="11">
        <f t="shared" si="2"/>
        <v>32980000</v>
      </c>
      <c r="G7" s="11">
        <f t="shared" si="2"/>
        <v>40390000</v>
      </c>
      <c r="H7" s="11">
        <f t="shared" si="2"/>
        <v>50640000</v>
      </c>
      <c r="I7" s="11">
        <f t="shared" si="2"/>
        <v>62760000</v>
      </c>
    </row>
    <row r="8" spans="3:9" x14ac:dyDescent="0.3">
      <c r="C8" s="31" t="s">
        <v>26</v>
      </c>
      <c r="D8" s="11">
        <f>D50</f>
        <v>600000</v>
      </c>
      <c r="E8" s="11">
        <f t="shared" ref="E8:I8" si="3">E50</f>
        <v>720000</v>
      </c>
      <c r="F8" s="11">
        <f t="shared" si="3"/>
        <v>840000</v>
      </c>
      <c r="G8" s="11">
        <f t="shared" si="3"/>
        <v>1200000</v>
      </c>
      <c r="H8" s="11">
        <f t="shared" si="3"/>
        <v>1350000</v>
      </c>
      <c r="I8" s="11">
        <f t="shared" si="3"/>
        <v>500000</v>
      </c>
    </row>
    <row r="9" spans="3:9" x14ac:dyDescent="0.3">
      <c r="C9" s="27" t="s">
        <v>3</v>
      </c>
      <c r="D9" s="29">
        <f>D7+D8</f>
        <v>21850000</v>
      </c>
      <c r="E9" s="29">
        <f t="shared" ref="E9:I9" si="4">E7+E8</f>
        <v>27350000</v>
      </c>
      <c r="F9" s="29">
        <f t="shared" si="4"/>
        <v>33820000</v>
      </c>
      <c r="G9" s="29">
        <f t="shared" si="4"/>
        <v>41590000</v>
      </c>
      <c r="H9" s="29">
        <f t="shared" si="4"/>
        <v>51990000</v>
      </c>
      <c r="I9" s="29">
        <f t="shared" si="4"/>
        <v>63260000</v>
      </c>
    </row>
    <row r="10" spans="3:9" x14ac:dyDescent="0.3">
      <c r="C10" s="32" t="s">
        <v>30</v>
      </c>
      <c r="D10" s="11"/>
      <c r="E10" s="11"/>
      <c r="F10" s="11"/>
      <c r="G10" s="11"/>
      <c r="H10" s="11"/>
      <c r="I10" s="11"/>
    </row>
    <row r="11" spans="3:9" x14ac:dyDescent="0.3">
      <c r="C11" s="31" t="s">
        <v>32</v>
      </c>
      <c r="D11" s="11">
        <v>0</v>
      </c>
      <c r="E11" s="11">
        <f>D13</f>
        <v>4870000</v>
      </c>
      <c r="F11" s="11">
        <f t="shared" ref="F11:I11" si="5">E13</f>
        <v>10920000</v>
      </c>
      <c r="G11" s="11">
        <f t="shared" si="5"/>
        <v>18240000</v>
      </c>
      <c r="H11" s="11">
        <f t="shared" si="5"/>
        <v>26180000</v>
      </c>
      <c r="I11" s="11">
        <f t="shared" si="5"/>
        <v>34620000</v>
      </c>
    </row>
    <row r="12" spans="3:9" x14ac:dyDescent="0.3">
      <c r="C12" s="31" t="s">
        <v>33</v>
      </c>
      <c r="D12" s="11">
        <f t="shared" ref="D12:I12" si="6">D57+D62</f>
        <v>19770000</v>
      </c>
      <c r="E12" s="11">
        <f t="shared" si="6"/>
        <v>24230000</v>
      </c>
      <c r="F12" s="11">
        <f t="shared" si="6"/>
        <v>29400000</v>
      </c>
      <c r="G12" s="11">
        <f t="shared" si="6"/>
        <v>34600000</v>
      </c>
      <c r="H12" s="11">
        <f t="shared" si="6"/>
        <v>40890000</v>
      </c>
      <c r="I12" s="11">
        <f t="shared" si="6"/>
        <v>49390000</v>
      </c>
    </row>
    <row r="13" spans="3:9" x14ac:dyDescent="0.3">
      <c r="C13" s="31" t="s">
        <v>34</v>
      </c>
      <c r="D13" s="11">
        <f>D72+D81</f>
        <v>4870000</v>
      </c>
      <c r="E13" s="11">
        <f t="shared" ref="E13:I13" si="7">E72+E81</f>
        <v>10920000</v>
      </c>
      <c r="F13" s="11">
        <f t="shared" si="7"/>
        <v>18240000</v>
      </c>
      <c r="G13" s="11">
        <f t="shared" si="7"/>
        <v>26180000</v>
      </c>
      <c r="H13" s="11">
        <f t="shared" si="7"/>
        <v>34620000</v>
      </c>
      <c r="I13" s="11">
        <f t="shared" si="7"/>
        <v>44270000</v>
      </c>
    </row>
    <row r="14" spans="3:9" x14ac:dyDescent="0.3">
      <c r="C14" s="27" t="s">
        <v>30</v>
      </c>
      <c r="D14" s="28">
        <f>D11+D12-D13</f>
        <v>14900000</v>
      </c>
      <c r="E14" s="28">
        <f t="shared" ref="E14:I14" si="8">E11+E12-E13</f>
        <v>18180000</v>
      </c>
      <c r="F14" s="28">
        <f t="shared" si="8"/>
        <v>22080000</v>
      </c>
      <c r="G14" s="28">
        <f t="shared" si="8"/>
        <v>26660000</v>
      </c>
      <c r="H14" s="28">
        <f t="shared" si="8"/>
        <v>32450000</v>
      </c>
      <c r="I14" s="28">
        <f t="shared" si="8"/>
        <v>39740000</v>
      </c>
    </row>
    <row r="15" spans="3:9" x14ac:dyDescent="0.3">
      <c r="C15" s="31"/>
      <c r="D15" s="11"/>
      <c r="E15" s="11"/>
      <c r="F15" s="11"/>
      <c r="G15" s="11"/>
      <c r="H15" s="11"/>
      <c r="I15" s="11"/>
    </row>
    <row r="16" spans="3:9" x14ac:dyDescent="0.3">
      <c r="C16" s="31" t="s">
        <v>8</v>
      </c>
      <c r="D16" s="11">
        <f>D9-D14</f>
        <v>6950000</v>
      </c>
      <c r="E16" s="11">
        <f t="shared" ref="E16:I16" si="9">E9-E14</f>
        <v>9170000</v>
      </c>
      <c r="F16" s="11">
        <f t="shared" si="9"/>
        <v>11740000</v>
      </c>
      <c r="G16" s="11">
        <f t="shared" si="9"/>
        <v>14930000</v>
      </c>
      <c r="H16" s="11">
        <f t="shared" si="9"/>
        <v>19540000</v>
      </c>
      <c r="I16" s="11">
        <f t="shared" si="9"/>
        <v>23520000</v>
      </c>
    </row>
    <row r="17" spans="3:9" x14ac:dyDescent="0.3">
      <c r="C17" s="31" t="s">
        <v>9</v>
      </c>
      <c r="D17" s="11">
        <f>D87+D90</f>
        <v>600000</v>
      </c>
      <c r="E17" s="11">
        <f t="shared" ref="E17:I17" si="10">E87+E90</f>
        <v>753000</v>
      </c>
      <c r="F17" s="11">
        <f t="shared" si="10"/>
        <v>934300</v>
      </c>
      <c r="G17" s="11">
        <f t="shared" si="10"/>
        <v>1146600</v>
      </c>
      <c r="H17" s="11">
        <f t="shared" si="10"/>
        <v>1440000</v>
      </c>
      <c r="I17" s="11">
        <f t="shared" si="10"/>
        <v>1785600</v>
      </c>
    </row>
    <row r="18" spans="3:9" x14ac:dyDescent="0.3">
      <c r="C18" s="27" t="s">
        <v>10</v>
      </c>
      <c r="D18" s="28">
        <f>D16-D17</f>
        <v>6350000</v>
      </c>
      <c r="E18" s="28">
        <f t="shared" ref="E18:I18" si="11">E16-E17</f>
        <v>8417000</v>
      </c>
      <c r="F18" s="28">
        <f t="shared" si="11"/>
        <v>10805700</v>
      </c>
      <c r="G18" s="28">
        <f t="shared" si="11"/>
        <v>13783400</v>
      </c>
      <c r="H18" s="28">
        <f t="shared" si="11"/>
        <v>18100000</v>
      </c>
      <c r="I18" s="28">
        <f t="shared" si="11"/>
        <v>21734400</v>
      </c>
    </row>
    <row r="19" spans="3:9" x14ac:dyDescent="0.3">
      <c r="C19" s="31"/>
      <c r="D19" s="11"/>
      <c r="E19" s="11"/>
      <c r="F19" s="11"/>
      <c r="G19" s="11"/>
      <c r="H19" s="11"/>
      <c r="I19" s="11"/>
    </row>
    <row r="20" spans="3:9" x14ac:dyDescent="0.3">
      <c r="C20" s="31" t="s">
        <v>11</v>
      </c>
      <c r="D20" s="11">
        <f>D99+D108</f>
        <v>1175000</v>
      </c>
      <c r="E20" s="11">
        <f t="shared" ref="E20:I20" si="12">E99+E108</f>
        <v>1008800</v>
      </c>
      <c r="F20" s="11">
        <f t="shared" si="12"/>
        <v>926400</v>
      </c>
      <c r="G20" s="11">
        <f t="shared" si="12"/>
        <v>798600</v>
      </c>
      <c r="H20" s="11">
        <f t="shared" si="12"/>
        <v>688800</v>
      </c>
      <c r="I20" s="11">
        <f t="shared" si="12"/>
        <v>594400</v>
      </c>
    </row>
    <row r="21" spans="3:9" x14ac:dyDescent="0.3">
      <c r="C21" s="31" t="s">
        <v>12</v>
      </c>
      <c r="D21" s="11">
        <f>D128</f>
        <v>480000</v>
      </c>
      <c r="E21" s="11">
        <f t="shared" ref="E21:I21" si="13">E128</f>
        <v>544000</v>
      </c>
      <c r="F21" s="11">
        <f t="shared" si="13"/>
        <v>448000</v>
      </c>
      <c r="G21" s="11">
        <f t="shared" si="13"/>
        <v>352000</v>
      </c>
      <c r="H21" s="11">
        <f t="shared" si="13"/>
        <v>96000</v>
      </c>
      <c r="I21" s="11">
        <f t="shared" si="13"/>
        <v>0</v>
      </c>
    </row>
    <row r="22" spans="3:9" x14ac:dyDescent="0.3">
      <c r="C22" s="31"/>
      <c r="D22" s="11"/>
      <c r="E22" s="11"/>
      <c r="F22" s="11"/>
      <c r="G22" s="11"/>
      <c r="H22" s="11"/>
      <c r="I22" s="11"/>
    </row>
    <row r="23" spans="3:9" x14ac:dyDescent="0.3">
      <c r="C23" s="27" t="s">
        <v>13</v>
      </c>
      <c r="D23" s="28">
        <f>D18-D20-D21</f>
        <v>4695000</v>
      </c>
      <c r="E23" s="28">
        <f t="shared" ref="E23:I23" si="14">E18-E20-E21</f>
        <v>6864200</v>
      </c>
      <c r="F23" s="28">
        <f t="shared" si="14"/>
        <v>9431300</v>
      </c>
      <c r="G23" s="28">
        <f t="shared" si="14"/>
        <v>12632800</v>
      </c>
      <c r="H23" s="28">
        <f t="shared" si="14"/>
        <v>17315200</v>
      </c>
      <c r="I23" s="28">
        <f t="shared" si="14"/>
        <v>21140000</v>
      </c>
    </row>
    <row r="24" spans="3:9" x14ac:dyDescent="0.3">
      <c r="C24" s="31" t="s">
        <v>59</v>
      </c>
      <c r="D24" s="11">
        <f>D134</f>
        <v>1173800</v>
      </c>
      <c r="E24" s="11">
        <f t="shared" ref="E24:I24" si="15">E134</f>
        <v>1716100</v>
      </c>
      <c r="F24" s="11">
        <f t="shared" si="15"/>
        <v>2357800</v>
      </c>
      <c r="G24" s="11">
        <f t="shared" si="15"/>
        <v>3158200</v>
      </c>
      <c r="H24" s="11">
        <f t="shared" si="15"/>
        <v>4328800</v>
      </c>
      <c r="I24" s="11">
        <f t="shared" si="15"/>
        <v>5285000</v>
      </c>
    </row>
    <row r="25" spans="3:9" x14ac:dyDescent="0.3">
      <c r="C25" s="33" t="s">
        <v>17</v>
      </c>
      <c r="D25" s="34">
        <f>D23-D24</f>
        <v>3521200</v>
      </c>
      <c r="E25" s="34">
        <f t="shared" ref="E25:I25" si="16">E23-E24</f>
        <v>5148100</v>
      </c>
      <c r="F25" s="34">
        <f t="shared" si="16"/>
        <v>7073500</v>
      </c>
      <c r="G25" s="34">
        <f t="shared" si="16"/>
        <v>9474600</v>
      </c>
      <c r="H25" s="34">
        <f t="shared" si="16"/>
        <v>12986400</v>
      </c>
      <c r="I25" s="34">
        <f t="shared" si="16"/>
        <v>15855000</v>
      </c>
    </row>
    <row r="26" spans="3:9" x14ac:dyDescent="0.3">
      <c r="C26" s="31" t="s">
        <v>64</v>
      </c>
      <c r="D26" s="11">
        <f>D145</f>
        <v>1000000</v>
      </c>
      <c r="E26" s="11">
        <f t="shared" ref="E26:I26" si="17">E145</f>
        <v>1100000</v>
      </c>
      <c r="F26" s="11">
        <f t="shared" si="17"/>
        <v>1210000.0000000002</v>
      </c>
      <c r="G26" s="11">
        <f t="shared" si="17"/>
        <v>1331000.0000000005</v>
      </c>
      <c r="H26" s="11">
        <f t="shared" si="17"/>
        <v>1464100.0000000007</v>
      </c>
      <c r="I26" s="11">
        <f t="shared" si="17"/>
        <v>1610510.0000000007</v>
      </c>
    </row>
    <row r="27" spans="3:9" x14ac:dyDescent="0.3">
      <c r="C27" s="27" t="s">
        <v>65</v>
      </c>
      <c r="D27" s="28">
        <f>D25-D26</f>
        <v>2521200</v>
      </c>
      <c r="E27" s="28">
        <f t="shared" ref="E27:I27" si="18">E25-E26</f>
        <v>4048100</v>
      </c>
      <c r="F27" s="28">
        <f t="shared" si="18"/>
        <v>5863500</v>
      </c>
      <c r="G27" s="28">
        <f t="shared" si="18"/>
        <v>8143600</v>
      </c>
      <c r="H27" s="28">
        <f t="shared" si="18"/>
        <v>11522300</v>
      </c>
      <c r="I27" s="28">
        <f t="shared" si="18"/>
        <v>14244490</v>
      </c>
    </row>
    <row r="28" spans="3:9" x14ac:dyDescent="0.3">
      <c r="C28" s="31" t="s">
        <v>63</v>
      </c>
      <c r="D28" s="11">
        <v>0</v>
      </c>
      <c r="E28" s="11">
        <v>1500000</v>
      </c>
      <c r="F28" s="11">
        <v>1500000</v>
      </c>
      <c r="G28" s="11">
        <v>1500000</v>
      </c>
      <c r="H28" s="11">
        <v>0</v>
      </c>
      <c r="I28" s="11">
        <v>0</v>
      </c>
    </row>
    <row r="29" spans="3:9" x14ac:dyDescent="0.3">
      <c r="C29" s="35" t="s">
        <v>66</v>
      </c>
      <c r="D29" s="36">
        <f>D27-D28</f>
        <v>2521200</v>
      </c>
      <c r="E29" s="36">
        <f t="shared" ref="E29:I29" si="19">E27-E28</f>
        <v>2548100</v>
      </c>
      <c r="F29" s="36">
        <f t="shared" si="19"/>
        <v>4363500</v>
      </c>
      <c r="G29" s="36">
        <f t="shared" si="19"/>
        <v>6643600</v>
      </c>
      <c r="H29" s="36">
        <f t="shared" si="19"/>
        <v>11522300</v>
      </c>
      <c r="I29" s="36">
        <f t="shared" si="19"/>
        <v>14244490</v>
      </c>
    </row>
    <row r="31" spans="3:9" x14ac:dyDescent="0.3">
      <c r="C31" s="20" t="s">
        <v>5</v>
      </c>
      <c r="D31" s="7"/>
      <c r="E31" s="7"/>
      <c r="F31" s="7"/>
      <c r="G31" s="7"/>
      <c r="H31" s="7"/>
      <c r="I31" s="8"/>
    </row>
    <row r="32" spans="3:9" x14ac:dyDescent="0.3">
      <c r="C32" s="17" t="s">
        <v>20</v>
      </c>
      <c r="D32" s="10"/>
      <c r="E32" s="10"/>
      <c r="F32" s="10"/>
      <c r="G32" s="10"/>
      <c r="H32" s="10"/>
      <c r="I32" s="11"/>
    </row>
    <row r="33" spans="2:11" s="4" customFormat="1" x14ac:dyDescent="0.3">
      <c r="B33" t="s">
        <v>62</v>
      </c>
      <c r="C33" s="12" t="s">
        <v>21</v>
      </c>
      <c r="D33" s="10">
        <v>5000</v>
      </c>
      <c r="E33" s="10">
        <f>ROUND(D33*115%,-2)</f>
        <v>5800</v>
      </c>
      <c r="F33" s="10">
        <f t="shared" ref="F33:I33" si="20">ROUND(E33*115%,-2)</f>
        <v>6700</v>
      </c>
      <c r="G33" s="10">
        <f t="shared" si="20"/>
        <v>7700</v>
      </c>
      <c r="H33" s="10">
        <f t="shared" si="20"/>
        <v>8900</v>
      </c>
      <c r="I33" s="11">
        <f t="shared" si="20"/>
        <v>10200</v>
      </c>
    </row>
    <row r="34" spans="2:11" s="4" customFormat="1" x14ac:dyDescent="0.3">
      <c r="B34" t="s">
        <v>62</v>
      </c>
      <c r="C34" s="12" t="s">
        <v>22</v>
      </c>
      <c r="D34" s="10">
        <v>3500</v>
      </c>
      <c r="E34" s="10">
        <f>ROUND(D34*108%,-2)</f>
        <v>3800</v>
      </c>
      <c r="F34" s="10">
        <f t="shared" ref="F34:I34" si="21">ROUND(E34*108%,-2)</f>
        <v>4100</v>
      </c>
      <c r="G34" s="10">
        <f t="shared" si="21"/>
        <v>4400</v>
      </c>
      <c r="H34" s="10">
        <f t="shared" si="21"/>
        <v>4800</v>
      </c>
      <c r="I34" s="11">
        <f t="shared" si="21"/>
        <v>5200</v>
      </c>
    </row>
    <row r="35" spans="2:11" s="4" customFormat="1" x14ac:dyDescent="0.3">
      <c r="B35"/>
      <c r="C35" s="12" t="s">
        <v>23</v>
      </c>
      <c r="D35" s="10">
        <f>D33*D34</f>
        <v>17500000</v>
      </c>
      <c r="E35" s="10">
        <f t="shared" ref="E35:I35" si="22">E33*E34</f>
        <v>22040000</v>
      </c>
      <c r="F35" s="10">
        <f t="shared" si="22"/>
        <v>27470000</v>
      </c>
      <c r="G35" s="10">
        <f t="shared" si="22"/>
        <v>33880000</v>
      </c>
      <c r="H35" s="10">
        <f t="shared" si="22"/>
        <v>42720000</v>
      </c>
      <c r="I35" s="11">
        <f t="shared" si="22"/>
        <v>53040000</v>
      </c>
    </row>
    <row r="36" spans="2:11" x14ac:dyDescent="0.3">
      <c r="C36" s="9"/>
      <c r="D36" s="10"/>
      <c r="E36" s="10"/>
      <c r="F36" s="10"/>
      <c r="G36" s="10"/>
      <c r="H36" s="10"/>
      <c r="I36" s="11"/>
      <c r="K36" s="4"/>
    </row>
    <row r="37" spans="2:11" ht="16.2" x14ac:dyDescent="0.45">
      <c r="C37" s="18" t="s">
        <v>24</v>
      </c>
      <c r="D37" s="10"/>
      <c r="E37" s="10"/>
      <c r="F37" s="10"/>
      <c r="G37" s="10"/>
      <c r="H37" s="10"/>
      <c r="I37" s="11"/>
      <c r="K37" s="4"/>
    </row>
    <row r="38" spans="2:11" x14ac:dyDescent="0.3">
      <c r="B38" t="s">
        <v>62</v>
      </c>
      <c r="C38" s="12" t="s">
        <v>21</v>
      </c>
      <c r="D38" s="10">
        <v>1500</v>
      </c>
      <c r="E38" s="10">
        <f>ROUND(D38*112%,-2)</f>
        <v>1700</v>
      </c>
      <c r="F38" s="10">
        <f t="shared" ref="F38:I38" si="23">ROUND(E38*112%,-2)</f>
        <v>1900</v>
      </c>
      <c r="G38" s="10">
        <f t="shared" si="23"/>
        <v>2100</v>
      </c>
      <c r="H38" s="10">
        <f t="shared" si="23"/>
        <v>2400</v>
      </c>
      <c r="I38" s="11">
        <f t="shared" si="23"/>
        <v>2700</v>
      </c>
      <c r="K38" s="4"/>
    </row>
    <row r="39" spans="2:11" x14ac:dyDescent="0.3">
      <c r="B39" t="s">
        <v>62</v>
      </c>
      <c r="C39" s="12" t="s">
        <v>22</v>
      </c>
      <c r="D39" s="10">
        <v>2500</v>
      </c>
      <c r="E39" s="10">
        <f>ROUND(D39*108%,-2)</f>
        <v>2700</v>
      </c>
      <c r="F39" s="10">
        <f t="shared" ref="F39:I39" si="24">ROUND(E39*108%,-2)</f>
        <v>2900</v>
      </c>
      <c r="G39" s="10">
        <f t="shared" si="24"/>
        <v>3100</v>
      </c>
      <c r="H39" s="10">
        <f t="shared" si="24"/>
        <v>3300</v>
      </c>
      <c r="I39" s="11">
        <f t="shared" si="24"/>
        <v>3600</v>
      </c>
      <c r="K39" s="4"/>
    </row>
    <row r="40" spans="2:11" x14ac:dyDescent="0.3">
      <c r="C40" s="19" t="s">
        <v>23</v>
      </c>
      <c r="D40" s="14">
        <f>D38*D39</f>
        <v>3750000</v>
      </c>
      <c r="E40" s="14">
        <f t="shared" ref="E40:I40" si="25">E38*E39</f>
        <v>4590000</v>
      </c>
      <c r="F40" s="14">
        <f t="shared" si="25"/>
        <v>5510000</v>
      </c>
      <c r="G40" s="14">
        <f t="shared" si="25"/>
        <v>6510000</v>
      </c>
      <c r="H40" s="14">
        <f t="shared" si="25"/>
        <v>7920000</v>
      </c>
      <c r="I40" s="15">
        <f t="shared" si="25"/>
        <v>9720000</v>
      </c>
      <c r="K40" s="4"/>
    </row>
    <row r="41" spans="2:11" x14ac:dyDescent="0.3">
      <c r="K41" s="4"/>
    </row>
    <row r="43" spans="2:11" x14ac:dyDescent="0.3">
      <c r="C43" s="48" t="s">
        <v>1</v>
      </c>
      <c r="D43" s="7"/>
      <c r="E43" s="7"/>
      <c r="F43" s="7"/>
      <c r="G43" s="7"/>
      <c r="H43" s="7"/>
      <c r="I43" s="8"/>
    </row>
    <row r="44" spans="2:11" ht="16.2" x14ac:dyDescent="0.45">
      <c r="C44" s="18" t="s">
        <v>27</v>
      </c>
      <c r="D44" s="10"/>
      <c r="E44" s="10"/>
      <c r="F44" s="10"/>
      <c r="G44" s="10"/>
      <c r="H44" s="10"/>
      <c r="I44" s="11"/>
    </row>
    <row r="45" spans="2:11" x14ac:dyDescent="0.3">
      <c r="C45" s="12" t="s">
        <v>28</v>
      </c>
      <c r="D45" s="10">
        <f>D154</f>
        <v>12000</v>
      </c>
      <c r="E45" s="10">
        <f t="shared" ref="E45:I45" si="26">E154</f>
        <v>12000</v>
      </c>
      <c r="F45" s="10">
        <f t="shared" si="26"/>
        <v>12000</v>
      </c>
      <c r="G45" s="10">
        <f t="shared" si="26"/>
        <v>15000</v>
      </c>
      <c r="H45" s="10">
        <f t="shared" si="26"/>
        <v>5000</v>
      </c>
      <c r="I45" s="11">
        <f t="shared" si="26"/>
        <v>5000</v>
      </c>
    </row>
    <row r="46" spans="2:11" x14ac:dyDescent="0.3">
      <c r="B46" t="s">
        <v>62</v>
      </c>
      <c r="C46" s="12" t="s">
        <v>29</v>
      </c>
      <c r="D46" s="10">
        <v>50</v>
      </c>
      <c r="E46" s="10">
        <f>ROUND(D46*110%,-1)</f>
        <v>60</v>
      </c>
      <c r="F46" s="10">
        <f t="shared" ref="F46:I46" si="27">ROUND(E46*110%,-1)</f>
        <v>70</v>
      </c>
      <c r="G46" s="10">
        <f t="shared" si="27"/>
        <v>80</v>
      </c>
      <c r="H46" s="10">
        <f t="shared" si="27"/>
        <v>90</v>
      </c>
      <c r="I46" s="11">
        <f t="shared" si="27"/>
        <v>100</v>
      </c>
    </row>
    <row r="47" spans="2:11" x14ac:dyDescent="0.3">
      <c r="C47" s="12" t="s">
        <v>27</v>
      </c>
      <c r="D47" s="10">
        <f>D45*D46</f>
        <v>600000</v>
      </c>
      <c r="E47" s="10">
        <f t="shared" ref="E47:I47" si="28">E45*E46</f>
        <v>720000</v>
      </c>
      <c r="F47" s="10">
        <f t="shared" si="28"/>
        <v>840000</v>
      </c>
      <c r="G47" s="10">
        <f t="shared" si="28"/>
        <v>1200000</v>
      </c>
      <c r="H47" s="10">
        <f t="shared" si="28"/>
        <v>450000</v>
      </c>
      <c r="I47" s="11">
        <f t="shared" si="28"/>
        <v>500000</v>
      </c>
    </row>
    <row r="48" spans="2:11" x14ac:dyDescent="0.3">
      <c r="C48" s="12"/>
      <c r="D48" s="10"/>
      <c r="E48" s="10"/>
      <c r="F48" s="10"/>
      <c r="G48" s="10"/>
      <c r="H48" s="10"/>
      <c r="I48" s="11"/>
    </row>
    <row r="49" spans="2:9" ht="16.2" x14ac:dyDescent="0.45">
      <c r="C49" s="18" t="s">
        <v>119</v>
      </c>
      <c r="D49" s="10">
        <f>D165</f>
        <v>0</v>
      </c>
      <c r="E49" s="10">
        <f t="shared" ref="E49:I49" si="29">E165</f>
        <v>0</v>
      </c>
      <c r="F49" s="10">
        <f t="shared" si="29"/>
        <v>0</v>
      </c>
      <c r="G49" s="10">
        <f t="shared" si="29"/>
        <v>0</v>
      </c>
      <c r="H49" s="10">
        <f t="shared" si="29"/>
        <v>900000</v>
      </c>
      <c r="I49" s="11">
        <f t="shared" si="29"/>
        <v>0</v>
      </c>
    </row>
    <row r="50" spans="2:9" x14ac:dyDescent="0.3">
      <c r="C50" s="49" t="s">
        <v>120</v>
      </c>
      <c r="D50" s="14">
        <f>D47+D49</f>
        <v>600000</v>
      </c>
      <c r="E50" s="14">
        <f t="shared" ref="E50:I50" si="30">E47+E49</f>
        <v>720000</v>
      </c>
      <c r="F50" s="14">
        <f t="shared" si="30"/>
        <v>840000</v>
      </c>
      <c r="G50" s="14">
        <f t="shared" si="30"/>
        <v>1200000</v>
      </c>
      <c r="H50" s="14">
        <f t="shared" si="30"/>
        <v>1350000</v>
      </c>
      <c r="I50" s="15">
        <f t="shared" si="30"/>
        <v>500000</v>
      </c>
    </row>
    <row r="53" spans="2:9" x14ac:dyDescent="0.3">
      <c r="C53" s="16" t="s">
        <v>31</v>
      </c>
      <c r="D53" s="7"/>
      <c r="E53" s="7"/>
      <c r="F53" s="7"/>
      <c r="G53" s="7"/>
      <c r="H53" s="7"/>
      <c r="I53" s="8"/>
    </row>
    <row r="54" spans="2:9" x14ac:dyDescent="0.3">
      <c r="C54" s="17" t="s">
        <v>20</v>
      </c>
      <c r="D54" s="10"/>
      <c r="E54" s="10"/>
      <c r="F54" s="10"/>
      <c r="G54" s="10"/>
      <c r="H54" s="10"/>
      <c r="I54" s="11"/>
    </row>
    <row r="55" spans="2:9" x14ac:dyDescent="0.3">
      <c r="B55" t="s">
        <v>62</v>
      </c>
      <c r="C55" s="12" t="s">
        <v>21</v>
      </c>
      <c r="D55" s="10">
        <v>6500</v>
      </c>
      <c r="E55" s="10">
        <f>ROUND(D55*114%,-2)</f>
        <v>7400</v>
      </c>
      <c r="F55" s="10">
        <f>ROUND(E55*114%,-2)</f>
        <v>8400</v>
      </c>
      <c r="G55" s="10">
        <f>ROUND(F55*110%,-2)</f>
        <v>9200</v>
      </c>
      <c r="H55" s="10">
        <f t="shared" ref="H55:I55" si="31">ROUND(G55*110%,-2)</f>
        <v>10100</v>
      </c>
      <c r="I55" s="11">
        <f t="shared" si="31"/>
        <v>11100</v>
      </c>
    </row>
    <row r="56" spans="2:9" x14ac:dyDescent="0.3">
      <c r="B56" t="s">
        <v>62</v>
      </c>
      <c r="C56" s="12" t="s">
        <v>22</v>
      </c>
      <c r="D56" s="10">
        <v>2500</v>
      </c>
      <c r="E56" s="10">
        <f>ROUND(D56*108%,-2)</f>
        <v>2700</v>
      </c>
      <c r="F56" s="10">
        <f t="shared" ref="F56:I56" si="32">ROUND(E56*108%,-2)</f>
        <v>2900</v>
      </c>
      <c r="G56" s="10">
        <f t="shared" si="32"/>
        <v>3100</v>
      </c>
      <c r="H56" s="10">
        <f t="shared" si="32"/>
        <v>3300</v>
      </c>
      <c r="I56" s="11">
        <f t="shared" si="32"/>
        <v>3600</v>
      </c>
    </row>
    <row r="57" spans="2:9" x14ac:dyDescent="0.3">
      <c r="C57" s="12" t="s">
        <v>23</v>
      </c>
      <c r="D57" s="10">
        <f>D55*D56</f>
        <v>16250000</v>
      </c>
      <c r="E57" s="10">
        <f t="shared" ref="E57:I57" si="33">E55*E56</f>
        <v>19980000</v>
      </c>
      <c r="F57" s="10">
        <f t="shared" si="33"/>
        <v>24360000</v>
      </c>
      <c r="G57" s="10">
        <f t="shared" si="33"/>
        <v>28520000</v>
      </c>
      <c r="H57" s="10">
        <f t="shared" si="33"/>
        <v>33330000</v>
      </c>
      <c r="I57" s="11">
        <f t="shared" si="33"/>
        <v>39960000</v>
      </c>
    </row>
    <row r="58" spans="2:9" x14ac:dyDescent="0.3">
      <c r="C58" s="9"/>
      <c r="D58" s="10"/>
      <c r="E58" s="10"/>
      <c r="F58" s="10"/>
      <c r="G58" s="10"/>
      <c r="H58" s="10"/>
      <c r="I58" s="11"/>
    </row>
    <row r="59" spans="2:9" ht="16.2" x14ac:dyDescent="0.45">
      <c r="C59" s="18" t="s">
        <v>24</v>
      </c>
      <c r="D59" s="10"/>
      <c r="E59" s="10"/>
      <c r="F59" s="10"/>
      <c r="G59" s="10"/>
      <c r="H59" s="10"/>
      <c r="I59" s="11"/>
    </row>
    <row r="60" spans="2:9" x14ac:dyDescent="0.3">
      <c r="B60" t="s">
        <v>62</v>
      </c>
      <c r="C60" s="12" t="s">
        <v>21</v>
      </c>
      <c r="D60" s="10">
        <v>2200</v>
      </c>
      <c r="E60" s="10">
        <f>ROUND(D60*113%,-2)</f>
        <v>2500</v>
      </c>
      <c r="F60" s="10">
        <f t="shared" ref="F60:I60" si="34">ROUND(E60*113%,-2)</f>
        <v>2800</v>
      </c>
      <c r="G60" s="10">
        <f t="shared" si="34"/>
        <v>3200</v>
      </c>
      <c r="H60" s="10">
        <f t="shared" si="34"/>
        <v>3600</v>
      </c>
      <c r="I60" s="11">
        <f t="shared" si="34"/>
        <v>4100</v>
      </c>
    </row>
    <row r="61" spans="2:9" x14ac:dyDescent="0.3">
      <c r="B61" t="s">
        <v>62</v>
      </c>
      <c r="C61" s="12" t="s">
        <v>22</v>
      </c>
      <c r="D61" s="10">
        <v>1600</v>
      </c>
      <c r="E61" s="10">
        <f>ROUND(D61*108%,-2)</f>
        <v>1700</v>
      </c>
      <c r="F61" s="10">
        <f t="shared" ref="F61:I61" si="35">ROUND(E61*108%,-2)</f>
        <v>1800</v>
      </c>
      <c r="G61" s="10">
        <f t="shared" si="35"/>
        <v>1900</v>
      </c>
      <c r="H61" s="10">
        <f t="shared" si="35"/>
        <v>2100</v>
      </c>
      <c r="I61" s="11">
        <f t="shared" si="35"/>
        <v>2300</v>
      </c>
    </row>
    <row r="62" spans="2:9" x14ac:dyDescent="0.3">
      <c r="C62" s="19" t="s">
        <v>23</v>
      </c>
      <c r="D62" s="14">
        <f>D60*D61</f>
        <v>3520000</v>
      </c>
      <c r="E62" s="14">
        <f t="shared" ref="E62:I62" si="36">E60*E61</f>
        <v>4250000</v>
      </c>
      <c r="F62" s="14">
        <f t="shared" si="36"/>
        <v>5040000</v>
      </c>
      <c r="G62" s="14">
        <f t="shared" si="36"/>
        <v>6080000</v>
      </c>
      <c r="H62" s="14">
        <f t="shared" si="36"/>
        <v>7560000</v>
      </c>
      <c r="I62" s="15">
        <f t="shared" si="36"/>
        <v>9430000</v>
      </c>
    </row>
    <row r="65" spans="3:9" x14ac:dyDescent="0.3">
      <c r="C65" s="16" t="s">
        <v>35</v>
      </c>
      <c r="D65" s="7"/>
      <c r="E65" s="7"/>
      <c r="F65" s="7"/>
      <c r="G65" s="7"/>
      <c r="H65" s="7"/>
      <c r="I65" s="8"/>
    </row>
    <row r="66" spans="3:9" x14ac:dyDescent="0.3">
      <c r="C66" s="17" t="s">
        <v>20</v>
      </c>
      <c r="D66" s="10"/>
      <c r="E66" s="10"/>
      <c r="F66" s="10"/>
      <c r="G66" s="10"/>
      <c r="H66" s="10"/>
      <c r="I66" s="11"/>
    </row>
    <row r="67" spans="3:9" x14ac:dyDescent="0.3">
      <c r="C67" s="9" t="s">
        <v>36</v>
      </c>
      <c r="D67" s="10">
        <f>0</f>
        <v>0</v>
      </c>
      <c r="E67" s="10">
        <f>D70</f>
        <v>1500</v>
      </c>
      <c r="F67" s="10">
        <f t="shared" ref="F67:I67" si="37">E70</f>
        <v>3100</v>
      </c>
      <c r="G67" s="10">
        <f t="shared" si="37"/>
        <v>4800</v>
      </c>
      <c r="H67" s="10">
        <f t="shared" si="37"/>
        <v>6300</v>
      </c>
      <c r="I67" s="11">
        <f t="shared" si="37"/>
        <v>7500</v>
      </c>
    </row>
    <row r="68" spans="3:9" x14ac:dyDescent="0.3">
      <c r="C68" s="9" t="s">
        <v>41</v>
      </c>
      <c r="D68" s="10">
        <f t="shared" ref="D68:I68" si="38">D55</f>
        <v>6500</v>
      </c>
      <c r="E68" s="10">
        <f t="shared" si="38"/>
        <v>7400</v>
      </c>
      <c r="F68" s="10">
        <f t="shared" si="38"/>
        <v>8400</v>
      </c>
      <c r="G68" s="10">
        <f t="shared" si="38"/>
        <v>9200</v>
      </c>
      <c r="H68" s="10">
        <f t="shared" si="38"/>
        <v>10100</v>
      </c>
      <c r="I68" s="11">
        <f t="shared" si="38"/>
        <v>11100</v>
      </c>
    </row>
    <row r="69" spans="3:9" x14ac:dyDescent="0.3">
      <c r="C69" s="9" t="s">
        <v>37</v>
      </c>
      <c r="D69" s="10">
        <f t="shared" ref="D69:I69" si="39">D33</f>
        <v>5000</v>
      </c>
      <c r="E69" s="10">
        <f t="shared" si="39"/>
        <v>5800</v>
      </c>
      <c r="F69" s="10">
        <f t="shared" si="39"/>
        <v>6700</v>
      </c>
      <c r="G69" s="10">
        <f t="shared" si="39"/>
        <v>7700</v>
      </c>
      <c r="H69" s="10">
        <f t="shared" si="39"/>
        <v>8900</v>
      </c>
      <c r="I69" s="11">
        <f t="shared" si="39"/>
        <v>10200</v>
      </c>
    </row>
    <row r="70" spans="3:9" x14ac:dyDescent="0.3">
      <c r="C70" s="9" t="s">
        <v>38</v>
      </c>
      <c r="D70" s="7">
        <f>D67+D68-D69</f>
        <v>1500</v>
      </c>
      <c r="E70" s="7">
        <f t="shared" ref="E70:I70" si="40">E67+E68-E69</f>
        <v>3100</v>
      </c>
      <c r="F70" s="7">
        <f t="shared" si="40"/>
        <v>4800</v>
      </c>
      <c r="G70" s="7">
        <f t="shared" si="40"/>
        <v>6300</v>
      </c>
      <c r="H70" s="7">
        <f t="shared" si="40"/>
        <v>7500</v>
      </c>
      <c r="I70" s="8">
        <f t="shared" si="40"/>
        <v>8400</v>
      </c>
    </row>
    <row r="71" spans="3:9" x14ac:dyDescent="0.3">
      <c r="C71" s="9" t="s">
        <v>39</v>
      </c>
      <c r="D71" s="10">
        <f t="shared" ref="D71:I71" si="41">D56</f>
        <v>2500</v>
      </c>
      <c r="E71" s="10">
        <f t="shared" si="41"/>
        <v>2700</v>
      </c>
      <c r="F71" s="10">
        <f t="shared" si="41"/>
        <v>2900</v>
      </c>
      <c r="G71" s="10">
        <f t="shared" si="41"/>
        <v>3100</v>
      </c>
      <c r="H71" s="10">
        <f t="shared" si="41"/>
        <v>3300</v>
      </c>
      <c r="I71" s="11">
        <f t="shared" si="41"/>
        <v>3600</v>
      </c>
    </row>
    <row r="72" spans="3:9" x14ac:dyDescent="0.3">
      <c r="C72" s="9" t="s">
        <v>40</v>
      </c>
      <c r="D72" s="10">
        <f>D70*D71</f>
        <v>3750000</v>
      </c>
      <c r="E72" s="10">
        <f t="shared" ref="E72:I72" si="42">E70*E71</f>
        <v>8370000</v>
      </c>
      <c r="F72" s="10">
        <f t="shared" si="42"/>
        <v>13920000</v>
      </c>
      <c r="G72" s="10">
        <f t="shared" si="42"/>
        <v>19530000</v>
      </c>
      <c r="H72" s="10">
        <f t="shared" si="42"/>
        <v>24750000</v>
      </c>
      <c r="I72" s="11">
        <f t="shared" si="42"/>
        <v>30240000</v>
      </c>
    </row>
    <row r="73" spans="3:9" x14ac:dyDescent="0.3">
      <c r="C73" s="9"/>
      <c r="D73" s="10"/>
      <c r="E73" s="10"/>
      <c r="F73" s="10"/>
      <c r="G73" s="10"/>
      <c r="H73" s="10"/>
      <c r="I73" s="11"/>
    </row>
    <row r="74" spans="3:9" x14ac:dyDescent="0.3">
      <c r="C74" s="9"/>
      <c r="D74" s="10"/>
      <c r="E74" s="10"/>
      <c r="F74" s="10"/>
      <c r="G74" s="10"/>
      <c r="H74" s="10"/>
      <c r="I74" s="11"/>
    </row>
    <row r="75" spans="3:9" ht="16.2" x14ac:dyDescent="0.45">
      <c r="C75" s="18" t="s">
        <v>24</v>
      </c>
      <c r="D75" s="10"/>
      <c r="E75" s="10"/>
      <c r="F75" s="10"/>
      <c r="G75" s="10"/>
      <c r="H75" s="10"/>
      <c r="I75" s="11"/>
    </row>
    <row r="76" spans="3:9" x14ac:dyDescent="0.3">
      <c r="C76" s="9" t="s">
        <v>36</v>
      </c>
      <c r="D76" s="10">
        <v>0</v>
      </c>
      <c r="E76" s="10">
        <f>D79</f>
        <v>700</v>
      </c>
      <c r="F76" s="10">
        <f t="shared" ref="F76:I76" si="43">E79</f>
        <v>1500</v>
      </c>
      <c r="G76" s="10">
        <f t="shared" si="43"/>
        <v>2400</v>
      </c>
      <c r="H76" s="10">
        <f t="shared" si="43"/>
        <v>3500</v>
      </c>
      <c r="I76" s="11">
        <f t="shared" si="43"/>
        <v>4700</v>
      </c>
    </row>
    <row r="77" spans="3:9" x14ac:dyDescent="0.3">
      <c r="C77" s="9" t="s">
        <v>41</v>
      </c>
      <c r="D77" s="10">
        <f>D60</f>
        <v>2200</v>
      </c>
      <c r="E77" s="10">
        <f t="shared" ref="E77:I77" si="44">E60</f>
        <v>2500</v>
      </c>
      <c r="F77" s="10">
        <f t="shared" si="44"/>
        <v>2800</v>
      </c>
      <c r="G77" s="10">
        <f t="shared" si="44"/>
        <v>3200</v>
      </c>
      <c r="H77" s="10">
        <f t="shared" si="44"/>
        <v>3600</v>
      </c>
      <c r="I77" s="11">
        <f t="shared" si="44"/>
        <v>4100</v>
      </c>
    </row>
    <row r="78" spans="3:9" x14ac:dyDescent="0.3">
      <c r="C78" s="9" t="s">
        <v>37</v>
      </c>
      <c r="D78" s="10">
        <f t="shared" ref="D78:I78" si="45">D38</f>
        <v>1500</v>
      </c>
      <c r="E78" s="10">
        <f t="shared" si="45"/>
        <v>1700</v>
      </c>
      <c r="F78" s="10">
        <f t="shared" si="45"/>
        <v>1900</v>
      </c>
      <c r="G78" s="10">
        <f t="shared" si="45"/>
        <v>2100</v>
      </c>
      <c r="H78" s="10">
        <f t="shared" si="45"/>
        <v>2400</v>
      </c>
      <c r="I78" s="11">
        <f t="shared" si="45"/>
        <v>2700</v>
      </c>
    </row>
    <row r="79" spans="3:9" x14ac:dyDescent="0.3">
      <c r="C79" s="9" t="s">
        <v>38</v>
      </c>
      <c r="D79" s="7">
        <f>D76+D77-D78</f>
        <v>700</v>
      </c>
      <c r="E79" s="7">
        <f t="shared" ref="E79:I79" si="46">E76+E77-E78</f>
        <v>1500</v>
      </c>
      <c r="F79" s="7">
        <f t="shared" si="46"/>
        <v>2400</v>
      </c>
      <c r="G79" s="7">
        <f t="shared" si="46"/>
        <v>3500</v>
      </c>
      <c r="H79" s="7">
        <f t="shared" si="46"/>
        <v>4700</v>
      </c>
      <c r="I79" s="8">
        <f t="shared" si="46"/>
        <v>6100</v>
      </c>
    </row>
    <row r="80" spans="3:9" x14ac:dyDescent="0.3">
      <c r="C80" s="9" t="s">
        <v>39</v>
      </c>
      <c r="D80" s="10">
        <f>D61</f>
        <v>1600</v>
      </c>
      <c r="E80" s="10">
        <f t="shared" ref="E80:I80" si="47">E61</f>
        <v>1700</v>
      </c>
      <c r="F80" s="10">
        <f t="shared" si="47"/>
        <v>1800</v>
      </c>
      <c r="G80" s="10">
        <f t="shared" si="47"/>
        <v>1900</v>
      </c>
      <c r="H80" s="10">
        <f t="shared" si="47"/>
        <v>2100</v>
      </c>
      <c r="I80" s="11">
        <f t="shared" si="47"/>
        <v>2300</v>
      </c>
    </row>
    <row r="81" spans="3:11" x14ac:dyDescent="0.3">
      <c r="C81" s="13" t="s">
        <v>40</v>
      </c>
      <c r="D81" s="14">
        <f>D79*D80</f>
        <v>1120000</v>
      </c>
      <c r="E81" s="14">
        <f t="shared" ref="E81:I81" si="48">E79*E80</f>
        <v>2550000</v>
      </c>
      <c r="F81" s="14">
        <f t="shared" si="48"/>
        <v>4320000</v>
      </c>
      <c r="G81" s="14">
        <f t="shared" si="48"/>
        <v>6650000</v>
      </c>
      <c r="H81" s="14">
        <f t="shared" si="48"/>
        <v>9870000</v>
      </c>
      <c r="I81" s="15">
        <f t="shared" si="48"/>
        <v>14030000</v>
      </c>
    </row>
    <row r="84" spans="3:11" x14ac:dyDescent="0.3">
      <c r="C84" s="20" t="s">
        <v>42</v>
      </c>
      <c r="D84" s="7"/>
      <c r="E84" s="7"/>
      <c r="F84" s="7"/>
      <c r="G84" s="7"/>
      <c r="H84" s="7"/>
      <c r="I84" s="8"/>
    </row>
    <row r="85" spans="3:11" x14ac:dyDescent="0.3">
      <c r="C85" s="9" t="s">
        <v>20</v>
      </c>
      <c r="D85" s="10">
        <f>D35*2%</f>
        <v>350000</v>
      </c>
      <c r="E85" s="10">
        <f t="shared" ref="E85:I85" si="49">E35*2%</f>
        <v>440800</v>
      </c>
      <c r="F85" s="10">
        <f t="shared" si="49"/>
        <v>549400</v>
      </c>
      <c r="G85" s="10">
        <f t="shared" si="49"/>
        <v>677600</v>
      </c>
      <c r="H85" s="10">
        <f t="shared" si="49"/>
        <v>854400</v>
      </c>
      <c r="I85" s="11">
        <f t="shared" si="49"/>
        <v>1060800</v>
      </c>
    </row>
    <row r="86" spans="3:11" x14ac:dyDescent="0.3">
      <c r="C86" s="22" t="s">
        <v>24</v>
      </c>
      <c r="D86" s="10">
        <f>D40*1%</f>
        <v>37500</v>
      </c>
      <c r="E86" s="10">
        <f t="shared" ref="E86:I86" si="50">E40*1%</f>
        <v>45900</v>
      </c>
      <c r="F86" s="10">
        <f t="shared" si="50"/>
        <v>55100</v>
      </c>
      <c r="G86" s="10">
        <f t="shared" si="50"/>
        <v>65100</v>
      </c>
      <c r="H86" s="10">
        <f t="shared" si="50"/>
        <v>79200</v>
      </c>
      <c r="I86" s="11">
        <f t="shared" si="50"/>
        <v>97200</v>
      </c>
    </row>
    <row r="87" spans="3:11" x14ac:dyDescent="0.3">
      <c r="C87" s="13" t="s">
        <v>6</v>
      </c>
      <c r="D87" s="14">
        <f>SUM(D85:D86)</f>
        <v>387500</v>
      </c>
      <c r="E87" s="14">
        <f t="shared" ref="E87:I87" si="51">SUM(E85:E86)</f>
        <v>486700</v>
      </c>
      <c r="F87" s="14">
        <f t="shared" si="51"/>
        <v>604500</v>
      </c>
      <c r="G87" s="14">
        <f t="shared" si="51"/>
        <v>742700</v>
      </c>
      <c r="H87" s="14">
        <f t="shared" si="51"/>
        <v>933600</v>
      </c>
      <c r="I87" s="15">
        <f t="shared" si="51"/>
        <v>1158000</v>
      </c>
    </row>
    <row r="89" spans="3:11" x14ac:dyDescent="0.3">
      <c r="C89" s="20" t="s">
        <v>43</v>
      </c>
      <c r="D89" s="7"/>
      <c r="E89" s="7"/>
      <c r="F89" s="7"/>
      <c r="G89" s="7"/>
      <c r="H89" s="7"/>
      <c r="I89" s="8"/>
    </row>
    <row r="90" spans="3:11" x14ac:dyDescent="0.3">
      <c r="C90" s="13" t="s">
        <v>44</v>
      </c>
      <c r="D90" s="14">
        <f>D7*1%</f>
        <v>212500</v>
      </c>
      <c r="E90" s="14">
        <f t="shared" ref="E90:I90" si="52">E7*1%</f>
        <v>266300</v>
      </c>
      <c r="F90" s="14">
        <f t="shared" si="52"/>
        <v>329800</v>
      </c>
      <c r="G90" s="14">
        <f t="shared" si="52"/>
        <v>403900</v>
      </c>
      <c r="H90" s="14">
        <f t="shared" si="52"/>
        <v>506400</v>
      </c>
      <c r="I90" s="14">
        <f t="shared" si="52"/>
        <v>627600</v>
      </c>
    </row>
    <row r="93" spans="3:11" x14ac:dyDescent="0.3">
      <c r="C93" s="20" t="s">
        <v>45</v>
      </c>
      <c r="D93" s="7"/>
      <c r="E93" s="7"/>
      <c r="F93" s="7"/>
      <c r="G93" s="7"/>
      <c r="H93" s="7"/>
      <c r="I93" s="8"/>
      <c r="K93" s="21"/>
    </row>
    <row r="94" spans="3:11" x14ac:dyDescent="0.3">
      <c r="C94" s="17" t="s">
        <v>50</v>
      </c>
      <c r="D94" s="10"/>
      <c r="E94" s="10"/>
      <c r="F94" s="10"/>
      <c r="G94" s="10"/>
      <c r="H94" s="10"/>
      <c r="I94" s="11"/>
    </row>
    <row r="95" spans="3:11" x14ac:dyDescent="0.3">
      <c r="C95" s="9" t="s">
        <v>46</v>
      </c>
      <c r="D95" s="10">
        <v>0</v>
      </c>
      <c r="E95" s="10">
        <f>D100</f>
        <v>5525000</v>
      </c>
      <c r="F95" s="10">
        <f t="shared" ref="F95:I95" si="53">E100</f>
        <v>4696200</v>
      </c>
      <c r="G95" s="10">
        <f t="shared" si="53"/>
        <v>3991800</v>
      </c>
      <c r="H95" s="10">
        <f t="shared" si="53"/>
        <v>3393000</v>
      </c>
      <c r="I95" s="10">
        <f t="shared" si="53"/>
        <v>2884000</v>
      </c>
    </row>
    <row r="96" spans="3:11" x14ac:dyDescent="0.3">
      <c r="C96" s="9" t="s">
        <v>31</v>
      </c>
      <c r="D96" s="10">
        <v>6500000</v>
      </c>
      <c r="E96" s="10">
        <v>0</v>
      </c>
      <c r="F96" s="10">
        <v>0</v>
      </c>
      <c r="G96" s="10">
        <v>0</v>
      </c>
      <c r="H96" s="10">
        <v>0</v>
      </c>
      <c r="I96" s="11">
        <v>0</v>
      </c>
    </row>
    <row r="97" spans="2:16" x14ac:dyDescent="0.3">
      <c r="C97" s="9" t="s">
        <v>0</v>
      </c>
      <c r="D97" s="10">
        <v>0</v>
      </c>
      <c r="E97" s="10">
        <v>0</v>
      </c>
      <c r="F97" s="10">
        <v>0</v>
      </c>
      <c r="G97" s="10">
        <v>0</v>
      </c>
      <c r="H97" s="10">
        <v>0</v>
      </c>
      <c r="I97" s="11"/>
    </row>
    <row r="98" spans="2:16" x14ac:dyDescent="0.3">
      <c r="C98" s="9" t="s">
        <v>47</v>
      </c>
      <c r="D98" s="10">
        <f>D95+D96-D97</f>
        <v>6500000</v>
      </c>
      <c r="E98" s="10">
        <f t="shared" ref="E98:I98" si="54">E95+E96-E97</f>
        <v>5525000</v>
      </c>
      <c r="F98" s="10">
        <f t="shared" si="54"/>
        <v>4696200</v>
      </c>
      <c r="G98" s="10">
        <f t="shared" si="54"/>
        <v>3991800</v>
      </c>
      <c r="H98" s="10">
        <f t="shared" si="54"/>
        <v>3393000</v>
      </c>
      <c r="I98" s="11">
        <f t="shared" si="54"/>
        <v>2884000</v>
      </c>
      <c r="K98" s="21"/>
    </row>
    <row r="99" spans="2:16" x14ac:dyDescent="0.3">
      <c r="B99" t="s">
        <v>62</v>
      </c>
      <c r="C99" s="9" t="s">
        <v>48</v>
      </c>
      <c r="D99" s="10">
        <f>ROUND(D98*15%,-2)</f>
        <v>975000</v>
      </c>
      <c r="E99" s="10">
        <f t="shared" ref="E99:I99" si="55">ROUND(E98*15%,-2)</f>
        <v>828800</v>
      </c>
      <c r="F99" s="10">
        <f t="shared" si="55"/>
        <v>704400</v>
      </c>
      <c r="G99" s="10">
        <f t="shared" si="55"/>
        <v>598800</v>
      </c>
      <c r="H99" s="10">
        <f t="shared" si="55"/>
        <v>509000</v>
      </c>
      <c r="I99" s="10">
        <f t="shared" si="55"/>
        <v>432600</v>
      </c>
    </row>
    <row r="100" spans="2:16" x14ac:dyDescent="0.3">
      <c r="C100" s="9" t="s">
        <v>49</v>
      </c>
      <c r="D100" s="10">
        <f>D98-D99</f>
        <v>5525000</v>
      </c>
      <c r="E100" s="10">
        <f t="shared" ref="E100:I100" si="56">E98-E99</f>
        <v>4696200</v>
      </c>
      <c r="F100" s="10">
        <f t="shared" si="56"/>
        <v>3991800</v>
      </c>
      <c r="G100" s="10">
        <f t="shared" si="56"/>
        <v>3393000</v>
      </c>
      <c r="H100" s="10">
        <f t="shared" si="56"/>
        <v>2884000</v>
      </c>
      <c r="I100" s="11">
        <f t="shared" si="56"/>
        <v>2451400</v>
      </c>
    </row>
    <row r="101" spans="2:16" x14ac:dyDescent="0.3">
      <c r="C101" s="9"/>
      <c r="D101" s="10"/>
      <c r="E101" s="10"/>
      <c r="F101" s="10"/>
      <c r="G101" s="10"/>
      <c r="H101" s="10"/>
      <c r="I101" s="11"/>
    </row>
    <row r="102" spans="2:16" x14ac:dyDescent="0.3">
      <c r="C102" s="9"/>
      <c r="D102" s="10"/>
      <c r="E102" s="10"/>
      <c r="F102" s="10"/>
      <c r="G102" s="10"/>
      <c r="H102" s="10"/>
      <c r="I102" s="11"/>
    </row>
    <row r="103" spans="2:16" x14ac:dyDescent="0.3">
      <c r="C103" s="17" t="s">
        <v>51</v>
      </c>
      <c r="D103" s="10"/>
      <c r="E103" s="10"/>
      <c r="F103" s="10"/>
      <c r="G103" s="10"/>
      <c r="H103" s="10"/>
      <c r="I103" s="11"/>
    </row>
    <row r="104" spans="2:16" x14ac:dyDescent="0.3">
      <c r="C104" s="9" t="s">
        <v>46</v>
      </c>
      <c r="D104" s="10">
        <v>0</v>
      </c>
      <c r="E104" s="10">
        <f>D109</f>
        <v>1800000</v>
      </c>
      <c r="F104" s="10">
        <f t="shared" ref="F104:I104" si="57">E109</f>
        <v>1620000</v>
      </c>
      <c r="G104" s="10">
        <f t="shared" si="57"/>
        <v>1998000</v>
      </c>
      <c r="H104" s="10">
        <f t="shared" si="57"/>
        <v>1798200</v>
      </c>
      <c r="I104" s="11">
        <f t="shared" si="57"/>
        <v>1618400</v>
      </c>
      <c r="K104" s="6"/>
    </row>
    <row r="105" spans="2:16" x14ac:dyDescent="0.3">
      <c r="C105" s="9" t="s">
        <v>31</v>
      </c>
      <c r="D105" s="10">
        <v>2000000</v>
      </c>
      <c r="E105" s="10">
        <v>0</v>
      </c>
      <c r="F105" s="10">
        <v>600000</v>
      </c>
      <c r="G105" s="10">
        <v>0</v>
      </c>
      <c r="H105" s="10">
        <v>0</v>
      </c>
      <c r="I105" s="11">
        <v>0</v>
      </c>
    </row>
    <row r="106" spans="2:16" x14ac:dyDescent="0.3">
      <c r="C106" s="9" t="s">
        <v>0</v>
      </c>
      <c r="D106" s="10">
        <v>0</v>
      </c>
      <c r="E106" s="10">
        <v>0</v>
      </c>
      <c r="F106" s="10">
        <v>0</v>
      </c>
      <c r="G106" s="10">
        <v>0</v>
      </c>
      <c r="H106" s="10">
        <v>0</v>
      </c>
      <c r="I106" s="11">
        <v>0</v>
      </c>
    </row>
    <row r="107" spans="2:16" x14ac:dyDescent="0.3">
      <c r="C107" s="9" t="s">
        <v>47</v>
      </c>
      <c r="D107" s="10">
        <f>D104+D105-D106</f>
        <v>2000000</v>
      </c>
      <c r="E107" s="10">
        <f t="shared" ref="E107:I107" si="58">E104+E105-E106</f>
        <v>1800000</v>
      </c>
      <c r="F107" s="10">
        <f t="shared" si="58"/>
        <v>2220000</v>
      </c>
      <c r="G107" s="10">
        <f t="shared" si="58"/>
        <v>1998000</v>
      </c>
      <c r="H107" s="10">
        <f t="shared" si="58"/>
        <v>1798200</v>
      </c>
      <c r="I107" s="11">
        <f t="shared" si="58"/>
        <v>1618400</v>
      </c>
    </row>
    <row r="108" spans="2:16" x14ac:dyDescent="0.3">
      <c r="B108" t="s">
        <v>62</v>
      </c>
      <c r="C108" s="9" t="s">
        <v>52</v>
      </c>
      <c r="D108" s="10">
        <f>ROUND(D107*10%,-2)</f>
        <v>200000</v>
      </c>
      <c r="E108" s="10">
        <f t="shared" ref="E108:I108" si="59">ROUND(E107*10%,-2)</f>
        <v>180000</v>
      </c>
      <c r="F108" s="10">
        <f t="shared" si="59"/>
        <v>222000</v>
      </c>
      <c r="G108" s="10">
        <f t="shared" si="59"/>
        <v>199800</v>
      </c>
      <c r="H108" s="10">
        <f t="shared" si="59"/>
        <v>179800</v>
      </c>
      <c r="I108" s="10">
        <f t="shared" si="59"/>
        <v>161800</v>
      </c>
    </row>
    <row r="109" spans="2:16" x14ac:dyDescent="0.3">
      <c r="C109" s="13" t="s">
        <v>49</v>
      </c>
      <c r="D109" s="14">
        <f>D107-D108</f>
        <v>1800000</v>
      </c>
      <c r="E109" s="14">
        <f t="shared" ref="E109:I109" si="60">E107-E108</f>
        <v>1620000</v>
      </c>
      <c r="F109" s="14">
        <f t="shared" si="60"/>
        <v>1998000</v>
      </c>
      <c r="G109" s="14">
        <f t="shared" si="60"/>
        <v>1798200</v>
      </c>
      <c r="H109" s="14">
        <f t="shared" si="60"/>
        <v>1618400</v>
      </c>
      <c r="I109" s="15">
        <f t="shared" si="60"/>
        <v>1456600</v>
      </c>
    </row>
    <row r="111" spans="2:16" x14ac:dyDescent="0.3">
      <c r="C111" s="5"/>
      <c r="K111" s="5"/>
      <c r="L111" s="5"/>
      <c r="M111" s="5"/>
      <c r="N111" s="5"/>
      <c r="O111" s="5"/>
      <c r="P111" s="5"/>
    </row>
    <row r="113" spans="3:9" x14ac:dyDescent="0.3">
      <c r="C113" s="20" t="s">
        <v>53</v>
      </c>
      <c r="D113" s="7"/>
      <c r="E113" s="7"/>
      <c r="F113" s="7"/>
      <c r="G113" s="7"/>
      <c r="H113" s="7"/>
      <c r="I113" s="8"/>
    </row>
    <row r="114" spans="3:9" x14ac:dyDescent="0.3">
      <c r="C114" s="9" t="s">
        <v>54</v>
      </c>
      <c r="D114" s="10"/>
      <c r="E114" s="10"/>
      <c r="F114" s="10"/>
      <c r="G114" s="10"/>
      <c r="H114" s="10"/>
      <c r="I114" s="11"/>
    </row>
    <row r="115" spans="3:9" x14ac:dyDescent="0.3">
      <c r="C115" s="9" t="s">
        <v>46</v>
      </c>
      <c r="D115" s="10">
        <v>0</v>
      </c>
      <c r="E115" s="10">
        <f>D118</f>
        <v>6000000</v>
      </c>
      <c r="F115" s="10">
        <f t="shared" ref="F115:I115" si="61">E118</f>
        <v>4800000</v>
      </c>
      <c r="G115" s="10">
        <f t="shared" si="61"/>
        <v>3600000</v>
      </c>
      <c r="H115" s="10">
        <f t="shared" si="61"/>
        <v>2400000</v>
      </c>
      <c r="I115" s="11">
        <f t="shared" si="61"/>
        <v>1200000</v>
      </c>
    </row>
    <row r="116" spans="3:9" x14ac:dyDescent="0.3">
      <c r="C116" s="9" t="s">
        <v>55</v>
      </c>
      <c r="D116" s="10">
        <v>6000000</v>
      </c>
      <c r="E116" s="10"/>
      <c r="F116" s="10"/>
      <c r="G116" s="10"/>
      <c r="H116" s="10"/>
      <c r="I116" s="11"/>
    </row>
    <row r="117" spans="3:9" x14ac:dyDescent="0.3">
      <c r="C117" s="9" t="s">
        <v>56</v>
      </c>
      <c r="D117" s="10">
        <v>0</v>
      </c>
      <c r="E117" s="10">
        <f>D116/5</f>
        <v>1200000</v>
      </c>
      <c r="F117" s="10">
        <f>E117</f>
        <v>1200000</v>
      </c>
      <c r="G117" s="10">
        <f>F117</f>
        <v>1200000</v>
      </c>
      <c r="H117" s="10">
        <f>G117</f>
        <v>1200000</v>
      </c>
      <c r="I117" s="11">
        <f>H117</f>
        <v>1200000</v>
      </c>
    </row>
    <row r="118" spans="3:9" x14ac:dyDescent="0.3">
      <c r="C118" s="9" t="s">
        <v>47</v>
      </c>
      <c r="D118" s="10">
        <f>D115+D116-D117</f>
        <v>6000000</v>
      </c>
      <c r="E118" s="10">
        <f t="shared" ref="E118:I118" si="62">E115+E116-E117</f>
        <v>4800000</v>
      </c>
      <c r="F118" s="10">
        <f t="shared" si="62"/>
        <v>3600000</v>
      </c>
      <c r="G118" s="10">
        <f t="shared" si="62"/>
        <v>2400000</v>
      </c>
      <c r="H118" s="10">
        <f t="shared" si="62"/>
        <v>1200000</v>
      </c>
      <c r="I118" s="11">
        <f t="shared" si="62"/>
        <v>0</v>
      </c>
    </row>
    <row r="119" spans="3:9" x14ac:dyDescent="0.3">
      <c r="C119" s="9" t="s">
        <v>57</v>
      </c>
      <c r="D119" s="10">
        <f>D118*8%</f>
        <v>480000</v>
      </c>
      <c r="E119" s="10">
        <f t="shared" ref="E119:I119" si="63">E118*8%</f>
        <v>384000</v>
      </c>
      <c r="F119" s="10">
        <f t="shared" si="63"/>
        <v>288000</v>
      </c>
      <c r="G119" s="10">
        <f t="shared" si="63"/>
        <v>192000</v>
      </c>
      <c r="H119" s="10">
        <f t="shared" si="63"/>
        <v>96000</v>
      </c>
      <c r="I119" s="11">
        <f t="shared" si="63"/>
        <v>0</v>
      </c>
    </row>
    <row r="120" spans="3:9" x14ac:dyDescent="0.3">
      <c r="C120" s="9"/>
      <c r="D120" s="10"/>
      <c r="E120" s="10"/>
      <c r="F120" s="10"/>
      <c r="G120" s="10"/>
      <c r="H120" s="10"/>
      <c r="I120" s="11"/>
    </row>
    <row r="121" spans="3:9" x14ac:dyDescent="0.3">
      <c r="C121" s="9" t="s">
        <v>148</v>
      </c>
      <c r="D121" s="10"/>
      <c r="E121" s="10"/>
      <c r="F121" s="10"/>
      <c r="G121" s="10"/>
      <c r="H121" s="10"/>
      <c r="I121" s="11"/>
    </row>
    <row r="122" spans="3:9" x14ac:dyDescent="0.3">
      <c r="C122" s="9" t="s">
        <v>46</v>
      </c>
      <c r="D122" s="10">
        <v>0</v>
      </c>
      <c r="E122" s="10">
        <f>D125</f>
        <v>0</v>
      </c>
      <c r="F122" s="10">
        <f t="shared" ref="F122:I122" si="64">E125</f>
        <v>2000000</v>
      </c>
      <c r="G122" s="10">
        <f t="shared" si="64"/>
        <v>2000000</v>
      </c>
      <c r="H122" s="10">
        <f t="shared" si="64"/>
        <v>2000000</v>
      </c>
      <c r="I122" s="11">
        <f t="shared" si="64"/>
        <v>0</v>
      </c>
    </row>
    <row r="123" spans="3:9" x14ac:dyDescent="0.3">
      <c r="C123" s="9" t="s">
        <v>55</v>
      </c>
      <c r="D123" s="10">
        <v>0</v>
      </c>
      <c r="E123" s="10">
        <v>2000000</v>
      </c>
      <c r="F123" s="10">
        <v>0</v>
      </c>
      <c r="G123" s="10">
        <v>0</v>
      </c>
      <c r="H123" s="10">
        <v>0</v>
      </c>
      <c r="I123" s="11">
        <v>0</v>
      </c>
    </row>
    <row r="124" spans="3:9" x14ac:dyDescent="0.3">
      <c r="C124" s="9" t="s">
        <v>56</v>
      </c>
      <c r="D124" s="10">
        <v>0</v>
      </c>
      <c r="E124" s="10"/>
      <c r="F124" s="10"/>
      <c r="G124" s="10"/>
      <c r="H124" s="10">
        <v>2000000</v>
      </c>
      <c r="I124" s="11"/>
    </row>
    <row r="125" spans="3:9" x14ac:dyDescent="0.3">
      <c r="C125" s="9" t="s">
        <v>47</v>
      </c>
      <c r="D125" s="10">
        <f>D122+D123-D124</f>
        <v>0</v>
      </c>
      <c r="E125" s="10">
        <f t="shared" ref="E125:I125" si="65">E122+E123-E124</f>
        <v>2000000</v>
      </c>
      <c r="F125" s="10">
        <f t="shared" si="65"/>
        <v>2000000</v>
      </c>
      <c r="G125" s="10">
        <f t="shared" si="65"/>
        <v>2000000</v>
      </c>
      <c r="H125" s="10">
        <f t="shared" si="65"/>
        <v>0</v>
      </c>
      <c r="I125" s="11">
        <f t="shared" si="65"/>
        <v>0</v>
      </c>
    </row>
    <row r="126" spans="3:9" x14ac:dyDescent="0.3">
      <c r="C126" s="9" t="s">
        <v>57</v>
      </c>
      <c r="D126" s="10">
        <f>D125*8%</f>
        <v>0</v>
      </c>
      <c r="E126" s="10">
        <f t="shared" ref="E126:I126" si="66">E125*8%</f>
        <v>160000</v>
      </c>
      <c r="F126" s="10">
        <f t="shared" si="66"/>
        <v>160000</v>
      </c>
      <c r="G126" s="10">
        <f t="shared" si="66"/>
        <v>160000</v>
      </c>
      <c r="H126" s="10">
        <f t="shared" si="66"/>
        <v>0</v>
      </c>
      <c r="I126" s="11">
        <f t="shared" si="66"/>
        <v>0</v>
      </c>
    </row>
    <row r="127" spans="3:9" x14ac:dyDescent="0.3">
      <c r="C127" s="9"/>
      <c r="D127" s="10"/>
      <c r="E127" s="10"/>
      <c r="F127" s="10"/>
      <c r="G127" s="10"/>
      <c r="H127" s="10"/>
      <c r="I127" s="11"/>
    </row>
    <row r="128" spans="3:9" x14ac:dyDescent="0.3">
      <c r="C128" s="13" t="s">
        <v>58</v>
      </c>
      <c r="D128" s="14">
        <f>D119+D126</f>
        <v>480000</v>
      </c>
      <c r="E128" s="14">
        <f t="shared" ref="E128:I128" si="67">E119+E126</f>
        <v>544000</v>
      </c>
      <c r="F128" s="14">
        <f t="shared" si="67"/>
        <v>448000</v>
      </c>
      <c r="G128" s="14">
        <f t="shared" si="67"/>
        <v>352000</v>
      </c>
      <c r="H128" s="14">
        <f t="shared" si="67"/>
        <v>96000</v>
      </c>
      <c r="I128" s="15">
        <f t="shared" si="67"/>
        <v>0</v>
      </c>
    </row>
    <row r="131" spans="2:9" x14ac:dyDescent="0.3">
      <c r="C131" s="20" t="s">
        <v>59</v>
      </c>
      <c r="D131" s="7"/>
      <c r="E131" s="7"/>
      <c r="F131" s="7"/>
      <c r="G131" s="7"/>
      <c r="H131" s="7"/>
      <c r="I131" s="8"/>
    </row>
    <row r="132" spans="2:9" x14ac:dyDescent="0.3">
      <c r="C132" s="9" t="s">
        <v>13</v>
      </c>
      <c r="D132" s="10">
        <f>D23</f>
        <v>4695000</v>
      </c>
      <c r="E132" s="10">
        <f t="shared" ref="E132:I132" si="68">E23</f>
        <v>6864200</v>
      </c>
      <c r="F132" s="10">
        <f t="shared" si="68"/>
        <v>9431300</v>
      </c>
      <c r="G132" s="10">
        <f t="shared" si="68"/>
        <v>12632800</v>
      </c>
      <c r="H132" s="10">
        <f t="shared" si="68"/>
        <v>17315200</v>
      </c>
      <c r="I132" s="11">
        <f t="shared" si="68"/>
        <v>21140000</v>
      </c>
    </row>
    <row r="133" spans="2:9" x14ac:dyDescent="0.3">
      <c r="C133" s="9" t="s">
        <v>60</v>
      </c>
      <c r="D133" s="24">
        <v>0.25</v>
      </c>
      <c r="E133" s="24">
        <v>0.25</v>
      </c>
      <c r="F133" s="24">
        <v>0.25</v>
      </c>
      <c r="G133" s="24">
        <v>0.25</v>
      </c>
      <c r="H133" s="24">
        <v>0.25</v>
      </c>
      <c r="I133" s="25">
        <v>0.25</v>
      </c>
    </row>
    <row r="134" spans="2:9" x14ac:dyDescent="0.3">
      <c r="B134" t="s">
        <v>62</v>
      </c>
      <c r="C134" s="13" t="s">
        <v>61</v>
      </c>
      <c r="D134" s="14">
        <f>ROUND(D132*D133,-2)</f>
        <v>1173800</v>
      </c>
      <c r="E134" s="14">
        <f t="shared" ref="E134:I134" si="69">ROUND(E132*E133,-2)</f>
        <v>1716100</v>
      </c>
      <c r="F134" s="14">
        <f t="shared" si="69"/>
        <v>2357800</v>
      </c>
      <c r="G134" s="14">
        <f t="shared" si="69"/>
        <v>3158200</v>
      </c>
      <c r="H134" s="14">
        <f t="shared" si="69"/>
        <v>4328800</v>
      </c>
      <c r="I134" s="14">
        <f t="shared" si="69"/>
        <v>5285000</v>
      </c>
    </row>
    <row r="137" spans="2:9" x14ac:dyDescent="0.3">
      <c r="C137" s="20" t="s">
        <v>67</v>
      </c>
      <c r="D137" s="7"/>
      <c r="E137" s="7"/>
      <c r="F137" s="7"/>
      <c r="G137" s="7"/>
      <c r="H137" s="7"/>
      <c r="I137" s="8"/>
    </row>
    <row r="138" spans="2:9" x14ac:dyDescent="0.3">
      <c r="C138" s="9" t="s">
        <v>68</v>
      </c>
      <c r="D138" s="10"/>
      <c r="E138" s="10"/>
      <c r="F138" s="10"/>
      <c r="G138" s="10"/>
      <c r="H138" s="10"/>
      <c r="I138" s="11"/>
    </row>
    <row r="139" spans="2:9" x14ac:dyDescent="0.3">
      <c r="C139" s="9" t="s">
        <v>46</v>
      </c>
      <c r="D139" s="10">
        <f>0</f>
        <v>0</v>
      </c>
      <c r="E139" s="10">
        <f>D141</f>
        <v>500000</v>
      </c>
      <c r="F139" s="10">
        <f t="shared" ref="F139:I139" si="70">E141</f>
        <v>500000</v>
      </c>
      <c r="G139" s="10">
        <f t="shared" si="70"/>
        <v>500000</v>
      </c>
      <c r="H139" s="10">
        <f t="shared" si="70"/>
        <v>500000</v>
      </c>
      <c r="I139" s="11">
        <f t="shared" si="70"/>
        <v>500000</v>
      </c>
    </row>
    <row r="140" spans="2:9" x14ac:dyDescent="0.3">
      <c r="C140" s="9" t="s">
        <v>69</v>
      </c>
      <c r="D140" s="10">
        <v>500000</v>
      </c>
      <c r="E140" s="10">
        <f>0</f>
        <v>0</v>
      </c>
      <c r="F140" s="10">
        <f>0</f>
        <v>0</v>
      </c>
      <c r="G140" s="10">
        <f>0</f>
        <v>0</v>
      </c>
      <c r="H140" s="10">
        <f>0</f>
        <v>0</v>
      </c>
      <c r="I140" s="11">
        <f>0</f>
        <v>0</v>
      </c>
    </row>
    <row r="141" spans="2:9" x14ac:dyDescent="0.3">
      <c r="C141" s="9" t="s">
        <v>47</v>
      </c>
      <c r="D141" s="10">
        <f>D139+D140</f>
        <v>500000</v>
      </c>
      <c r="E141" s="10">
        <f t="shared" ref="E141:I141" si="71">E139+E140</f>
        <v>500000</v>
      </c>
      <c r="F141" s="10">
        <f t="shared" si="71"/>
        <v>500000</v>
      </c>
      <c r="G141" s="10">
        <f t="shared" si="71"/>
        <v>500000</v>
      </c>
      <c r="H141" s="10">
        <f t="shared" si="71"/>
        <v>500000</v>
      </c>
      <c r="I141" s="11">
        <f t="shared" si="71"/>
        <v>500000</v>
      </c>
    </row>
    <row r="142" spans="2:9" x14ac:dyDescent="0.3">
      <c r="C142" s="9" t="s">
        <v>70</v>
      </c>
      <c r="D142" s="10">
        <v>10</v>
      </c>
      <c r="E142" s="10">
        <v>10</v>
      </c>
      <c r="F142" s="10">
        <v>10</v>
      </c>
      <c r="G142" s="10">
        <v>10</v>
      </c>
      <c r="H142" s="10">
        <v>10</v>
      </c>
      <c r="I142" s="11">
        <v>10</v>
      </c>
    </row>
    <row r="143" spans="2:9" x14ac:dyDescent="0.3">
      <c r="C143" s="9" t="s">
        <v>67</v>
      </c>
      <c r="D143" s="10">
        <f>D141*D142</f>
        <v>5000000</v>
      </c>
      <c r="E143" s="10">
        <f t="shared" ref="E143:I143" si="72">E141*E142</f>
        <v>5000000</v>
      </c>
      <c r="F143" s="10">
        <f t="shared" si="72"/>
        <v>5000000</v>
      </c>
      <c r="G143" s="10">
        <f t="shared" si="72"/>
        <v>5000000</v>
      </c>
      <c r="H143" s="10">
        <f t="shared" si="72"/>
        <v>5000000</v>
      </c>
      <c r="I143" s="11">
        <f t="shared" si="72"/>
        <v>5000000</v>
      </c>
    </row>
    <row r="144" spans="2:9" x14ac:dyDescent="0.3">
      <c r="C144" s="9" t="s">
        <v>29</v>
      </c>
      <c r="D144" s="39">
        <v>2</v>
      </c>
      <c r="E144" s="39">
        <f>D144*110%</f>
        <v>2.2000000000000002</v>
      </c>
      <c r="F144" s="39">
        <f t="shared" ref="F144:I144" si="73">E144*110%</f>
        <v>2.4200000000000004</v>
      </c>
      <c r="G144" s="39">
        <f t="shared" si="73"/>
        <v>2.6620000000000008</v>
      </c>
      <c r="H144" s="39">
        <f t="shared" si="73"/>
        <v>2.9282000000000012</v>
      </c>
      <c r="I144" s="40">
        <f t="shared" si="73"/>
        <v>3.2210200000000015</v>
      </c>
    </row>
    <row r="145" spans="3:9" x14ac:dyDescent="0.3">
      <c r="C145" s="13" t="s">
        <v>71</v>
      </c>
      <c r="D145" s="14">
        <f>D141*D144</f>
        <v>1000000</v>
      </c>
      <c r="E145" s="14">
        <f t="shared" ref="E145:I145" si="74">E141*E144</f>
        <v>1100000</v>
      </c>
      <c r="F145" s="14">
        <f t="shared" si="74"/>
        <v>1210000.0000000002</v>
      </c>
      <c r="G145" s="14">
        <f t="shared" si="74"/>
        <v>1331000.0000000005</v>
      </c>
      <c r="H145" s="14">
        <f t="shared" si="74"/>
        <v>1464100.0000000007</v>
      </c>
      <c r="I145" s="15">
        <f t="shared" si="74"/>
        <v>1610510.0000000007</v>
      </c>
    </row>
    <row r="146" spans="3:9" x14ac:dyDescent="0.3">
      <c r="E146" s="26"/>
      <c r="F146" s="26"/>
      <c r="G146" s="26"/>
      <c r="H146" s="26"/>
      <c r="I146" s="26"/>
    </row>
    <row r="148" spans="3:9" x14ac:dyDescent="0.3">
      <c r="C148" s="20" t="s">
        <v>104</v>
      </c>
      <c r="D148" s="7"/>
      <c r="E148" s="7"/>
      <c r="F148" s="7"/>
      <c r="G148" s="7"/>
      <c r="H148" s="7"/>
      <c r="I148" s="8"/>
    </row>
    <row r="149" spans="3:9" x14ac:dyDescent="0.3">
      <c r="C149" s="9" t="s">
        <v>105</v>
      </c>
      <c r="D149" s="10"/>
      <c r="E149" s="10"/>
      <c r="F149" s="10"/>
      <c r="G149" s="10"/>
      <c r="H149" s="10"/>
      <c r="I149" s="11"/>
    </row>
    <row r="150" spans="3:9" x14ac:dyDescent="0.3">
      <c r="C150" s="9" t="s">
        <v>106</v>
      </c>
      <c r="D150" s="10"/>
      <c r="E150" s="10"/>
      <c r="F150" s="10"/>
      <c r="G150" s="10"/>
      <c r="H150" s="10"/>
      <c r="I150" s="11"/>
    </row>
    <row r="151" spans="3:9" x14ac:dyDescent="0.3">
      <c r="C151" s="9" t="s">
        <v>110</v>
      </c>
      <c r="D151" s="10">
        <v>0</v>
      </c>
      <c r="E151" s="10">
        <f>D154</f>
        <v>12000</v>
      </c>
      <c r="F151" s="10">
        <f t="shared" ref="F151:I151" si="75">E154</f>
        <v>12000</v>
      </c>
      <c r="G151" s="10">
        <f t="shared" si="75"/>
        <v>12000</v>
      </c>
      <c r="H151" s="10">
        <f t="shared" si="75"/>
        <v>15000</v>
      </c>
      <c r="I151" s="11">
        <f t="shared" si="75"/>
        <v>5000</v>
      </c>
    </row>
    <row r="152" spans="3:9" x14ac:dyDescent="0.3">
      <c r="C152" s="9" t="s">
        <v>111</v>
      </c>
      <c r="D152" s="10">
        <v>12000</v>
      </c>
      <c r="E152" s="10"/>
      <c r="F152" s="10"/>
      <c r="G152" s="10">
        <v>3000</v>
      </c>
      <c r="H152" s="10"/>
      <c r="I152" s="11"/>
    </row>
    <row r="153" spans="3:9" x14ac:dyDescent="0.3">
      <c r="C153" s="9" t="s">
        <v>112</v>
      </c>
      <c r="D153" s="10">
        <v>0</v>
      </c>
      <c r="E153" s="10">
        <v>0</v>
      </c>
      <c r="F153" s="10">
        <v>0</v>
      </c>
      <c r="G153" s="10">
        <v>0</v>
      </c>
      <c r="H153" s="10">
        <v>10000</v>
      </c>
      <c r="I153" s="11"/>
    </row>
    <row r="154" spans="3:9" x14ac:dyDescent="0.3">
      <c r="C154" s="9" t="s">
        <v>113</v>
      </c>
      <c r="D154" s="10">
        <f>D151+D152-D153</f>
        <v>12000</v>
      </c>
      <c r="E154" s="10">
        <f t="shared" ref="E154:I154" si="76">E151+E152-E153</f>
        <v>12000</v>
      </c>
      <c r="F154" s="10">
        <f t="shared" si="76"/>
        <v>12000</v>
      </c>
      <c r="G154" s="10">
        <f t="shared" si="76"/>
        <v>15000</v>
      </c>
      <c r="H154" s="10">
        <f t="shared" si="76"/>
        <v>5000</v>
      </c>
      <c r="I154" s="11">
        <f t="shared" si="76"/>
        <v>5000</v>
      </c>
    </row>
    <row r="155" spans="3:9" x14ac:dyDescent="0.3">
      <c r="C155" s="9" t="s">
        <v>116</v>
      </c>
      <c r="D155" s="10">
        <v>80</v>
      </c>
      <c r="E155" s="10">
        <v>80</v>
      </c>
      <c r="F155" s="10">
        <v>80</v>
      </c>
      <c r="G155" s="10">
        <v>150</v>
      </c>
      <c r="H155" s="10">
        <v>170</v>
      </c>
      <c r="I155" s="11">
        <v>80</v>
      </c>
    </row>
    <row r="156" spans="3:9" x14ac:dyDescent="0.3">
      <c r="C156" s="9"/>
      <c r="D156" s="10"/>
      <c r="E156" s="10"/>
      <c r="F156" s="10"/>
      <c r="G156" s="10"/>
      <c r="H156" s="10"/>
      <c r="I156" s="11"/>
    </row>
    <row r="157" spans="3:9" x14ac:dyDescent="0.3">
      <c r="C157" s="17" t="s">
        <v>107</v>
      </c>
      <c r="D157" s="10"/>
      <c r="E157" s="10"/>
      <c r="F157" s="10"/>
      <c r="G157" s="10"/>
      <c r="H157" s="10"/>
      <c r="I157" s="11"/>
    </row>
    <row r="158" spans="3:9" x14ac:dyDescent="0.3">
      <c r="C158" s="9" t="s">
        <v>114</v>
      </c>
      <c r="D158" s="10">
        <v>0</v>
      </c>
      <c r="E158" s="10">
        <f>D161</f>
        <v>960000</v>
      </c>
      <c r="F158" s="10">
        <f t="shared" ref="F158:I158" si="77">E161</f>
        <v>960000</v>
      </c>
      <c r="G158" s="10">
        <f t="shared" si="77"/>
        <v>960000</v>
      </c>
      <c r="H158" s="10">
        <f t="shared" si="77"/>
        <v>1410000</v>
      </c>
      <c r="I158" s="11">
        <f t="shared" si="77"/>
        <v>610000</v>
      </c>
    </row>
    <row r="159" spans="3:9" x14ac:dyDescent="0.3">
      <c r="C159" s="9" t="s">
        <v>115</v>
      </c>
      <c r="D159" s="10">
        <f>D152*D155</f>
        <v>960000</v>
      </c>
      <c r="E159" s="10">
        <f t="shared" ref="E159:I159" si="78">E152*E155</f>
        <v>0</v>
      </c>
      <c r="F159" s="10">
        <f t="shared" si="78"/>
        <v>0</v>
      </c>
      <c r="G159" s="10">
        <f t="shared" si="78"/>
        <v>450000</v>
      </c>
      <c r="H159" s="10">
        <f t="shared" si="78"/>
        <v>0</v>
      </c>
      <c r="I159" s="11">
        <f t="shared" si="78"/>
        <v>0</v>
      </c>
    </row>
    <row r="160" spans="3:9" x14ac:dyDescent="0.3">
      <c r="C160" s="9" t="s">
        <v>117</v>
      </c>
      <c r="D160" s="10">
        <f>D153*D155</f>
        <v>0</v>
      </c>
      <c r="E160" s="10">
        <f t="shared" ref="E160:I160" si="79">E153*E155</f>
        <v>0</v>
      </c>
      <c r="F160" s="10">
        <f t="shared" si="79"/>
        <v>0</v>
      </c>
      <c r="G160" s="10">
        <f t="shared" si="79"/>
        <v>0</v>
      </c>
      <c r="H160" s="10">
        <f>(H153*D155)</f>
        <v>800000</v>
      </c>
      <c r="I160" s="11">
        <f t="shared" si="79"/>
        <v>0</v>
      </c>
    </row>
    <row r="161" spans="3:9" x14ac:dyDescent="0.3">
      <c r="C161" s="9" t="s">
        <v>109</v>
      </c>
      <c r="D161" s="10">
        <f>D158+D159-D160</f>
        <v>960000</v>
      </c>
      <c r="E161" s="10">
        <f t="shared" ref="E161:I161" si="80">E158+E159-E160</f>
        <v>960000</v>
      </c>
      <c r="F161" s="10">
        <f t="shared" si="80"/>
        <v>960000</v>
      </c>
      <c r="G161" s="10">
        <f t="shared" si="80"/>
        <v>1410000</v>
      </c>
      <c r="H161" s="10">
        <f t="shared" si="80"/>
        <v>610000</v>
      </c>
      <c r="I161" s="11">
        <f t="shared" si="80"/>
        <v>610000</v>
      </c>
    </row>
    <row r="162" spans="3:9" x14ac:dyDescent="0.3">
      <c r="C162" s="9"/>
      <c r="D162" s="10"/>
      <c r="E162" s="10"/>
      <c r="F162" s="10"/>
      <c r="G162" s="10"/>
      <c r="H162" s="10"/>
      <c r="I162" s="11"/>
    </row>
    <row r="163" spans="3:9" x14ac:dyDescent="0.3">
      <c r="C163" s="9" t="s">
        <v>108</v>
      </c>
      <c r="D163" s="10">
        <f>D153*D155</f>
        <v>0</v>
      </c>
      <c r="E163" s="10">
        <f t="shared" ref="E163:I163" si="81">E153*E155</f>
        <v>0</v>
      </c>
      <c r="F163" s="10">
        <f t="shared" si="81"/>
        <v>0</v>
      </c>
      <c r="G163" s="10">
        <f t="shared" si="81"/>
        <v>0</v>
      </c>
      <c r="H163" s="10">
        <f t="shared" si="81"/>
        <v>1700000</v>
      </c>
      <c r="I163" s="11">
        <f t="shared" si="81"/>
        <v>0</v>
      </c>
    </row>
    <row r="164" spans="3:9" x14ac:dyDescent="0.3">
      <c r="C164" s="9" t="s">
        <v>117</v>
      </c>
      <c r="D164" s="10">
        <f>D160</f>
        <v>0</v>
      </c>
      <c r="E164" s="10">
        <f t="shared" ref="E164:I164" si="82">E160</f>
        <v>0</v>
      </c>
      <c r="F164" s="10">
        <f t="shared" si="82"/>
        <v>0</v>
      </c>
      <c r="G164" s="10">
        <f t="shared" si="82"/>
        <v>0</v>
      </c>
      <c r="H164" s="10">
        <f t="shared" si="82"/>
        <v>800000</v>
      </c>
      <c r="I164" s="11">
        <f t="shared" si="82"/>
        <v>0</v>
      </c>
    </row>
    <row r="165" spans="3:9" x14ac:dyDescent="0.3">
      <c r="C165" s="9" t="s">
        <v>118</v>
      </c>
      <c r="D165" s="10">
        <f>D163-D164</f>
        <v>0</v>
      </c>
      <c r="E165" s="10">
        <f t="shared" ref="E165:I165" si="83">E163-E164</f>
        <v>0</v>
      </c>
      <c r="F165" s="10">
        <f t="shared" si="83"/>
        <v>0</v>
      </c>
      <c r="G165" s="10">
        <f t="shared" si="83"/>
        <v>0</v>
      </c>
      <c r="H165" s="10">
        <f t="shared" si="83"/>
        <v>900000</v>
      </c>
      <c r="I165" s="11">
        <f t="shared" si="83"/>
        <v>0</v>
      </c>
    </row>
    <row r="166" spans="3:9" x14ac:dyDescent="0.3">
      <c r="C166" s="13"/>
      <c r="D166" s="14"/>
      <c r="E166" s="14"/>
      <c r="F166" s="14"/>
      <c r="G166" s="14"/>
      <c r="H166" s="14"/>
      <c r="I166" s="15"/>
    </row>
    <row r="169" spans="3:9" x14ac:dyDescent="0.3">
      <c r="C169" s="50" t="s">
        <v>126</v>
      </c>
      <c r="D169" s="7"/>
      <c r="E169" s="7"/>
      <c r="F169" s="7"/>
      <c r="G169" s="7"/>
      <c r="H169" s="7"/>
      <c r="I169" s="8"/>
    </row>
    <row r="170" spans="3:9" x14ac:dyDescent="0.3">
      <c r="C170" s="9" t="s">
        <v>122</v>
      </c>
      <c r="D170" s="10">
        <f>D12</f>
        <v>19770000</v>
      </c>
      <c r="E170" s="10">
        <f t="shared" ref="E170:I170" si="84">E12</f>
        <v>24230000</v>
      </c>
      <c r="F170" s="10">
        <f t="shared" si="84"/>
        <v>29400000</v>
      </c>
      <c r="G170" s="10">
        <f t="shared" si="84"/>
        <v>34600000</v>
      </c>
      <c r="H170" s="10">
        <f t="shared" si="84"/>
        <v>40890000</v>
      </c>
      <c r="I170" s="11">
        <f t="shared" si="84"/>
        <v>49390000</v>
      </c>
    </row>
    <row r="171" spans="3:9" x14ac:dyDescent="0.3">
      <c r="C171" s="9" t="s">
        <v>149</v>
      </c>
      <c r="D171" s="10">
        <f>D170*90%</f>
        <v>17793000</v>
      </c>
      <c r="E171" s="10">
        <f t="shared" ref="E171:I171" si="85">E170*90%</f>
        <v>21807000</v>
      </c>
      <c r="F171" s="10">
        <f t="shared" si="85"/>
        <v>26460000</v>
      </c>
      <c r="G171" s="10">
        <f t="shared" si="85"/>
        <v>31140000</v>
      </c>
      <c r="H171" s="10">
        <f t="shared" si="85"/>
        <v>36801000</v>
      </c>
      <c r="I171" s="11">
        <f t="shared" si="85"/>
        <v>44451000</v>
      </c>
    </row>
    <row r="172" spans="3:9" x14ac:dyDescent="0.3">
      <c r="C172" s="13" t="s">
        <v>150</v>
      </c>
      <c r="D172" s="14">
        <f>D170-D171</f>
        <v>1977000</v>
      </c>
      <c r="E172" s="14">
        <f t="shared" ref="E172:I172" si="86">E170-E171</f>
        <v>2423000</v>
      </c>
      <c r="F172" s="14">
        <f t="shared" si="86"/>
        <v>2940000</v>
      </c>
      <c r="G172" s="14">
        <f t="shared" si="86"/>
        <v>3460000</v>
      </c>
      <c r="H172" s="14">
        <f t="shared" si="86"/>
        <v>4089000</v>
      </c>
      <c r="I172" s="15">
        <f t="shared" si="86"/>
        <v>4939000</v>
      </c>
    </row>
    <row r="175" spans="3:9" x14ac:dyDescent="0.3">
      <c r="C175" s="50" t="s">
        <v>127</v>
      </c>
      <c r="D175" s="7"/>
      <c r="E175" s="7"/>
      <c r="F175" s="7"/>
      <c r="G175" s="7"/>
      <c r="H175" s="7"/>
      <c r="I175" s="8"/>
    </row>
    <row r="176" spans="3:9" x14ac:dyDescent="0.3">
      <c r="C176" s="9" t="s">
        <v>124</v>
      </c>
      <c r="D176" s="10">
        <f>D7</f>
        <v>21250000</v>
      </c>
      <c r="E176" s="10">
        <f t="shared" ref="E176:I176" si="87">E7</f>
        <v>26630000</v>
      </c>
      <c r="F176" s="10">
        <f t="shared" si="87"/>
        <v>32980000</v>
      </c>
      <c r="G176" s="10">
        <f t="shared" si="87"/>
        <v>40390000</v>
      </c>
      <c r="H176" s="10">
        <f t="shared" si="87"/>
        <v>50640000</v>
      </c>
      <c r="I176" s="11">
        <f t="shared" si="87"/>
        <v>62760000</v>
      </c>
    </row>
    <row r="177" spans="3:9" x14ac:dyDescent="0.3">
      <c r="C177" s="9" t="s">
        <v>145</v>
      </c>
      <c r="D177" s="10">
        <f>D176*98%</f>
        <v>20825000</v>
      </c>
      <c r="E177" s="10">
        <f t="shared" ref="E177:I177" si="88">E176*98%</f>
        <v>26097400</v>
      </c>
      <c r="F177" s="10">
        <f t="shared" si="88"/>
        <v>32320400</v>
      </c>
      <c r="G177" s="10">
        <f t="shared" si="88"/>
        <v>39582200</v>
      </c>
      <c r="H177" s="10">
        <f t="shared" si="88"/>
        <v>49627200</v>
      </c>
      <c r="I177" s="11">
        <f t="shared" si="88"/>
        <v>61504800</v>
      </c>
    </row>
    <row r="178" spans="3:9" x14ac:dyDescent="0.3">
      <c r="C178" s="13" t="s">
        <v>125</v>
      </c>
      <c r="D178" s="14">
        <f>D176-D177</f>
        <v>425000</v>
      </c>
      <c r="E178" s="14">
        <f t="shared" ref="E178:I178" si="89">E176-E177</f>
        <v>532600</v>
      </c>
      <c r="F178" s="14">
        <f t="shared" si="89"/>
        <v>659600</v>
      </c>
      <c r="G178" s="14">
        <f t="shared" si="89"/>
        <v>807800</v>
      </c>
      <c r="H178" s="14">
        <f t="shared" si="89"/>
        <v>1012800</v>
      </c>
      <c r="I178" s="15">
        <f t="shared" si="89"/>
        <v>1255200</v>
      </c>
    </row>
    <row r="180" spans="3:9" x14ac:dyDescent="0.3">
      <c r="C180" s="20" t="s">
        <v>121</v>
      </c>
      <c r="D180" s="7"/>
      <c r="E180" s="7"/>
      <c r="F180" s="7"/>
      <c r="G180" s="7"/>
      <c r="H180" s="7"/>
      <c r="I180" s="8"/>
    </row>
    <row r="181" spans="3:9" x14ac:dyDescent="0.3">
      <c r="C181" s="9" t="s">
        <v>46</v>
      </c>
      <c r="D181" s="10">
        <v>0</v>
      </c>
      <c r="E181" s="10">
        <f>D184</f>
        <v>1977000</v>
      </c>
      <c r="F181" s="10">
        <f t="shared" ref="F181:I181" si="90">E184</f>
        <v>4150000</v>
      </c>
      <c r="G181" s="10">
        <f t="shared" si="90"/>
        <v>6740000</v>
      </c>
      <c r="H181" s="10">
        <f t="shared" si="90"/>
        <v>9650000</v>
      </c>
      <c r="I181" s="11">
        <f t="shared" si="90"/>
        <v>12989000</v>
      </c>
    </row>
    <row r="182" spans="3:9" x14ac:dyDescent="0.3">
      <c r="C182" s="9" t="s">
        <v>128</v>
      </c>
      <c r="D182" s="10">
        <f>D172</f>
        <v>1977000</v>
      </c>
      <c r="E182" s="10">
        <f t="shared" ref="E182:I182" si="91">E172</f>
        <v>2423000</v>
      </c>
      <c r="F182" s="10">
        <f t="shared" si="91"/>
        <v>2940000</v>
      </c>
      <c r="G182" s="10">
        <f t="shared" si="91"/>
        <v>3460000</v>
      </c>
      <c r="H182" s="10">
        <f t="shared" si="91"/>
        <v>4089000</v>
      </c>
      <c r="I182" s="11">
        <f t="shared" si="91"/>
        <v>4939000</v>
      </c>
    </row>
    <row r="183" spans="3:9" x14ac:dyDescent="0.3">
      <c r="C183" s="9" t="s">
        <v>56</v>
      </c>
      <c r="D183" s="10">
        <v>0</v>
      </c>
      <c r="E183" s="10">
        <v>250000</v>
      </c>
      <c r="F183" s="10">
        <v>350000</v>
      </c>
      <c r="G183" s="10">
        <f t="shared" ref="G183:I183" si="92">F183+200000</f>
        <v>550000</v>
      </c>
      <c r="H183" s="10">
        <f t="shared" si="92"/>
        <v>750000</v>
      </c>
      <c r="I183" s="11">
        <f t="shared" si="92"/>
        <v>950000</v>
      </c>
    </row>
    <row r="184" spans="3:9" x14ac:dyDescent="0.3">
      <c r="C184" s="13" t="s">
        <v>47</v>
      </c>
      <c r="D184" s="14">
        <f>D181+D182-D183</f>
        <v>1977000</v>
      </c>
      <c r="E184" s="14">
        <f t="shared" ref="E184:I184" si="93">E181+E182-E183</f>
        <v>4150000</v>
      </c>
      <c r="F184" s="14">
        <f t="shared" si="93"/>
        <v>6740000</v>
      </c>
      <c r="G184" s="14">
        <f t="shared" si="93"/>
        <v>9650000</v>
      </c>
      <c r="H184" s="14">
        <f t="shared" si="93"/>
        <v>12989000</v>
      </c>
      <c r="I184" s="15">
        <f t="shared" si="93"/>
        <v>16978000</v>
      </c>
    </row>
    <row r="187" spans="3:9" x14ac:dyDescent="0.3">
      <c r="C187" s="20" t="s">
        <v>123</v>
      </c>
      <c r="D187" s="7"/>
      <c r="E187" s="7"/>
      <c r="F187" s="7"/>
      <c r="G187" s="7"/>
      <c r="H187" s="7"/>
      <c r="I187" s="8"/>
    </row>
    <row r="188" spans="3:9" x14ac:dyDescent="0.3">
      <c r="C188" s="9" t="s">
        <v>46</v>
      </c>
      <c r="D188" s="10">
        <v>0</v>
      </c>
      <c r="E188" s="10">
        <f>D191</f>
        <v>425000</v>
      </c>
      <c r="F188" s="10">
        <f t="shared" ref="F188:I188" si="94">E191</f>
        <v>357600</v>
      </c>
      <c r="G188" s="10">
        <f t="shared" si="94"/>
        <v>117200</v>
      </c>
      <c r="H188" s="10">
        <f t="shared" si="94"/>
        <v>175000</v>
      </c>
      <c r="I188" s="11">
        <f t="shared" si="94"/>
        <v>137800</v>
      </c>
    </row>
    <row r="189" spans="3:9" x14ac:dyDescent="0.3">
      <c r="C189" s="9" t="s">
        <v>128</v>
      </c>
      <c r="D189" s="10">
        <f>D178</f>
        <v>425000</v>
      </c>
      <c r="E189" s="10">
        <f t="shared" ref="E189:I189" si="95">E178</f>
        <v>532600</v>
      </c>
      <c r="F189" s="10">
        <f t="shared" si="95"/>
        <v>659600</v>
      </c>
      <c r="G189" s="10">
        <f t="shared" si="95"/>
        <v>807800</v>
      </c>
      <c r="H189" s="10">
        <f t="shared" si="95"/>
        <v>1012800</v>
      </c>
      <c r="I189" s="11">
        <f t="shared" si="95"/>
        <v>1255200</v>
      </c>
    </row>
    <row r="190" spans="3:9" x14ac:dyDescent="0.3">
      <c r="C190" s="9" t="s">
        <v>129</v>
      </c>
      <c r="D190" s="10">
        <v>0</v>
      </c>
      <c r="E190" s="10">
        <v>600000</v>
      </c>
      <c r="F190" s="10">
        <v>900000</v>
      </c>
      <c r="G190" s="10">
        <v>750000</v>
      </c>
      <c r="H190" s="10">
        <v>1050000</v>
      </c>
      <c r="I190" s="11">
        <v>1150000</v>
      </c>
    </row>
    <row r="191" spans="3:9" x14ac:dyDescent="0.3">
      <c r="C191" s="13" t="s">
        <v>47</v>
      </c>
      <c r="D191" s="14">
        <f>D188+D189-D190</f>
        <v>425000</v>
      </c>
      <c r="E191" s="14">
        <f t="shared" ref="E191" si="96">E188+E189-E190</f>
        <v>357600</v>
      </c>
      <c r="F191" s="14">
        <f t="shared" ref="F191" si="97">F188+F189-F190</f>
        <v>117200</v>
      </c>
      <c r="G191" s="14">
        <f t="shared" ref="G191" si="98">G188+G189-G190</f>
        <v>175000</v>
      </c>
      <c r="H191" s="14">
        <f t="shared" ref="H191" si="99">H188+H189-H190</f>
        <v>137800</v>
      </c>
      <c r="I191" s="15">
        <f t="shared" ref="I191" si="100">I188+I189-I190</f>
        <v>243000</v>
      </c>
    </row>
    <row r="195" spans="3:9" x14ac:dyDescent="0.3">
      <c r="C195" s="20" t="s">
        <v>130</v>
      </c>
      <c r="D195" s="7"/>
      <c r="E195" s="7"/>
      <c r="F195" s="7"/>
      <c r="G195" s="7"/>
      <c r="H195" s="7"/>
      <c r="I195" s="8"/>
    </row>
    <row r="196" spans="3:9" x14ac:dyDescent="0.3">
      <c r="C196" s="9" t="s">
        <v>67</v>
      </c>
      <c r="D196" s="10">
        <f>D143</f>
        <v>5000000</v>
      </c>
      <c r="E196" s="10">
        <f>E143-D143</f>
        <v>0</v>
      </c>
      <c r="F196" s="10">
        <f>F143-E143</f>
        <v>0</v>
      </c>
      <c r="G196" s="10">
        <f>G143-F143</f>
        <v>0</v>
      </c>
      <c r="H196" s="10">
        <f>H143-G143</f>
        <v>0</v>
      </c>
      <c r="I196" s="11">
        <f>I143-H143</f>
        <v>0</v>
      </c>
    </row>
    <row r="197" spans="3:9" x14ac:dyDescent="0.3">
      <c r="C197" s="9" t="s">
        <v>188</v>
      </c>
      <c r="D197" s="10">
        <f>D116+D123</f>
        <v>6000000</v>
      </c>
      <c r="E197" s="10">
        <f t="shared" ref="E197:I197" si="101">E116+E123</f>
        <v>2000000</v>
      </c>
      <c r="F197" s="10">
        <f t="shared" si="101"/>
        <v>0</v>
      </c>
      <c r="G197" s="10">
        <f t="shared" si="101"/>
        <v>0</v>
      </c>
      <c r="H197" s="10">
        <f t="shared" si="101"/>
        <v>0</v>
      </c>
      <c r="I197" s="10">
        <f t="shared" si="101"/>
        <v>0</v>
      </c>
    </row>
    <row r="198" spans="3:9" x14ac:dyDescent="0.3">
      <c r="C198" s="9" t="s">
        <v>189</v>
      </c>
      <c r="D198" s="10">
        <f>-D117-D124</f>
        <v>0</v>
      </c>
      <c r="E198" s="10">
        <f t="shared" ref="E198:I198" si="102">-E117-E124</f>
        <v>-1200000</v>
      </c>
      <c r="F198" s="10">
        <f t="shared" si="102"/>
        <v>-1200000</v>
      </c>
      <c r="G198" s="10">
        <f t="shared" si="102"/>
        <v>-1200000</v>
      </c>
      <c r="H198" s="10">
        <f t="shared" si="102"/>
        <v>-3200000</v>
      </c>
      <c r="I198" s="10">
        <f t="shared" si="102"/>
        <v>-1200000</v>
      </c>
    </row>
    <row r="199" spans="3:9" x14ac:dyDescent="0.3">
      <c r="C199" s="9" t="s">
        <v>136</v>
      </c>
      <c r="D199" s="10">
        <f t="shared" ref="D199:I199" si="103">-D159</f>
        <v>-960000</v>
      </c>
      <c r="E199" s="10">
        <f t="shared" si="103"/>
        <v>0</v>
      </c>
      <c r="F199" s="10">
        <f t="shared" si="103"/>
        <v>0</v>
      </c>
      <c r="G199" s="10">
        <f t="shared" si="103"/>
        <v>-450000</v>
      </c>
      <c r="H199" s="10">
        <f t="shared" si="103"/>
        <v>0</v>
      </c>
      <c r="I199" s="11">
        <f t="shared" si="103"/>
        <v>0</v>
      </c>
    </row>
    <row r="200" spans="3:9" x14ac:dyDescent="0.3">
      <c r="C200" s="9" t="s">
        <v>137</v>
      </c>
      <c r="D200" s="10">
        <f t="shared" ref="D200:I200" si="104">D163</f>
        <v>0</v>
      </c>
      <c r="E200" s="10">
        <f t="shared" si="104"/>
        <v>0</v>
      </c>
      <c r="F200" s="10">
        <f t="shared" si="104"/>
        <v>0</v>
      </c>
      <c r="G200" s="10">
        <f t="shared" si="104"/>
        <v>0</v>
      </c>
      <c r="H200" s="10">
        <f t="shared" si="104"/>
        <v>1700000</v>
      </c>
      <c r="I200" s="11">
        <f t="shared" si="104"/>
        <v>0</v>
      </c>
    </row>
    <row r="201" spans="3:9" x14ac:dyDescent="0.3">
      <c r="C201" s="9" t="s">
        <v>131</v>
      </c>
      <c r="D201" s="10">
        <f t="shared" ref="D201:I201" si="105">-(D96+D105)</f>
        <v>-8500000</v>
      </c>
      <c r="E201" s="10">
        <f t="shared" si="105"/>
        <v>0</v>
      </c>
      <c r="F201" s="10">
        <f t="shared" si="105"/>
        <v>-600000</v>
      </c>
      <c r="G201" s="10">
        <f t="shared" si="105"/>
        <v>0</v>
      </c>
      <c r="H201" s="10">
        <f t="shared" si="105"/>
        <v>0</v>
      </c>
      <c r="I201" s="11">
        <f t="shared" si="105"/>
        <v>0</v>
      </c>
    </row>
    <row r="202" spans="3:9" x14ac:dyDescent="0.3">
      <c r="C202" s="9" t="s">
        <v>132</v>
      </c>
      <c r="D202" s="10">
        <f t="shared" ref="D202:I202" si="106">D177</f>
        <v>20825000</v>
      </c>
      <c r="E202" s="10">
        <f t="shared" si="106"/>
        <v>26097400</v>
      </c>
      <c r="F202" s="10">
        <f t="shared" si="106"/>
        <v>32320400</v>
      </c>
      <c r="G202" s="10">
        <f t="shared" si="106"/>
        <v>39582200</v>
      </c>
      <c r="H202" s="10">
        <f t="shared" si="106"/>
        <v>49627200</v>
      </c>
      <c r="I202" s="11">
        <f t="shared" si="106"/>
        <v>61504800</v>
      </c>
    </row>
    <row r="203" spans="3:9" x14ac:dyDescent="0.3">
      <c r="C203" s="9" t="s">
        <v>133</v>
      </c>
      <c r="D203" s="10">
        <f t="shared" ref="D203:I203" si="107">-D171</f>
        <v>-17793000</v>
      </c>
      <c r="E203" s="10">
        <f t="shared" si="107"/>
        <v>-21807000</v>
      </c>
      <c r="F203" s="10">
        <f t="shared" si="107"/>
        <v>-26460000</v>
      </c>
      <c r="G203" s="10">
        <f t="shared" si="107"/>
        <v>-31140000</v>
      </c>
      <c r="H203" s="10">
        <f t="shared" si="107"/>
        <v>-36801000</v>
      </c>
      <c r="I203" s="11">
        <f t="shared" si="107"/>
        <v>-44451000</v>
      </c>
    </row>
    <row r="204" spans="3:9" x14ac:dyDescent="0.3">
      <c r="C204" s="9" t="s">
        <v>134</v>
      </c>
      <c r="D204" s="10">
        <f t="shared" ref="D204:I204" si="108">D190</f>
        <v>0</v>
      </c>
      <c r="E204" s="10">
        <f t="shared" si="108"/>
        <v>600000</v>
      </c>
      <c r="F204" s="10">
        <f t="shared" si="108"/>
        <v>900000</v>
      </c>
      <c r="G204" s="10">
        <f t="shared" si="108"/>
        <v>750000</v>
      </c>
      <c r="H204" s="10">
        <f t="shared" si="108"/>
        <v>1050000</v>
      </c>
      <c r="I204" s="11">
        <f t="shared" si="108"/>
        <v>1150000</v>
      </c>
    </row>
    <row r="205" spans="3:9" x14ac:dyDescent="0.3">
      <c r="C205" s="9" t="s">
        <v>135</v>
      </c>
      <c r="D205" s="10">
        <f t="shared" ref="D205:I205" si="109">-D183</f>
        <v>0</v>
      </c>
      <c r="E205" s="10">
        <f t="shared" si="109"/>
        <v>-250000</v>
      </c>
      <c r="F205" s="10">
        <f t="shared" si="109"/>
        <v>-350000</v>
      </c>
      <c r="G205" s="10">
        <f t="shared" si="109"/>
        <v>-550000</v>
      </c>
      <c r="H205" s="10">
        <f t="shared" si="109"/>
        <v>-750000</v>
      </c>
      <c r="I205" s="11">
        <f t="shared" si="109"/>
        <v>-950000</v>
      </c>
    </row>
    <row r="206" spans="3:9" x14ac:dyDescent="0.3">
      <c r="C206" s="9" t="s">
        <v>138</v>
      </c>
      <c r="D206" s="10">
        <f t="shared" ref="D206:I206" si="110">D47</f>
        <v>600000</v>
      </c>
      <c r="E206" s="10">
        <f t="shared" si="110"/>
        <v>720000</v>
      </c>
      <c r="F206" s="10">
        <f t="shared" si="110"/>
        <v>840000</v>
      </c>
      <c r="G206" s="10">
        <f t="shared" si="110"/>
        <v>1200000</v>
      </c>
      <c r="H206" s="10">
        <f t="shared" si="110"/>
        <v>450000</v>
      </c>
      <c r="I206" s="11">
        <f t="shared" si="110"/>
        <v>500000</v>
      </c>
    </row>
    <row r="207" spans="3:9" x14ac:dyDescent="0.3">
      <c r="C207" s="9" t="s">
        <v>64</v>
      </c>
      <c r="D207" s="10">
        <f t="shared" ref="D207:I207" si="111">-D26</f>
        <v>-1000000</v>
      </c>
      <c r="E207" s="10">
        <f t="shared" si="111"/>
        <v>-1100000</v>
      </c>
      <c r="F207" s="10">
        <f t="shared" si="111"/>
        <v>-1210000.0000000002</v>
      </c>
      <c r="G207" s="10">
        <f t="shared" si="111"/>
        <v>-1331000.0000000005</v>
      </c>
      <c r="H207" s="10">
        <f t="shared" si="111"/>
        <v>-1464100.0000000007</v>
      </c>
      <c r="I207" s="11">
        <f t="shared" si="111"/>
        <v>-1610510.0000000007</v>
      </c>
    </row>
    <row r="208" spans="3:9" x14ac:dyDescent="0.3">
      <c r="C208" s="9" t="s">
        <v>142</v>
      </c>
      <c r="D208" s="10">
        <f t="shared" ref="D208:I208" si="112">-D24</f>
        <v>-1173800</v>
      </c>
      <c r="E208" s="10">
        <f t="shared" si="112"/>
        <v>-1716100</v>
      </c>
      <c r="F208" s="10">
        <f t="shared" si="112"/>
        <v>-2357800</v>
      </c>
      <c r="G208" s="10">
        <f t="shared" si="112"/>
        <v>-3158200</v>
      </c>
      <c r="H208" s="10">
        <f t="shared" si="112"/>
        <v>-4328800</v>
      </c>
      <c r="I208" s="11">
        <f t="shared" si="112"/>
        <v>-5285000</v>
      </c>
    </row>
    <row r="209" spans="3:9" x14ac:dyDescent="0.3">
      <c r="C209" s="9" t="s">
        <v>143</v>
      </c>
      <c r="D209" s="10">
        <f t="shared" ref="D209:I209" si="113">-D17</f>
        <v>-600000</v>
      </c>
      <c r="E209" s="10">
        <f t="shared" si="113"/>
        <v>-753000</v>
      </c>
      <c r="F209" s="10">
        <f t="shared" si="113"/>
        <v>-934300</v>
      </c>
      <c r="G209" s="10">
        <f t="shared" si="113"/>
        <v>-1146600</v>
      </c>
      <c r="H209" s="10">
        <f t="shared" si="113"/>
        <v>-1440000</v>
      </c>
      <c r="I209" s="11">
        <f t="shared" si="113"/>
        <v>-1785600</v>
      </c>
    </row>
    <row r="210" spans="3:9" x14ac:dyDescent="0.3">
      <c r="C210" s="9" t="s">
        <v>144</v>
      </c>
      <c r="D210" s="10">
        <f t="shared" ref="D210:I210" si="114">-D21</f>
        <v>-480000</v>
      </c>
      <c r="E210" s="10">
        <f t="shared" si="114"/>
        <v>-544000</v>
      </c>
      <c r="F210" s="10">
        <f t="shared" si="114"/>
        <v>-448000</v>
      </c>
      <c r="G210" s="10">
        <f t="shared" si="114"/>
        <v>-352000</v>
      </c>
      <c r="H210" s="10">
        <f t="shared" si="114"/>
        <v>-96000</v>
      </c>
      <c r="I210" s="11">
        <f t="shared" si="114"/>
        <v>0</v>
      </c>
    </row>
    <row r="211" spans="3:9" x14ac:dyDescent="0.3">
      <c r="C211" s="9"/>
      <c r="D211" s="10"/>
      <c r="E211" s="10"/>
      <c r="F211" s="10"/>
      <c r="G211" s="10"/>
      <c r="H211" s="10"/>
      <c r="I211" s="11"/>
    </row>
    <row r="212" spans="3:9" x14ac:dyDescent="0.3">
      <c r="C212" s="56" t="s">
        <v>139</v>
      </c>
      <c r="D212" s="55">
        <f>SUM(D196:D211)</f>
        <v>1918200</v>
      </c>
      <c r="E212" s="55">
        <f t="shared" ref="E212:I212" si="115">SUM(E196:E211)</f>
        <v>2047300</v>
      </c>
      <c r="F212" s="55">
        <f t="shared" si="115"/>
        <v>500300</v>
      </c>
      <c r="G212" s="55">
        <f t="shared" si="115"/>
        <v>2204400</v>
      </c>
      <c r="H212" s="55">
        <f t="shared" si="115"/>
        <v>4747300</v>
      </c>
      <c r="I212" s="36">
        <f t="shared" si="115"/>
        <v>7872690</v>
      </c>
    </row>
    <row r="216" spans="3:9" x14ac:dyDescent="0.3">
      <c r="C216" s="20" t="s">
        <v>140</v>
      </c>
      <c r="D216" s="7"/>
      <c r="E216" s="7"/>
      <c r="F216" s="7"/>
      <c r="G216" s="7"/>
      <c r="H216" s="7"/>
      <c r="I216" s="8"/>
    </row>
    <row r="217" spans="3:9" x14ac:dyDescent="0.3">
      <c r="C217" s="9" t="s">
        <v>46</v>
      </c>
      <c r="D217" s="10">
        <v>0</v>
      </c>
      <c r="E217" s="10">
        <f>D220</f>
        <v>2521200</v>
      </c>
      <c r="F217" s="10">
        <f t="shared" ref="F217:I217" si="116">E220</f>
        <v>6569300</v>
      </c>
      <c r="G217" s="10">
        <f t="shared" si="116"/>
        <v>12432800</v>
      </c>
      <c r="H217" s="10">
        <f t="shared" si="116"/>
        <v>20576400</v>
      </c>
      <c r="I217" s="11">
        <f t="shared" si="116"/>
        <v>32098700</v>
      </c>
    </row>
    <row r="218" spans="3:9" x14ac:dyDescent="0.3">
      <c r="C218" s="9" t="s">
        <v>55</v>
      </c>
      <c r="D218" s="10">
        <f>D27</f>
        <v>2521200</v>
      </c>
      <c r="E218" s="10">
        <f t="shared" ref="E218:I218" si="117">E27</f>
        <v>4048100</v>
      </c>
      <c r="F218" s="10">
        <f t="shared" si="117"/>
        <v>5863500</v>
      </c>
      <c r="G218" s="10">
        <f t="shared" si="117"/>
        <v>8143600</v>
      </c>
      <c r="H218" s="10">
        <f t="shared" si="117"/>
        <v>11522300</v>
      </c>
      <c r="I218" s="11">
        <f t="shared" si="117"/>
        <v>14244490</v>
      </c>
    </row>
    <row r="219" spans="3:9" x14ac:dyDescent="0.3">
      <c r="C219" s="9" t="s">
        <v>141</v>
      </c>
      <c r="D219" s="10">
        <v>0</v>
      </c>
      <c r="E219" s="10"/>
      <c r="F219" s="10"/>
      <c r="G219" s="10"/>
      <c r="H219" s="10"/>
      <c r="I219" s="11"/>
    </row>
    <row r="220" spans="3:9" x14ac:dyDescent="0.3">
      <c r="C220" s="13" t="s">
        <v>47</v>
      </c>
      <c r="D220" s="14">
        <f>D217+D218-D219</f>
        <v>2521200</v>
      </c>
      <c r="E220" s="14">
        <f t="shared" ref="E220:I220" si="118">E217+E218-E219</f>
        <v>6569300</v>
      </c>
      <c r="F220" s="14">
        <f t="shared" si="118"/>
        <v>12432800</v>
      </c>
      <c r="G220" s="14">
        <f t="shared" si="118"/>
        <v>20576400</v>
      </c>
      <c r="H220" s="14">
        <f t="shared" si="118"/>
        <v>32098700</v>
      </c>
      <c r="I220" s="15">
        <f t="shared" si="118"/>
        <v>46343190</v>
      </c>
    </row>
    <row r="222" spans="3:9" x14ac:dyDescent="0.3">
      <c r="D222" s="4">
        <f>'Q3Bal Sheet'!D39</f>
        <v>0</v>
      </c>
      <c r="E222" s="4">
        <f>'Q3Bal Sheet'!E39</f>
        <v>0</v>
      </c>
      <c r="F222" s="4">
        <f>'Q3Bal Sheet'!F39</f>
        <v>0</v>
      </c>
      <c r="G222" s="4">
        <f>'Q3Bal Sheet'!G39</f>
        <v>0</v>
      </c>
      <c r="H222" s="4">
        <f>'Q3Bal Sheet'!H39</f>
        <v>0</v>
      </c>
      <c r="I222" s="4">
        <f>'Q3Bal Sheet'!I39</f>
        <v>0</v>
      </c>
    </row>
    <row r="223" spans="3:9" x14ac:dyDescent="0.3">
      <c r="C223" s="23" t="s">
        <v>146</v>
      </c>
      <c r="D223" s="7">
        <v>0</v>
      </c>
      <c r="E223" s="7">
        <v>2100000</v>
      </c>
      <c r="F223" s="7">
        <v>4185700</v>
      </c>
      <c r="G223" s="7">
        <v>4757800</v>
      </c>
      <c r="H223" s="7">
        <v>6857800</v>
      </c>
      <c r="I223" s="8">
        <v>11490200</v>
      </c>
    </row>
    <row r="224" spans="3:9" x14ac:dyDescent="0.3">
      <c r="C224" s="13" t="s">
        <v>147</v>
      </c>
      <c r="D224" s="14">
        <v>0</v>
      </c>
      <c r="E224" s="14">
        <v>181800</v>
      </c>
      <c r="F224" s="14">
        <v>220200</v>
      </c>
      <c r="G224" s="14">
        <v>292000</v>
      </c>
      <c r="H224" s="14">
        <v>187600</v>
      </c>
      <c r="I224" s="15">
        <v>72700</v>
      </c>
    </row>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48918-A883-46C2-9251-68B5E7347DF7}">
  <dimension ref="B4:S80"/>
  <sheetViews>
    <sheetView topLeftCell="A58" workbookViewId="0">
      <selection activeCell="D81" sqref="D81"/>
    </sheetView>
  </sheetViews>
  <sheetFormatPr defaultRowHeight="13.2" x14ac:dyDescent="0.3"/>
  <cols>
    <col min="1" max="3" width="8.88671875" style="146"/>
    <col min="4" max="4" width="56.33203125" style="146" customWidth="1"/>
    <col min="5" max="6" width="8.88671875" style="146"/>
    <col min="7" max="7" width="9.44140625" style="146" bestFit="1" customWidth="1"/>
    <col min="8" max="8" width="14.5546875" style="146" bestFit="1" customWidth="1"/>
    <col min="9" max="18" width="10.21875" style="146" bestFit="1" customWidth="1"/>
    <col min="19" max="16384" width="8.88671875" style="146"/>
  </cols>
  <sheetData>
    <row r="4" spans="2:4" x14ac:dyDescent="0.3">
      <c r="B4" s="146" t="s">
        <v>347</v>
      </c>
    </row>
    <row r="5" spans="2:4" ht="39.6" x14ac:dyDescent="0.3">
      <c r="B5" s="146">
        <v>1</v>
      </c>
      <c r="C5" s="146">
        <v>1</v>
      </c>
      <c r="D5" s="147" t="s">
        <v>327</v>
      </c>
    </row>
    <row r="6" spans="2:4" x14ac:dyDescent="0.3">
      <c r="D6" s="146" t="s">
        <v>328</v>
      </c>
    </row>
    <row r="7" spans="2:4" x14ac:dyDescent="0.3">
      <c r="D7" s="146" t="s">
        <v>329</v>
      </c>
    </row>
    <row r="8" spans="2:4" x14ac:dyDescent="0.3">
      <c r="D8" s="146" t="s">
        <v>330</v>
      </c>
    </row>
    <row r="10" spans="2:4" x14ac:dyDescent="0.3">
      <c r="B10" s="146">
        <v>1</v>
      </c>
      <c r="C10" s="146">
        <v>2</v>
      </c>
      <c r="D10" s="146" t="s">
        <v>332</v>
      </c>
    </row>
    <row r="11" spans="2:4" x14ac:dyDescent="0.3">
      <c r="D11" s="146" t="s">
        <v>333</v>
      </c>
    </row>
    <row r="12" spans="2:4" x14ac:dyDescent="0.3">
      <c r="D12" s="146" t="s">
        <v>334</v>
      </c>
    </row>
    <row r="13" spans="2:4" x14ac:dyDescent="0.3">
      <c r="D13" s="146" t="s">
        <v>335</v>
      </c>
    </row>
    <row r="14" spans="2:4" x14ac:dyDescent="0.3">
      <c r="D14" s="146" t="s">
        <v>336</v>
      </c>
    </row>
    <row r="16" spans="2:4" x14ac:dyDescent="0.3">
      <c r="B16" s="146">
        <v>2</v>
      </c>
      <c r="C16" s="146">
        <v>3</v>
      </c>
      <c r="D16" s="146" t="s">
        <v>337</v>
      </c>
    </row>
    <row r="17" spans="2:7" x14ac:dyDescent="0.3">
      <c r="D17" s="146" t="s">
        <v>340</v>
      </c>
    </row>
    <row r="18" spans="2:7" x14ac:dyDescent="0.3">
      <c r="D18" s="146" t="s">
        <v>338</v>
      </c>
      <c r="G18" s="149"/>
    </row>
    <row r="19" spans="2:7" x14ac:dyDescent="0.3">
      <c r="D19" s="146" t="s">
        <v>339</v>
      </c>
      <c r="G19" s="149"/>
    </row>
    <row r="20" spans="2:7" x14ac:dyDescent="0.3">
      <c r="D20" s="146" t="s">
        <v>341</v>
      </c>
    </row>
    <row r="22" spans="2:7" x14ac:dyDescent="0.3">
      <c r="B22" s="146">
        <v>1</v>
      </c>
      <c r="C22" s="146">
        <v>4</v>
      </c>
      <c r="D22" s="146" t="s">
        <v>342</v>
      </c>
    </row>
    <row r="23" spans="2:7" x14ac:dyDescent="0.3">
      <c r="D23" s="146" t="s">
        <v>346</v>
      </c>
    </row>
    <row r="24" spans="2:7" x14ac:dyDescent="0.3">
      <c r="D24" s="146" t="s">
        <v>344</v>
      </c>
      <c r="G24" s="150"/>
    </row>
    <row r="25" spans="2:7" x14ac:dyDescent="0.3">
      <c r="D25" s="146" t="s">
        <v>345</v>
      </c>
    </row>
    <row r="26" spans="2:7" x14ac:dyDescent="0.3">
      <c r="D26" s="146" t="s">
        <v>343</v>
      </c>
    </row>
    <row r="28" spans="2:7" x14ac:dyDescent="0.3">
      <c r="B28" s="146">
        <v>2</v>
      </c>
      <c r="C28" s="146">
        <v>5</v>
      </c>
      <c r="D28" s="146" t="s">
        <v>348</v>
      </c>
    </row>
    <row r="29" spans="2:7" x14ac:dyDescent="0.3">
      <c r="D29" s="146" t="s">
        <v>349</v>
      </c>
    </row>
    <row r="30" spans="2:7" x14ac:dyDescent="0.3">
      <c r="D30" s="146" t="s">
        <v>350</v>
      </c>
    </row>
    <row r="31" spans="2:7" x14ac:dyDescent="0.3">
      <c r="D31" s="146" t="s">
        <v>351</v>
      </c>
    </row>
    <row r="32" spans="2:7" x14ac:dyDescent="0.3">
      <c r="D32" s="146" t="s">
        <v>352</v>
      </c>
    </row>
    <row r="34" spans="2:11" x14ac:dyDescent="0.3">
      <c r="B34" s="146">
        <v>1</v>
      </c>
      <c r="C34" s="146">
        <v>6</v>
      </c>
      <c r="D34" s="146" t="s">
        <v>353</v>
      </c>
    </row>
    <row r="35" spans="2:11" x14ac:dyDescent="0.3">
      <c r="D35" s="146" t="s">
        <v>354</v>
      </c>
    </row>
    <row r="36" spans="2:11" x14ac:dyDescent="0.3">
      <c r="D36" s="146" t="s">
        <v>355</v>
      </c>
    </row>
    <row r="37" spans="2:11" x14ac:dyDescent="0.3">
      <c r="D37" s="146" t="s">
        <v>356</v>
      </c>
    </row>
    <row r="38" spans="2:11" x14ac:dyDescent="0.3">
      <c r="D38" s="146" t="s">
        <v>357</v>
      </c>
    </row>
    <row r="40" spans="2:11" ht="52.8" x14ac:dyDescent="0.3">
      <c r="B40" s="146">
        <v>2</v>
      </c>
      <c r="C40" s="146">
        <v>7</v>
      </c>
      <c r="D40" s="147" t="s">
        <v>358</v>
      </c>
    </row>
    <row r="41" spans="2:11" x14ac:dyDescent="0.3">
      <c r="D41" s="146" t="s">
        <v>361</v>
      </c>
    </row>
    <row r="42" spans="2:11" x14ac:dyDescent="0.3">
      <c r="D42" s="146" t="s">
        <v>362</v>
      </c>
      <c r="H42" s="146" t="s">
        <v>359</v>
      </c>
      <c r="I42" s="151">
        <v>0.7</v>
      </c>
      <c r="J42" s="151">
        <v>0.1</v>
      </c>
      <c r="K42" s="148">
        <f>I42*J42</f>
        <v>6.9999999999999993E-2</v>
      </c>
    </row>
    <row r="43" spans="2:11" x14ac:dyDescent="0.3">
      <c r="D43" s="146" t="s">
        <v>364</v>
      </c>
      <c r="H43" s="146" t="s">
        <v>360</v>
      </c>
      <c r="I43" s="151">
        <v>0.3</v>
      </c>
      <c r="J43" s="150">
        <f>5%*0.7</f>
        <v>3.4999999999999996E-2</v>
      </c>
      <c r="K43" s="148">
        <f>I43*J43</f>
        <v>1.0499999999999999E-2</v>
      </c>
    </row>
    <row r="44" spans="2:11" x14ac:dyDescent="0.3">
      <c r="D44" s="146" t="s">
        <v>363</v>
      </c>
      <c r="K44" s="148">
        <f>SUM(K42:K43)</f>
        <v>8.0499999999999988E-2</v>
      </c>
    </row>
    <row r="46" spans="2:11" x14ac:dyDescent="0.3">
      <c r="B46" s="146">
        <v>2</v>
      </c>
      <c r="C46" s="146">
        <v>8</v>
      </c>
      <c r="D46" s="146" t="s">
        <v>365</v>
      </c>
    </row>
    <row r="47" spans="2:11" x14ac:dyDescent="0.3">
      <c r="D47" s="146" t="s">
        <v>366</v>
      </c>
    </row>
    <row r="48" spans="2:11" x14ac:dyDescent="0.3">
      <c r="D48" s="146" t="s">
        <v>367</v>
      </c>
    </row>
    <row r="49" spans="2:19" x14ac:dyDescent="0.3">
      <c r="D49" s="146" t="s">
        <v>368</v>
      </c>
      <c r="H49" s="151">
        <v>0.11</v>
      </c>
    </row>
    <row r="50" spans="2:19" x14ac:dyDescent="0.3">
      <c r="D50" s="146" t="s">
        <v>369</v>
      </c>
      <c r="H50" s="146">
        <v>0</v>
      </c>
      <c r="I50" s="146">
        <f>H50+1</f>
        <v>1</v>
      </c>
      <c r="J50" s="146">
        <f t="shared" ref="J50:P50" si="0">I50+1</f>
        <v>2</v>
      </c>
      <c r="K50" s="146">
        <f t="shared" si="0"/>
        <v>3</v>
      </c>
      <c r="L50" s="146">
        <f t="shared" si="0"/>
        <v>4</v>
      </c>
      <c r="M50" s="146">
        <f t="shared" si="0"/>
        <v>5</v>
      </c>
      <c r="N50" s="146">
        <f t="shared" si="0"/>
        <v>6</v>
      </c>
      <c r="O50" s="146">
        <f t="shared" si="0"/>
        <v>7</v>
      </c>
      <c r="P50" s="146">
        <f t="shared" si="0"/>
        <v>8</v>
      </c>
    </row>
    <row r="51" spans="2:19" x14ac:dyDescent="0.3">
      <c r="H51" s="146">
        <f>1/POWER((1+$H$49),H50)</f>
        <v>1</v>
      </c>
      <c r="I51" s="146">
        <f t="shared" ref="I51:P51" si="1">1/POWER((1+$H$49),I50)</f>
        <v>0.9009009009009008</v>
      </c>
      <c r="J51" s="146">
        <f t="shared" si="1"/>
        <v>0.8116224332440547</v>
      </c>
      <c r="K51" s="146">
        <f t="shared" si="1"/>
        <v>0.73119138130095018</v>
      </c>
      <c r="L51" s="146">
        <f t="shared" si="1"/>
        <v>0.65873097414500015</v>
      </c>
      <c r="M51" s="146">
        <f t="shared" si="1"/>
        <v>0.5934513280585586</v>
      </c>
      <c r="N51" s="146">
        <f t="shared" si="1"/>
        <v>0.53464083608879154</v>
      </c>
      <c r="O51" s="146">
        <f t="shared" si="1"/>
        <v>0.48165841089080319</v>
      </c>
      <c r="P51" s="146">
        <f t="shared" si="1"/>
        <v>0.43392649629802077</v>
      </c>
    </row>
    <row r="52" spans="2:19" s="152" customFormat="1" x14ac:dyDescent="0.3">
      <c r="B52" s="152">
        <v>1</v>
      </c>
      <c r="C52" s="152">
        <v>9</v>
      </c>
      <c r="D52" s="152" t="s">
        <v>370</v>
      </c>
      <c r="H52" s="152">
        <v>-120000</v>
      </c>
      <c r="I52" s="152">
        <v>25000</v>
      </c>
      <c r="J52" s="152">
        <f>I52</f>
        <v>25000</v>
      </c>
      <c r="K52" s="152">
        <f t="shared" ref="K52:P52" si="2">J52</f>
        <v>25000</v>
      </c>
      <c r="L52" s="152">
        <f t="shared" si="2"/>
        <v>25000</v>
      </c>
      <c r="M52" s="152">
        <f t="shared" si="2"/>
        <v>25000</v>
      </c>
      <c r="N52" s="152">
        <f t="shared" si="2"/>
        <v>25000</v>
      </c>
      <c r="O52" s="152">
        <f t="shared" si="2"/>
        <v>25000</v>
      </c>
      <c r="P52" s="152">
        <f t="shared" si="2"/>
        <v>25000</v>
      </c>
    </row>
    <row r="53" spans="2:19" x14ac:dyDescent="0.3">
      <c r="D53" s="146" t="s">
        <v>371</v>
      </c>
      <c r="H53" s="153">
        <f>H51*H52</f>
        <v>-120000</v>
      </c>
      <c r="I53" s="153">
        <f t="shared" ref="I53:P53" si="3">I51*I52</f>
        <v>22522.522522522519</v>
      </c>
      <c r="J53" s="153">
        <f t="shared" si="3"/>
        <v>20290.560831101368</v>
      </c>
      <c r="K53" s="153">
        <f t="shared" si="3"/>
        <v>18279.784532523754</v>
      </c>
      <c r="L53" s="153">
        <f t="shared" si="3"/>
        <v>16468.274353625005</v>
      </c>
      <c r="M53" s="153">
        <f t="shared" si="3"/>
        <v>14836.283201463964</v>
      </c>
      <c r="N53" s="153">
        <f t="shared" si="3"/>
        <v>13366.020902219789</v>
      </c>
      <c r="O53" s="153">
        <f t="shared" si="3"/>
        <v>12041.46027227008</v>
      </c>
      <c r="P53" s="153">
        <f t="shared" si="3"/>
        <v>10848.16240745052</v>
      </c>
    </row>
    <row r="54" spans="2:19" x14ac:dyDescent="0.3">
      <c r="D54" s="146" t="s">
        <v>372</v>
      </c>
    </row>
    <row r="55" spans="2:19" x14ac:dyDescent="0.3">
      <c r="D55" s="146" t="s">
        <v>373</v>
      </c>
    </row>
    <row r="56" spans="2:19" x14ac:dyDescent="0.3">
      <c r="D56" s="146" t="s">
        <v>374</v>
      </c>
    </row>
    <row r="58" spans="2:19" x14ac:dyDescent="0.3">
      <c r="B58" s="146">
        <v>2</v>
      </c>
      <c r="C58" s="146">
        <v>10</v>
      </c>
      <c r="D58" s="146" t="s">
        <v>375</v>
      </c>
    </row>
    <row r="59" spans="2:19" x14ac:dyDescent="0.3">
      <c r="D59" s="146" t="s">
        <v>378</v>
      </c>
      <c r="H59" s="151">
        <v>0.15</v>
      </c>
      <c r="I59" s="151">
        <v>0.12</v>
      </c>
    </row>
    <row r="60" spans="2:19" x14ac:dyDescent="0.3">
      <c r="D60" s="146" t="s">
        <v>379</v>
      </c>
      <c r="H60" s="146">
        <v>0</v>
      </c>
      <c r="I60" s="146">
        <f>H60+1</f>
        <v>1</v>
      </c>
      <c r="J60" s="146">
        <f t="shared" ref="J60:P60" si="4">I60+1</f>
        <v>2</v>
      </c>
      <c r="K60" s="146">
        <f t="shared" si="4"/>
        <v>3</v>
      </c>
      <c r="L60" s="146">
        <f t="shared" si="4"/>
        <v>4</v>
      </c>
      <c r="M60" s="146">
        <f t="shared" si="4"/>
        <v>5</v>
      </c>
      <c r="N60" s="146">
        <f t="shared" si="4"/>
        <v>6</v>
      </c>
      <c r="O60" s="146">
        <f t="shared" si="4"/>
        <v>7</v>
      </c>
      <c r="P60" s="146">
        <f t="shared" si="4"/>
        <v>8</v>
      </c>
      <c r="Q60" s="146">
        <f t="shared" ref="Q60:R60" si="5">P60+1</f>
        <v>9</v>
      </c>
      <c r="R60" s="146">
        <f t="shared" si="5"/>
        <v>10</v>
      </c>
    </row>
    <row r="61" spans="2:19" x14ac:dyDescent="0.3">
      <c r="D61" s="146" t="s">
        <v>380</v>
      </c>
      <c r="G61" s="146" t="s">
        <v>279</v>
      </c>
      <c r="H61" s="152">
        <v>-226009</v>
      </c>
      <c r="I61" s="152">
        <v>40000</v>
      </c>
      <c r="J61" s="152">
        <f>I61</f>
        <v>40000</v>
      </c>
      <c r="K61" s="152">
        <f t="shared" ref="K61:R61" si="6">J61</f>
        <v>40000</v>
      </c>
      <c r="L61" s="152">
        <f t="shared" si="6"/>
        <v>40000</v>
      </c>
      <c r="M61" s="152">
        <f t="shared" si="6"/>
        <v>40000</v>
      </c>
      <c r="N61" s="152">
        <f t="shared" si="6"/>
        <v>40000</v>
      </c>
      <c r="O61" s="152">
        <f t="shared" si="6"/>
        <v>40000</v>
      </c>
      <c r="P61" s="152">
        <f t="shared" si="6"/>
        <v>40000</v>
      </c>
      <c r="Q61" s="152">
        <f t="shared" si="6"/>
        <v>40000</v>
      </c>
      <c r="R61" s="152">
        <f t="shared" si="6"/>
        <v>40000</v>
      </c>
    </row>
    <row r="62" spans="2:19" x14ac:dyDescent="0.3">
      <c r="D62" s="146" t="s">
        <v>381</v>
      </c>
      <c r="G62" s="146" t="s">
        <v>377</v>
      </c>
      <c r="H62" s="154">
        <f>1/POWER((1+$H$59),H60)</f>
        <v>1</v>
      </c>
      <c r="I62" s="154">
        <f t="shared" ref="I62:R62" si="7">1/POWER((1+$H$59),I60)</f>
        <v>0.86956521739130443</v>
      </c>
      <c r="J62" s="154">
        <f t="shared" si="7"/>
        <v>0.7561436672967865</v>
      </c>
      <c r="K62" s="154">
        <f t="shared" si="7"/>
        <v>0.65751623243198831</v>
      </c>
      <c r="L62" s="154">
        <f t="shared" si="7"/>
        <v>0.57175324559303342</v>
      </c>
      <c r="M62" s="154">
        <f t="shared" si="7"/>
        <v>0.49717673529828987</v>
      </c>
      <c r="N62" s="154">
        <f t="shared" si="7"/>
        <v>0.43232759591155645</v>
      </c>
      <c r="O62" s="154">
        <f t="shared" si="7"/>
        <v>0.37593703992309269</v>
      </c>
      <c r="P62" s="154">
        <f t="shared" si="7"/>
        <v>0.32690177384616753</v>
      </c>
      <c r="Q62" s="154">
        <f t="shared" si="7"/>
        <v>0.28426241204014574</v>
      </c>
      <c r="R62" s="154">
        <f t="shared" si="7"/>
        <v>0.24718470612186585</v>
      </c>
    </row>
    <row r="63" spans="2:19" x14ac:dyDescent="0.3">
      <c r="H63" s="152">
        <f>H61*H62</f>
        <v>-226009</v>
      </c>
      <c r="I63" s="152">
        <f t="shared" ref="I63:R63" si="8">I61*I62</f>
        <v>34782.608695652176</v>
      </c>
      <c r="J63" s="152">
        <f t="shared" si="8"/>
        <v>30245.74669187146</v>
      </c>
      <c r="K63" s="152">
        <f t="shared" si="8"/>
        <v>26300.649297279531</v>
      </c>
      <c r="L63" s="152">
        <f t="shared" si="8"/>
        <v>22870.129823721338</v>
      </c>
      <c r="M63" s="152">
        <f t="shared" si="8"/>
        <v>19887.069411931596</v>
      </c>
      <c r="N63" s="152">
        <f t="shared" si="8"/>
        <v>17293.103836462258</v>
      </c>
      <c r="O63" s="152">
        <f t="shared" si="8"/>
        <v>15037.481596923708</v>
      </c>
      <c r="P63" s="152">
        <f t="shared" si="8"/>
        <v>13076.070953846702</v>
      </c>
      <c r="Q63" s="152">
        <f t="shared" si="8"/>
        <v>11370.496481605829</v>
      </c>
      <c r="R63" s="152">
        <f t="shared" si="8"/>
        <v>9887.3882448746335</v>
      </c>
      <c r="S63" s="153">
        <f>SUM(H63:R63)</f>
        <v>-25258.254965830787</v>
      </c>
    </row>
    <row r="65" spans="3:19" x14ac:dyDescent="0.3">
      <c r="G65" s="146" t="s">
        <v>376</v>
      </c>
      <c r="H65" s="154">
        <f>1/POWER((1+$I$59),H60)</f>
        <v>1</v>
      </c>
      <c r="I65" s="154">
        <f t="shared" ref="I65:R65" si="9">1/POWER((1+$I$59),I60)</f>
        <v>0.89285714285714279</v>
      </c>
      <c r="J65" s="154">
        <f t="shared" si="9"/>
        <v>0.79719387755102034</v>
      </c>
      <c r="K65" s="154">
        <f t="shared" si="9"/>
        <v>0.71178024781341087</v>
      </c>
      <c r="L65" s="154">
        <f t="shared" si="9"/>
        <v>0.63551807840483121</v>
      </c>
      <c r="M65" s="154">
        <f t="shared" si="9"/>
        <v>0.56742685571859919</v>
      </c>
      <c r="N65" s="154">
        <f t="shared" si="9"/>
        <v>0.50663112117732068</v>
      </c>
      <c r="O65" s="154">
        <f t="shared" si="9"/>
        <v>0.45234921533689343</v>
      </c>
      <c r="P65" s="154">
        <f t="shared" si="9"/>
        <v>0.4038832279793691</v>
      </c>
      <c r="Q65" s="154">
        <f t="shared" si="9"/>
        <v>0.36061002498157957</v>
      </c>
      <c r="R65" s="154">
        <f t="shared" si="9"/>
        <v>0.32197323659069599</v>
      </c>
    </row>
    <row r="66" spans="3:19" x14ac:dyDescent="0.3">
      <c r="H66" s="152">
        <f>H65*H61</f>
        <v>-226009</v>
      </c>
      <c r="I66" s="152">
        <f t="shared" ref="I66:R66" si="10">I65*I61</f>
        <v>35714.28571428571</v>
      </c>
      <c r="J66" s="152">
        <f t="shared" si="10"/>
        <v>31887.755102040814</v>
      </c>
      <c r="K66" s="152">
        <f t="shared" si="10"/>
        <v>28471.209912536437</v>
      </c>
      <c r="L66" s="152">
        <f t="shared" si="10"/>
        <v>25420.72313619325</v>
      </c>
      <c r="M66" s="152">
        <f t="shared" si="10"/>
        <v>22697.074228743968</v>
      </c>
      <c r="N66" s="152">
        <f t="shared" si="10"/>
        <v>20265.244847092828</v>
      </c>
      <c r="O66" s="152">
        <f t="shared" si="10"/>
        <v>18093.968613475736</v>
      </c>
      <c r="P66" s="152">
        <f t="shared" si="10"/>
        <v>16155.329119174763</v>
      </c>
      <c r="Q66" s="152">
        <f t="shared" si="10"/>
        <v>14424.400999263184</v>
      </c>
      <c r="R66" s="152">
        <f t="shared" si="10"/>
        <v>12878.929463627839</v>
      </c>
      <c r="S66" s="153">
        <f>SUM(H66:R66)</f>
        <v>-7.8863565493520582E-2</v>
      </c>
    </row>
    <row r="68" spans="3:19" x14ac:dyDescent="0.3">
      <c r="D68" s="155" t="s">
        <v>382</v>
      </c>
    </row>
    <row r="70" spans="3:19" x14ac:dyDescent="0.3">
      <c r="C70" s="156" t="s">
        <v>331</v>
      </c>
      <c r="D70" s="156" t="s">
        <v>262</v>
      </c>
    </row>
    <row r="71" spans="3:19" x14ac:dyDescent="0.3">
      <c r="C71" s="146">
        <v>1</v>
      </c>
      <c r="D71" s="146" t="str">
        <f>D8</f>
        <v>C. liquidation value.</v>
      </c>
    </row>
    <row r="72" spans="3:19" x14ac:dyDescent="0.3">
      <c r="C72" s="146">
        <f>C71+1</f>
        <v>2</v>
      </c>
      <c r="D72" s="146" t="str">
        <f>D12</f>
        <v>B. Bargaining power of Government</v>
      </c>
    </row>
    <row r="73" spans="3:19" x14ac:dyDescent="0.3">
      <c r="C73" s="146">
        <f>C72+1</f>
        <v>3</v>
      </c>
      <c r="D73" s="146" t="str">
        <f>D18</f>
        <v>B. 18.75%</v>
      </c>
    </row>
    <row r="74" spans="3:19" x14ac:dyDescent="0.3">
      <c r="C74" s="146">
        <f>C73+1</f>
        <v>4</v>
      </c>
      <c r="D74" s="146" t="str">
        <f>D26</f>
        <v>D. 8.75%</v>
      </c>
    </row>
    <row r="75" spans="3:19" x14ac:dyDescent="0.3">
      <c r="C75" s="146">
        <f>C74+1</f>
        <v>5</v>
      </c>
      <c r="D75" s="146" t="str">
        <f>D31</f>
        <v>C. 2.0</v>
      </c>
    </row>
    <row r="76" spans="3:19" x14ac:dyDescent="0.3">
      <c r="C76" s="146">
        <f>C75+1</f>
        <v>6</v>
      </c>
      <c r="D76" s="146" t="str">
        <f>D37</f>
        <v>C. Cost of Debentures</v>
      </c>
    </row>
    <row r="77" spans="3:19" x14ac:dyDescent="0.3">
      <c r="C77" s="146">
        <f>C76+1</f>
        <v>7</v>
      </c>
      <c r="D77" s="146" t="str">
        <f>D44</f>
        <v>D. 8.05%</v>
      </c>
    </row>
    <row r="78" spans="3:19" x14ac:dyDescent="0.3">
      <c r="C78" s="146">
        <f>C77+1</f>
        <v>8</v>
      </c>
      <c r="D78" s="146" t="str">
        <f>D49</f>
        <v>C. Rs 8,653</v>
      </c>
    </row>
    <row r="79" spans="3:19" x14ac:dyDescent="0.3">
      <c r="C79" s="146">
        <f>C78+1</f>
        <v>9</v>
      </c>
      <c r="D79" s="146" t="str">
        <f>D55</f>
        <v>C. Investing Activities</v>
      </c>
    </row>
    <row r="80" spans="3:19" x14ac:dyDescent="0.3">
      <c r="C80" s="146">
        <f>C79+1</f>
        <v>10</v>
      </c>
      <c r="D80" s="146" t="str">
        <f>D62</f>
        <v>D. 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B344C-E206-4138-8720-4156CAC782F8}">
  <dimension ref="B7:K69"/>
  <sheetViews>
    <sheetView showGridLines="0" topLeftCell="A49" workbookViewId="0">
      <selection activeCell="C26" sqref="C26"/>
    </sheetView>
  </sheetViews>
  <sheetFormatPr defaultRowHeight="13.2" x14ac:dyDescent="0.3"/>
  <cols>
    <col min="1" max="2" width="8.88671875" style="146"/>
    <col min="3" max="3" width="11.109375" style="146" customWidth="1"/>
    <col min="4" max="4" width="15.33203125" style="152" bestFit="1" customWidth="1"/>
    <col min="5" max="5" width="11.77734375" style="146" bestFit="1" customWidth="1"/>
    <col min="6" max="6" width="10.21875" style="146" bestFit="1" customWidth="1"/>
    <col min="7" max="7" width="10.88671875" style="146" bestFit="1" customWidth="1"/>
    <col min="8" max="8" width="10.21875" style="146" bestFit="1" customWidth="1"/>
    <col min="9" max="9" width="10.88671875" style="146" bestFit="1" customWidth="1"/>
    <col min="10" max="10" width="12.77734375" style="146" customWidth="1"/>
    <col min="11" max="11" width="10.88671875" style="146" bestFit="1" customWidth="1"/>
    <col min="12" max="16384" width="8.88671875" style="146"/>
  </cols>
  <sheetData>
    <row r="7" spans="2:4" x14ac:dyDescent="0.3">
      <c r="B7" s="146" t="s">
        <v>383</v>
      </c>
      <c r="C7" s="146" t="s">
        <v>388</v>
      </c>
    </row>
    <row r="9" spans="2:4" x14ac:dyDescent="0.3">
      <c r="C9" s="157" t="s">
        <v>278</v>
      </c>
      <c r="D9" s="158" t="s">
        <v>384</v>
      </c>
    </row>
    <row r="10" spans="2:4" x14ac:dyDescent="0.3">
      <c r="C10" s="159">
        <v>1</v>
      </c>
      <c r="D10" s="160">
        <v>1400000</v>
      </c>
    </row>
    <row r="11" spans="2:4" x14ac:dyDescent="0.3">
      <c r="C11" s="159">
        <f>C10+1</f>
        <v>2</v>
      </c>
      <c r="D11" s="160">
        <v>1400000</v>
      </c>
    </row>
    <row r="12" spans="2:4" x14ac:dyDescent="0.3">
      <c r="C12" s="159">
        <f t="shared" ref="C12:C19" si="0">C11+1</f>
        <v>3</v>
      </c>
      <c r="D12" s="160">
        <v>1400000</v>
      </c>
    </row>
    <row r="13" spans="2:4" x14ac:dyDescent="0.3">
      <c r="C13" s="159">
        <f t="shared" si="0"/>
        <v>4</v>
      </c>
      <c r="D13" s="160">
        <v>1400000</v>
      </c>
    </row>
    <row r="14" spans="2:4" x14ac:dyDescent="0.3">
      <c r="C14" s="159">
        <f t="shared" si="0"/>
        <v>5</v>
      </c>
      <c r="D14" s="160">
        <v>1400000</v>
      </c>
    </row>
    <row r="15" spans="2:4" x14ac:dyDescent="0.3">
      <c r="C15" s="159">
        <f t="shared" si="0"/>
        <v>6</v>
      </c>
      <c r="D15" s="160">
        <v>1600000</v>
      </c>
    </row>
    <row r="16" spans="2:4" x14ac:dyDescent="0.3">
      <c r="C16" s="159">
        <f t="shared" si="0"/>
        <v>7</v>
      </c>
      <c r="D16" s="160">
        <v>2000000</v>
      </c>
    </row>
    <row r="17" spans="3:5" x14ac:dyDescent="0.3">
      <c r="C17" s="159">
        <f t="shared" si="0"/>
        <v>8</v>
      </c>
      <c r="D17" s="160">
        <v>3000000</v>
      </c>
    </row>
    <row r="18" spans="3:5" x14ac:dyDescent="0.3">
      <c r="C18" s="159">
        <f t="shared" si="0"/>
        <v>9</v>
      </c>
      <c r="D18" s="160">
        <v>2000000</v>
      </c>
    </row>
    <row r="19" spans="3:5" x14ac:dyDescent="0.3">
      <c r="C19" s="159">
        <f t="shared" si="0"/>
        <v>10</v>
      </c>
      <c r="D19" s="160">
        <v>800000</v>
      </c>
    </row>
    <row r="23" spans="3:5" x14ac:dyDescent="0.3">
      <c r="C23" s="146" t="s">
        <v>385</v>
      </c>
    </row>
    <row r="24" spans="3:5" x14ac:dyDescent="0.3">
      <c r="C24" s="146" t="s">
        <v>386</v>
      </c>
    </row>
    <row r="25" spans="3:5" x14ac:dyDescent="0.3">
      <c r="C25" s="146" t="s">
        <v>387</v>
      </c>
    </row>
    <row r="29" spans="3:5" x14ac:dyDescent="0.3">
      <c r="C29" s="146" t="s">
        <v>262</v>
      </c>
    </row>
    <row r="30" spans="3:5" x14ac:dyDescent="0.3">
      <c r="C30" s="146" t="s">
        <v>389</v>
      </c>
    </row>
    <row r="32" spans="3:5" x14ac:dyDescent="0.3">
      <c r="C32" s="157" t="s">
        <v>278</v>
      </c>
      <c r="D32" s="158" t="s">
        <v>384</v>
      </c>
      <c r="E32" s="158" t="s">
        <v>390</v>
      </c>
    </row>
    <row r="33" spans="3:5" x14ac:dyDescent="0.3">
      <c r="C33" s="159">
        <v>1</v>
      </c>
      <c r="D33" s="160">
        <v>1400000</v>
      </c>
      <c r="E33" s="161">
        <f>D33</f>
        <v>1400000</v>
      </c>
    </row>
    <row r="34" spans="3:5" x14ac:dyDescent="0.3">
      <c r="C34" s="159">
        <f>C33+1</f>
        <v>2</v>
      </c>
      <c r="D34" s="160">
        <v>1400000</v>
      </c>
      <c r="E34" s="161">
        <f>E33+D34</f>
        <v>2800000</v>
      </c>
    </row>
    <row r="35" spans="3:5" x14ac:dyDescent="0.3">
      <c r="C35" s="159">
        <f t="shared" ref="C35:C42" si="1">C34+1</f>
        <v>3</v>
      </c>
      <c r="D35" s="160">
        <v>1400000</v>
      </c>
      <c r="E35" s="161">
        <f t="shared" ref="E35:E42" si="2">E34+D35</f>
        <v>4200000</v>
      </c>
    </row>
    <row r="36" spans="3:5" x14ac:dyDescent="0.3">
      <c r="C36" s="159">
        <f t="shared" si="1"/>
        <v>4</v>
      </c>
      <c r="D36" s="160">
        <v>1400000</v>
      </c>
      <c r="E36" s="161">
        <f t="shared" si="2"/>
        <v>5600000</v>
      </c>
    </row>
    <row r="37" spans="3:5" x14ac:dyDescent="0.3">
      <c r="C37" s="159">
        <f t="shared" si="1"/>
        <v>5</v>
      </c>
      <c r="D37" s="160">
        <v>1400000</v>
      </c>
      <c r="E37" s="161">
        <f t="shared" si="2"/>
        <v>7000000</v>
      </c>
    </row>
    <row r="38" spans="3:5" x14ac:dyDescent="0.3">
      <c r="C38" s="159">
        <f t="shared" si="1"/>
        <v>6</v>
      </c>
      <c r="D38" s="160">
        <v>1600000</v>
      </c>
      <c r="E38" s="161">
        <f t="shared" si="2"/>
        <v>8600000</v>
      </c>
    </row>
    <row r="39" spans="3:5" x14ac:dyDescent="0.3">
      <c r="C39" s="159">
        <f t="shared" si="1"/>
        <v>7</v>
      </c>
      <c r="D39" s="160">
        <v>2000000</v>
      </c>
      <c r="E39" s="161">
        <f t="shared" si="2"/>
        <v>10600000</v>
      </c>
    </row>
    <row r="40" spans="3:5" x14ac:dyDescent="0.3">
      <c r="C40" s="159">
        <f t="shared" si="1"/>
        <v>8</v>
      </c>
      <c r="D40" s="160">
        <v>3000000</v>
      </c>
      <c r="E40" s="161">
        <f t="shared" si="2"/>
        <v>13600000</v>
      </c>
    </row>
    <row r="41" spans="3:5" x14ac:dyDescent="0.3">
      <c r="C41" s="159">
        <f t="shared" si="1"/>
        <v>9</v>
      </c>
      <c r="D41" s="160">
        <v>2000000</v>
      </c>
      <c r="E41" s="161">
        <f t="shared" si="2"/>
        <v>15600000</v>
      </c>
    </row>
    <row r="42" spans="3:5" x14ac:dyDescent="0.3">
      <c r="C42" s="159">
        <f t="shared" si="1"/>
        <v>10</v>
      </c>
      <c r="D42" s="160">
        <v>800000</v>
      </c>
      <c r="E42" s="161">
        <f t="shared" si="2"/>
        <v>16400000</v>
      </c>
    </row>
    <row r="44" spans="3:5" x14ac:dyDescent="0.3">
      <c r="C44" s="146" t="s">
        <v>392</v>
      </c>
    </row>
    <row r="45" spans="3:5" x14ac:dyDescent="0.3">
      <c r="C45" s="146" t="s">
        <v>391</v>
      </c>
    </row>
    <row r="46" spans="3:5" x14ac:dyDescent="0.3">
      <c r="C46" s="146" t="s">
        <v>393</v>
      </c>
    </row>
    <row r="48" spans="3:5" x14ac:dyDescent="0.3">
      <c r="C48" s="146" t="s">
        <v>394</v>
      </c>
      <c r="D48" s="163">
        <f>5+(1000000/1600000)</f>
        <v>5.625</v>
      </c>
      <c r="E48" s="146" t="s">
        <v>278</v>
      </c>
    </row>
    <row r="49" spans="3:11" x14ac:dyDescent="0.3">
      <c r="D49" s="162">
        <f>(D48-5)*12</f>
        <v>7.5</v>
      </c>
    </row>
    <row r="50" spans="3:11" x14ac:dyDescent="0.3">
      <c r="D50" s="152" t="s">
        <v>395</v>
      </c>
    </row>
    <row r="53" spans="3:11" x14ac:dyDescent="0.3">
      <c r="C53" s="146" t="s">
        <v>396</v>
      </c>
      <c r="E53" s="151">
        <v>0.1</v>
      </c>
      <c r="H53" s="151">
        <v>0.15</v>
      </c>
      <c r="J53" s="148">
        <f>D69</f>
        <v>0.14695132257670848</v>
      </c>
    </row>
    <row r="55" spans="3:11" x14ac:dyDescent="0.3">
      <c r="C55" s="157" t="s">
        <v>278</v>
      </c>
      <c r="D55" s="158" t="s">
        <v>384</v>
      </c>
      <c r="E55" s="158" t="s">
        <v>390</v>
      </c>
      <c r="F55" s="159" t="s">
        <v>397</v>
      </c>
      <c r="G55" s="159" t="s">
        <v>398</v>
      </c>
      <c r="H55" s="159" t="s">
        <v>280</v>
      </c>
      <c r="I55" s="159" t="s">
        <v>398</v>
      </c>
      <c r="J55" s="159" t="str">
        <f>CONCATENATE("PV @ ",J53)</f>
        <v>PV @ 0.146951322576708</v>
      </c>
      <c r="K55" s="159" t="s">
        <v>398</v>
      </c>
    </row>
    <row r="56" spans="3:11" x14ac:dyDescent="0.3">
      <c r="C56" s="159">
        <v>0</v>
      </c>
      <c r="D56" s="158">
        <v>-8000000</v>
      </c>
      <c r="E56" s="158">
        <f>D56</f>
        <v>-8000000</v>
      </c>
      <c r="F56" s="159">
        <f>1/(POWER((1+$E$53),C56))</f>
        <v>1</v>
      </c>
      <c r="G56" s="161">
        <f>D56*F56</f>
        <v>-8000000</v>
      </c>
      <c r="H56" s="159">
        <f>1/(POWER((1+$H$53),C56))</f>
        <v>1</v>
      </c>
      <c r="I56" s="161">
        <f>D56*H56</f>
        <v>-8000000</v>
      </c>
      <c r="J56" s="164">
        <f>1/(POWER((1+$J$53),C56))</f>
        <v>1</v>
      </c>
      <c r="K56" s="161">
        <f>J56*D56</f>
        <v>-8000000</v>
      </c>
    </row>
    <row r="57" spans="3:11" x14ac:dyDescent="0.3">
      <c r="C57" s="159">
        <v>1</v>
      </c>
      <c r="D57" s="160">
        <v>1400000</v>
      </c>
      <c r="E57" s="161">
        <f t="shared" ref="E57:E66" si="3">E56+D57</f>
        <v>-6600000</v>
      </c>
      <c r="F57" s="164">
        <f t="shared" ref="F57:F66" si="4">1/(POWER((1+$E$53),C57))</f>
        <v>0.90909090909090906</v>
      </c>
      <c r="G57" s="161">
        <f t="shared" ref="G57:G66" si="5">D57*F57</f>
        <v>1272727.2727272727</v>
      </c>
      <c r="H57" s="164">
        <f t="shared" ref="H57:H66" si="6">1/(POWER((1+$H$53),C57))</f>
        <v>0.86956521739130443</v>
      </c>
      <c r="I57" s="161">
        <f t="shared" ref="I57:I66" si="7">D57*H57</f>
        <v>1217391.3043478262</v>
      </c>
      <c r="J57" s="164">
        <f t="shared" ref="J57:J66" si="8">1/(POWER((1+$J$53),C57))</f>
        <v>0.87187658300391357</v>
      </c>
      <c r="K57" s="161">
        <f t="shared" ref="K57:K66" si="9">J57*D57</f>
        <v>1220627.2162054791</v>
      </c>
    </row>
    <row r="58" spans="3:11" x14ac:dyDescent="0.3">
      <c r="C58" s="159">
        <f>C57+1</f>
        <v>2</v>
      </c>
      <c r="D58" s="160">
        <v>1400000</v>
      </c>
      <c r="E58" s="161">
        <f>E57+D58</f>
        <v>-5200000</v>
      </c>
      <c r="F58" s="164">
        <f t="shared" si="4"/>
        <v>0.82644628099173545</v>
      </c>
      <c r="G58" s="161">
        <f t="shared" si="5"/>
        <v>1157024.7933884296</v>
      </c>
      <c r="H58" s="164">
        <f t="shared" si="6"/>
        <v>0.7561436672967865</v>
      </c>
      <c r="I58" s="161">
        <f t="shared" si="7"/>
        <v>1058601.1342155011</v>
      </c>
      <c r="J58" s="164">
        <f t="shared" si="8"/>
        <v>0.76016877599058008</v>
      </c>
      <c r="K58" s="161">
        <f t="shared" si="9"/>
        <v>1064236.2863868121</v>
      </c>
    </row>
    <row r="59" spans="3:11" x14ac:dyDescent="0.3">
      <c r="C59" s="159">
        <f t="shared" ref="C59:C66" si="10">C58+1</f>
        <v>3</v>
      </c>
      <c r="D59" s="160">
        <v>1400000</v>
      </c>
      <c r="E59" s="161">
        <f t="shared" si="3"/>
        <v>-3800000</v>
      </c>
      <c r="F59" s="164">
        <f t="shared" si="4"/>
        <v>0.75131480090157754</v>
      </c>
      <c r="G59" s="161">
        <f t="shared" si="5"/>
        <v>1051840.7212622087</v>
      </c>
      <c r="H59" s="164">
        <f t="shared" si="6"/>
        <v>0.65751623243198831</v>
      </c>
      <c r="I59" s="161">
        <f t="shared" si="7"/>
        <v>920522.72540478362</v>
      </c>
      <c r="J59" s="164">
        <f t="shared" si="8"/>
        <v>0.66277335491693434</v>
      </c>
      <c r="K59" s="161">
        <f t="shared" si="9"/>
        <v>927882.69688370812</v>
      </c>
    </row>
    <row r="60" spans="3:11" x14ac:dyDescent="0.3">
      <c r="C60" s="159">
        <f t="shared" si="10"/>
        <v>4</v>
      </c>
      <c r="D60" s="160">
        <v>1400000</v>
      </c>
      <c r="E60" s="161">
        <f t="shared" si="3"/>
        <v>-2400000</v>
      </c>
      <c r="F60" s="164">
        <f t="shared" si="4"/>
        <v>0.68301345536507052</v>
      </c>
      <c r="G60" s="161">
        <f t="shared" si="5"/>
        <v>956218.83751109871</v>
      </c>
      <c r="H60" s="164">
        <f t="shared" si="6"/>
        <v>0.57175324559303342</v>
      </c>
      <c r="I60" s="161">
        <f t="shared" si="7"/>
        <v>800454.54383024678</v>
      </c>
      <c r="J60" s="164">
        <f t="shared" si="8"/>
        <v>0.5778565679910167</v>
      </c>
      <c r="K60" s="161">
        <f t="shared" si="9"/>
        <v>808999.19518742338</v>
      </c>
    </row>
    <row r="61" spans="3:11" x14ac:dyDescent="0.3">
      <c r="C61" s="159">
        <f t="shared" si="10"/>
        <v>5</v>
      </c>
      <c r="D61" s="160">
        <v>1400000</v>
      </c>
      <c r="E61" s="161">
        <f t="shared" si="3"/>
        <v>-1000000</v>
      </c>
      <c r="F61" s="164">
        <f t="shared" si="4"/>
        <v>0.62092132305915493</v>
      </c>
      <c r="G61" s="161">
        <f t="shared" si="5"/>
        <v>869289.85228281689</v>
      </c>
      <c r="H61" s="164">
        <f t="shared" si="6"/>
        <v>0.49717673529828987</v>
      </c>
      <c r="I61" s="161">
        <f t="shared" si="7"/>
        <v>696047.42941760586</v>
      </c>
      <c r="J61" s="164">
        <f t="shared" si="8"/>
        <v>0.5038196099663762</v>
      </c>
      <c r="K61" s="161">
        <f t="shared" si="9"/>
        <v>705347.45395292668</v>
      </c>
    </row>
    <row r="62" spans="3:11" x14ac:dyDescent="0.3">
      <c r="C62" s="159">
        <f t="shared" si="10"/>
        <v>6</v>
      </c>
      <c r="D62" s="160">
        <v>1600000</v>
      </c>
      <c r="E62" s="161">
        <f t="shared" si="3"/>
        <v>600000</v>
      </c>
      <c r="F62" s="164">
        <f t="shared" si="4"/>
        <v>0.56447393005377722</v>
      </c>
      <c r="G62" s="161">
        <f t="shared" si="5"/>
        <v>903158.28808604355</v>
      </c>
      <c r="H62" s="164">
        <f t="shared" si="6"/>
        <v>0.43232759591155645</v>
      </c>
      <c r="I62" s="161">
        <f t="shared" si="7"/>
        <v>691724.15345849027</v>
      </c>
      <c r="J62" s="164">
        <f t="shared" si="8"/>
        <v>0.43926851998784855</v>
      </c>
      <c r="K62" s="161">
        <f t="shared" si="9"/>
        <v>702829.63198055769</v>
      </c>
    </row>
    <row r="63" spans="3:11" x14ac:dyDescent="0.3">
      <c r="C63" s="159">
        <f t="shared" si="10"/>
        <v>7</v>
      </c>
      <c r="D63" s="160">
        <v>2000000</v>
      </c>
      <c r="E63" s="161">
        <f t="shared" si="3"/>
        <v>2600000</v>
      </c>
      <c r="F63" s="164">
        <f t="shared" si="4"/>
        <v>0.51315811823070645</v>
      </c>
      <c r="G63" s="161">
        <f t="shared" si="5"/>
        <v>1026316.2364614129</v>
      </c>
      <c r="H63" s="164">
        <f t="shared" si="6"/>
        <v>0.37593703992309269</v>
      </c>
      <c r="I63" s="161">
        <f t="shared" si="7"/>
        <v>751874.0798461854</v>
      </c>
      <c r="J63" s="164">
        <f t="shared" si="8"/>
        <v>0.38298793622819166</v>
      </c>
      <c r="K63" s="161">
        <f t="shared" si="9"/>
        <v>765975.87245638331</v>
      </c>
    </row>
    <row r="64" spans="3:11" x14ac:dyDescent="0.3">
      <c r="C64" s="159">
        <f t="shared" si="10"/>
        <v>8</v>
      </c>
      <c r="D64" s="160">
        <v>3000000</v>
      </c>
      <c r="E64" s="161">
        <f t="shared" si="3"/>
        <v>5600000</v>
      </c>
      <c r="F64" s="164">
        <f t="shared" si="4"/>
        <v>0.46650738020973315</v>
      </c>
      <c r="G64" s="161">
        <f t="shared" si="5"/>
        <v>1399522.1406291993</v>
      </c>
      <c r="H64" s="164">
        <f t="shared" si="6"/>
        <v>0.32690177384616753</v>
      </c>
      <c r="I64" s="161">
        <f t="shared" si="7"/>
        <v>980705.32153850258</v>
      </c>
      <c r="J64" s="164">
        <f t="shared" si="8"/>
        <v>0.33391821317035647</v>
      </c>
      <c r="K64" s="161">
        <f t="shared" si="9"/>
        <v>1001754.6395110694</v>
      </c>
    </row>
    <row r="65" spans="3:11" x14ac:dyDescent="0.3">
      <c r="C65" s="159">
        <f t="shared" si="10"/>
        <v>9</v>
      </c>
      <c r="D65" s="160">
        <v>2000000</v>
      </c>
      <c r="E65" s="161">
        <f t="shared" si="3"/>
        <v>7600000</v>
      </c>
      <c r="F65" s="164">
        <f t="shared" si="4"/>
        <v>0.42409761837248466</v>
      </c>
      <c r="G65" s="161">
        <f t="shared" si="5"/>
        <v>848195.23674496938</v>
      </c>
      <c r="H65" s="164">
        <f t="shared" si="6"/>
        <v>0.28426241204014574</v>
      </c>
      <c r="I65" s="161">
        <f t="shared" si="7"/>
        <v>568524.82408029144</v>
      </c>
      <c r="J65" s="164">
        <f t="shared" si="8"/>
        <v>0.29113547070174278</v>
      </c>
      <c r="K65" s="161">
        <f t="shared" si="9"/>
        <v>582270.9414034856</v>
      </c>
    </row>
    <row r="66" spans="3:11" x14ac:dyDescent="0.3">
      <c r="C66" s="159">
        <f t="shared" si="10"/>
        <v>10</v>
      </c>
      <c r="D66" s="160">
        <v>800000</v>
      </c>
      <c r="E66" s="161">
        <f t="shared" si="3"/>
        <v>8400000</v>
      </c>
      <c r="F66" s="164">
        <f t="shared" si="4"/>
        <v>0.38554328942953148</v>
      </c>
      <c r="G66" s="161">
        <f t="shared" si="5"/>
        <v>308434.6315436252</v>
      </c>
      <c r="H66" s="164">
        <f t="shared" si="6"/>
        <v>0.24718470612186585</v>
      </c>
      <c r="I66" s="161">
        <f t="shared" si="7"/>
        <v>197747.76489749269</v>
      </c>
      <c r="J66" s="164">
        <f t="shared" si="8"/>
        <v>0.25383419938667146</v>
      </c>
      <c r="K66" s="161">
        <f t="shared" si="9"/>
        <v>203067.35950933717</v>
      </c>
    </row>
    <row r="67" spans="3:11" x14ac:dyDescent="0.3">
      <c r="G67" s="153">
        <f>SUM(G56:G66)</f>
        <v>1792728.010637077</v>
      </c>
      <c r="I67" s="153">
        <f>SUM(I56:I66)</f>
        <v>-116406.71896307429</v>
      </c>
      <c r="K67" s="153">
        <f>SUM(K56:K66)</f>
        <v>-17008.706522816967</v>
      </c>
    </row>
    <row r="69" spans="3:11" x14ac:dyDescent="0.3">
      <c r="C69" s="146" t="s">
        <v>399</v>
      </c>
      <c r="D69" s="150">
        <f>10%+(((G67/(G67-I67))*(H53-E53)))</f>
        <v>0.14695132257670848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Q1</vt:lpstr>
      <vt:lpstr>Q2</vt:lpstr>
      <vt:lpstr>Q3Instructions</vt:lpstr>
      <vt:lpstr>Q3P&amp;L</vt:lpstr>
      <vt:lpstr>Q3Bal Sheet</vt:lpstr>
      <vt:lpstr>Q3Cash Flow</vt:lpstr>
      <vt:lpstr>Q3Working</vt:lpstr>
      <vt:lpstr>Q4A</vt:lpstr>
      <vt:lpstr>Q4B</vt:lpstr>
      <vt:lpstr>Q4C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Deepak Tiwari</dc:creator>
  <cp:lastModifiedBy>Deepak Tiwari</cp:lastModifiedBy>
  <cp:lastPrinted>2025-03-03T20:16:20Z</cp:lastPrinted>
  <dcterms:created xsi:type="dcterms:W3CDTF">2015-06-05T18:17:20Z</dcterms:created>
  <dcterms:modified xsi:type="dcterms:W3CDTF">2025-03-03T20:43:47Z</dcterms:modified>
</cp:coreProperties>
</file>