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iniosalpha-my.sharepoint.com/personal/akshata_telisara_aioniosalpha_com/Documents/Desktop/Valuations/Exam Paper/"/>
    </mc:Choice>
  </mc:AlternateContent>
  <xr:revisionPtr revIDLastSave="1891" documentId="11_F25DC773A252ABDACC1048CA415B69B65BDE58E4" xr6:coauthVersionLast="47" xr6:coauthVersionMax="47" xr10:uidLastSave="{9C3EC4FE-652F-4A53-991C-ADF7400D1B0D}"/>
  <bookViews>
    <workbookView xWindow="-110" yWindow="-110" windowWidth="19420" windowHeight="10300" activeTab="4" xr2:uid="{00000000-000D-0000-FFFF-FFFF00000000}"/>
  </bookViews>
  <sheets>
    <sheet name="Q1. A" sheetId="1" r:id="rId1"/>
    <sheet name="Q1. B" sheetId="4" r:id="rId2"/>
    <sheet name="Q1. C" sheetId="3" r:id="rId3"/>
    <sheet name="Q2. A" sheetId="2" r:id="rId4"/>
    <sheet name="Q2. B" sheetId="10" r:id="rId5"/>
    <sheet name="Q2. C" sheetId="6" r:id="rId6"/>
    <sheet name="Q3. A" sheetId="7" r:id="rId7"/>
    <sheet name="Q3. B" sheetId="5" r:id="rId8"/>
    <sheet name="Q4. B" sheetId="8" r:id="rId9"/>
    <sheet name="Q4. A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0" l="1"/>
  <c r="G7" i="10"/>
  <c r="G8" i="10" s="1"/>
  <c r="F7" i="10"/>
  <c r="F8" i="10" s="1"/>
  <c r="E7" i="10"/>
  <c r="D7" i="10"/>
  <c r="C7" i="10"/>
  <c r="B7" i="10"/>
  <c r="B8" i="10" s="1"/>
  <c r="H8" i="10"/>
  <c r="D8" i="10"/>
  <c r="C8" i="10"/>
  <c r="E8" i="10"/>
  <c r="B4" i="10"/>
  <c r="H4" i="10"/>
  <c r="G4" i="10"/>
  <c r="E4" i="10"/>
  <c r="D4" i="10"/>
  <c r="C4" i="10"/>
  <c r="H3" i="10"/>
  <c r="G3" i="10"/>
  <c r="F3" i="10"/>
  <c r="E3" i="10"/>
  <c r="D3" i="10"/>
  <c r="C3" i="10"/>
  <c r="F2" i="10"/>
  <c r="F4" i="10" s="1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B87" i="7"/>
  <c r="C87" i="7"/>
  <c r="D87" i="7"/>
  <c r="B91" i="7"/>
  <c r="C91" i="7"/>
  <c r="D91" i="7"/>
  <c r="D84" i="7"/>
  <c r="C84" i="7"/>
  <c r="B84" i="7"/>
  <c r="I8" i="10" l="1"/>
  <c r="I4" i="10"/>
  <c r="E25" i="7"/>
  <c r="F25" i="7" s="1"/>
  <c r="G25" i="7" s="1"/>
  <c r="E46" i="7"/>
  <c r="F46" i="7" s="1"/>
  <c r="E16" i="7"/>
  <c r="B90" i="7" s="1"/>
  <c r="E4" i="7"/>
  <c r="F4" i="7" s="1"/>
  <c r="D83" i="7"/>
  <c r="E83" i="7" s="1"/>
  <c r="F83" i="7" s="1"/>
  <c r="G83" i="7" s="1"/>
  <c r="C83" i="7"/>
  <c r="B83" i="7"/>
  <c r="E10" i="7"/>
  <c r="F10" i="7" s="1"/>
  <c r="G10" i="7" s="1"/>
  <c r="E76" i="7"/>
  <c r="F76" i="7" s="1"/>
  <c r="E75" i="7"/>
  <c r="F75" i="7" s="1"/>
  <c r="E72" i="7"/>
  <c r="F72" i="7" s="1"/>
  <c r="G72" i="7" s="1"/>
  <c r="E71" i="7"/>
  <c r="G35" i="7"/>
  <c r="F35" i="7"/>
  <c r="E35" i="7"/>
  <c r="E79" i="7" l="1"/>
  <c r="E47" i="7"/>
  <c r="E49" i="7" s="1"/>
  <c r="E58" i="7" s="1"/>
  <c r="E73" i="7"/>
  <c r="E5" i="7"/>
  <c r="G75" i="7"/>
  <c r="F78" i="7"/>
  <c r="G76" i="7"/>
  <c r="G79" i="7" s="1"/>
  <c r="F79" i="7"/>
  <c r="G4" i="7"/>
  <c r="E78" i="7"/>
  <c r="E80" i="7" s="1"/>
  <c r="E2" i="7" s="1"/>
  <c r="F71" i="7"/>
  <c r="E84" i="7"/>
  <c r="G46" i="7"/>
  <c r="G16" i="7" s="1"/>
  <c r="D90" i="7" s="1"/>
  <c r="F16" i="7"/>
  <c r="H34" i="8"/>
  <c r="G34" i="8"/>
  <c r="G35" i="8" s="1"/>
  <c r="G32" i="8"/>
  <c r="H32" i="8" s="1"/>
  <c r="I32" i="8" s="1"/>
  <c r="G28" i="8"/>
  <c r="G27" i="8"/>
  <c r="G26" i="8"/>
  <c r="G29" i="8" s="1"/>
  <c r="F28" i="8"/>
  <c r="F26" i="8"/>
  <c r="F22" i="8"/>
  <c r="F21" i="8"/>
  <c r="G17" i="8"/>
  <c r="G18" i="8" s="1"/>
  <c r="G19" i="8" s="1"/>
  <c r="G23" i="8" s="1"/>
  <c r="G13" i="8"/>
  <c r="G5" i="8"/>
  <c r="G12" i="8" s="1"/>
  <c r="G7" i="8"/>
  <c r="G6" i="8"/>
  <c r="G4" i="8"/>
  <c r="G3" i="8"/>
  <c r="B11" i="8"/>
  <c r="N7" i="9"/>
  <c r="M6" i="9"/>
  <c r="M7" i="9" s="1"/>
  <c r="L7" i="9"/>
  <c r="K7" i="9"/>
  <c r="J7" i="9"/>
  <c r="I7" i="9"/>
  <c r="H7" i="9"/>
  <c r="L6" i="9"/>
  <c r="K6" i="9"/>
  <c r="J6" i="9"/>
  <c r="I6" i="9"/>
  <c r="H6" i="9"/>
  <c r="G6" i="9"/>
  <c r="F6" i="9"/>
  <c r="F7" i="9" s="1"/>
  <c r="E6" i="9"/>
  <c r="D6" i="9"/>
  <c r="C6" i="9"/>
  <c r="E7" i="9"/>
  <c r="D7" i="9"/>
  <c r="C7" i="9"/>
  <c r="H5" i="9"/>
  <c r="I5" i="9" s="1"/>
  <c r="J5" i="9" s="1"/>
  <c r="K5" i="9" s="1"/>
  <c r="L5" i="9" s="1"/>
  <c r="M5" i="9" s="1"/>
  <c r="M3" i="9"/>
  <c r="M4" i="9"/>
  <c r="L4" i="9"/>
  <c r="K4" i="9"/>
  <c r="J4" i="9"/>
  <c r="I4" i="9"/>
  <c r="H4" i="9"/>
  <c r="L3" i="9"/>
  <c r="L2" i="9"/>
  <c r="K3" i="9"/>
  <c r="J3" i="9"/>
  <c r="I3" i="9"/>
  <c r="H3" i="9"/>
  <c r="K2" i="9"/>
  <c r="J2" i="9"/>
  <c r="I2" i="9"/>
  <c r="H2" i="9"/>
  <c r="G7" i="9"/>
  <c r="G3" i="9"/>
  <c r="F3" i="9"/>
  <c r="F4" i="9" s="1"/>
  <c r="E3" i="9"/>
  <c r="D3" i="9"/>
  <c r="C3" i="9"/>
  <c r="C4" i="9" s="1"/>
  <c r="D5" i="9"/>
  <c r="E5" i="9" s="1"/>
  <c r="F5" i="9" s="1"/>
  <c r="G5" i="9" s="1"/>
  <c r="C5" i="9"/>
  <c r="G4" i="9"/>
  <c r="E4" i="9"/>
  <c r="D4" i="9"/>
  <c r="G2" i="9"/>
  <c r="F2" i="9"/>
  <c r="E2" i="9"/>
  <c r="D2" i="9"/>
  <c r="C2" i="9"/>
  <c r="B8" i="8"/>
  <c r="B8" i="5"/>
  <c r="G13" i="5"/>
  <c r="G12" i="5"/>
  <c r="G11" i="5"/>
  <c r="H11" i="5" s="1"/>
  <c r="G10" i="5"/>
  <c r="G9" i="5"/>
  <c r="H9" i="5" s="1"/>
  <c r="G8" i="5"/>
  <c r="H8" i="5" s="1"/>
  <c r="I37" i="5"/>
  <c r="H37" i="5"/>
  <c r="G37" i="5"/>
  <c r="F37" i="5"/>
  <c r="E37" i="5"/>
  <c r="D37" i="5"/>
  <c r="C37" i="5"/>
  <c r="F30" i="5"/>
  <c r="B31" i="5" s="1"/>
  <c r="B33" i="5" s="1"/>
  <c r="I36" i="5" s="1"/>
  <c r="I38" i="5" s="1"/>
  <c r="H13" i="5"/>
  <c r="H12" i="5"/>
  <c r="H10" i="5"/>
  <c r="L9" i="5"/>
  <c r="K9" i="5" s="1"/>
  <c r="L10" i="5" s="1"/>
  <c r="B17" i="5"/>
  <c r="B18" i="5" s="1"/>
  <c r="B7" i="5"/>
  <c r="F27" i="4"/>
  <c r="F32" i="4" s="1"/>
  <c r="F28" i="4"/>
  <c r="F29" i="4"/>
  <c r="F30" i="4"/>
  <c r="F31" i="4"/>
  <c r="F35" i="4"/>
  <c r="F41" i="4" s="1"/>
  <c r="F43" i="4" s="1"/>
  <c r="F36" i="4"/>
  <c r="F37" i="4"/>
  <c r="F38" i="4"/>
  <c r="F39" i="4"/>
  <c r="F40" i="4"/>
  <c r="F47" i="7" l="1"/>
  <c r="C90" i="7"/>
  <c r="G47" i="7"/>
  <c r="F49" i="7"/>
  <c r="F58" i="7" s="1"/>
  <c r="E38" i="7"/>
  <c r="F38" i="7"/>
  <c r="F62" i="7"/>
  <c r="E62" i="7"/>
  <c r="E61" i="7"/>
  <c r="E7" i="7"/>
  <c r="E12" i="7" s="1"/>
  <c r="E13" i="7" s="1"/>
  <c r="E15" i="7" s="1"/>
  <c r="E17" i="7" s="1"/>
  <c r="E19" i="7" s="1"/>
  <c r="B88" i="7" s="1"/>
  <c r="F80" i="7"/>
  <c r="F2" i="7" s="1"/>
  <c r="F61" i="7" s="1"/>
  <c r="G84" i="7"/>
  <c r="G78" i="7"/>
  <c r="G80" i="7" s="1"/>
  <c r="G2" i="7" s="1"/>
  <c r="G7" i="7" s="1"/>
  <c r="G49" i="7"/>
  <c r="G58" i="7" s="1"/>
  <c r="E37" i="7"/>
  <c r="E41" i="7" s="1"/>
  <c r="G71" i="7"/>
  <c r="G73" i="7" s="1"/>
  <c r="G5" i="7" s="1"/>
  <c r="G12" i="7" s="1"/>
  <c r="G13" i="7" s="1"/>
  <c r="G15" i="7" s="1"/>
  <c r="G17" i="7" s="1"/>
  <c r="G19" i="7" s="1"/>
  <c r="D88" i="7" s="1"/>
  <c r="F73" i="7"/>
  <c r="F5" i="7" s="1"/>
  <c r="H35" i="8"/>
  <c r="J35" i="8" s="1"/>
  <c r="I34" i="8"/>
  <c r="I35" i="8" s="1"/>
  <c r="G8" i="8"/>
  <c r="G11" i="8" s="1"/>
  <c r="G14" i="8" s="1"/>
  <c r="B19" i="5"/>
  <c r="K10" i="5"/>
  <c r="L11" i="5" s="1"/>
  <c r="B12" i="6"/>
  <c r="B11" i="6"/>
  <c r="E10" i="6"/>
  <c r="D10" i="6"/>
  <c r="C10" i="6"/>
  <c r="B10" i="6"/>
  <c r="E9" i="6"/>
  <c r="D9" i="6"/>
  <c r="C9" i="6"/>
  <c r="B9" i="6"/>
  <c r="E7" i="6"/>
  <c r="D7" i="6"/>
  <c r="C7" i="6"/>
  <c r="B7" i="6"/>
  <c r="E6" i="6"/>
  <c r="D6" i="6"/>
  <c r="C6" i="6"/>
  <c r="B6" i="6"/>
  <c r="C5" i="6"/>
  <c r="D2" i="6" s="1"/>
  <c r="D5" i="6" s="1"/>
  <c r="E2" i="6" s="1"/>
  <c r="E5" i="6" s="1"/>
  <c r="C2" i="6"/>
  <c r="B5" i="6"/>
  <c r="E4" i="6"/>
  <c r="D4" i="6"/>
  <c r="C4" i="6"/>
  <c r="B4" i="6"/>
  <c r="E3" i="4"/>
  <c r="E2" i="4"/>
  <c r="C15" i="4" s="1"/>
  <c r="C14" i="4"/>
  <c r="C11" i="4"/>
  <c r="D3" i="4"/>
  <c r="C3" i="4"/>
  <c r="C21" i="4" s="1"/>
  <c r="C22" i="4" s="1"/>
  <c r="B3" i="4"/>
  <c r="C18" i="4" s="1"/>
  <c r="C19" i="4" s="1"/>
  <c r="I7" i="3"/>
  <c r="H7" i="3"/>
  <c r="G7" i="3"/>
  <c r="F7" i="3"/>
  <c r="E7" i="3"/>
  <c r="D7" i="3"/>
  <c r="H6" i="3"/>
  <c r="G6" i="3"/>
  <c r="F6" i="3"/>
  <c r="E6" i="3"/>
  <c r="D6" i="3"/>
  <c r="H5" i="3"/>
  <c r="H4" i="3"/>
  <c r="E4" i="3"/>
  <c r="F4" i="3" s="1"/>
  <c r="G4" i="3" s="1"/>
  <c r="D4" i="3"/>
  <c r="C1" i="3"/>
  <c r="H9" i="2"/>
  <c r="G8" i="2"/>
  <c r="F8" i="2"/>
  <c r="E8" i="2"/>
  <c r="D8" i="2"/>
  <c r="C8" i="2"/>
  <c r="H8" i="2"/>
  <c r="E10" i="2"/>
  <c r="E11" i="2" s="1"/>
  <c r="G10" i="2"/>
  <c r="G11" i="2" s="1"/>
  <c r="F10" i="2"/>
  <c r="F11" i="2" s="1"/>
  <c r="D10" i="2"/>
  <c r="D11" i="2" s="1"/>
  <c r="C10" i="2"/>
  <c r="C11" i="2" s="1"/>
  <c r="C7" i="2"/>
  <c r="D7" i="2" s="1"/>
  <c r="E7" i="2" s="1"/>
  <c r="F7" i="2" s="1"/>
  <c r="G7" i="2" s="1"/>
  <c r="H7" i="2" s="1"/>
  <c r="C6" i="2"/>
  <c r="C5" i="2"/>
  <c r="D5" i="2" s="1"/>
  <c r="E5" i="2" s="1"/>
  <c r="F5" i="2" s="1"/>
  <c r="G5" i="2" s="1"/>
  <c r="C3" i="2"/>
  <c r="D3" i="2" s="1"/>
  <c r="E3" i="2" s="1"/>
  <c r="F3" i="2" s="1"/>
  <c r="G3" i="2" s="1"/>
  <c r="H3" i="2" s="1"/>
  <c r="C2" i="2"/>
  <c r="D2" i="2" s="1"/>
  <c r="E2" i="2" s="1"/>
  <c r="F2" i="2" s="1"/>
  <c r="G2" i="2" s="1"/>
  <c r="H2" i="2" s="1"/>
  <c r="B4" i="2"/>
  <c r="C4" i="2" s="1"/>
  <c r="D4" i="2" s="1"/>
  <c r="C29" i="1"/>
  <c r="D27" i="1"/>
  <c r="D25" i="1"/>
  <c r="C25" i="1"/>
  <c r="D24" i="1"/>
  <c r="C22" i="1"/>
  <c r="D20" i="1"/>
  <c r="D17" i="1"/>
  <c r="B19" i="1"/>
  <c r="F11" i="1"/>
  <c r="F10" i="1"/>
  <c r="F9" i="1"/>
  <c r="E11" i="1"/>
  <c r="C12" i="1"/>
  <c r="D9" i="1" s="1"/>
  <c r="G9" i="1" s="1"/>
  <c r="C6" i="1"/>
  <c r="G20" i="7" l="1"/>
  <c r="G21" i="7" s="1"/>
  <c r="F84" i="7"/>
  <c r="G38" i="7"/>
  <c r="G61" i="7"/>
  <c r="F7" i="7"/>
  <c r="F12" i="7" s="1"/>
  <c r="F13" i="7" s="1"/>
  <c r="F15" i="7" s="1"/>
  <c r="F17" i="7" s="1"/>
  <c r="F19" i="7" s="1"/>
  <c r="C88" i="7" s="1"/>
  <c r="G62" i="7"/>
  <c r="E20" i="7"/>
  <c r="E21" i="7" s="1"/>
  <c r="E27" i="7" s="1"/>
  <c r="B26" i="5"/>
  <c r="H36" i="5" s="1"/>
  <c r="H38" i="5" s="1"/>
  <c r="B25" i="5"/>
  <c r="G36" i="5" s="1"/>
  <c r="G38" i="5" s="1"/>
  <c r="B21" i="5"/>
  <c r="C36" i="5" s="1"/>
  <c r="C38" i="5" s="1"/>
  <c r="B24" i="5"/>
  <c r="F36" i="5" s="1"/>
  <c r="F38" i="5" s="1"/>
  <c r="B23" i="5"/>
  <c r="E36" i="5" s="1"/>
  <c r="E38" i="5" s="1"/>
  <c r="B22" i="5"/>
  <c r="D36" i="5" s="1"/>
  <c r="D38" i="5" s="1"/>
  <c r="K11" i="5"/>
  <c r="L12" i="5" s="1"/>
  <c r="C12" i="4"/>
  <c r="H10" i="2"/>
  <c r="B8" i="2"/>
  <c r="E4" i="2"/>
  <c r="D6" i="2"/>
  <c r="E6" i="2" s="1"/>
  <c r="F6" i="2" s="1"/>
  <c r="G6" i="2" s="1"/>
  <c r="D10" i="1"/>
  <c r="G10" i="1" s="1"/>
  <c r="D11" i="1"/>
  <c r="G11" i="1" s="1"/>
  <c r="E28" i="7" l="1"/>
  <c r="E42" i="7" s="1"/>
  <c r="E63" i="7" s="1"/>
  <c r="F20" i="7"/>
  <c r="F21" i="7" s="1"/>
  <c r="F27" i="7" s="1"/>
  <c r="G37" i="7"/>
  <c r="G41" i="7" s="1"/>
  <c r="F37" i="7"/>
  <c r="F41" i="7" s="1"/>
  <c r="K12" i="5"/>
  <c r="F4" i="2"/>
  <c r="G12" i="1"/>
  <c r="G27" i="7" l="1"/>
  <c r="G28" i="7" s="1"/>
  <c r="G42" i="7" s="1"/>
  <c r="G63" i="7" s="1"/>
  <c r="G66" i="7" s="1"/>
  <c r="G67" i="7" s="1"/>
  <c r="F28" i="7"/>
  <c r="F42" i="7"/>
  <c r="F63" i="7" s="1"/>
  <c r="F66" i="7" s="1"/>
  <c r="F67" i="7" s="1"/>
  <c r="L13" i="5"/>
  <c r="K13" i="5" s="1"/>
  <c r="L14" i="5" s="1"/>
  <c r="K14" i="5" s="1"/>
  <c r="L15" i="5" s="1"/>
  <c r="K15" i="5" s="1"/>
  <c r="B9" i="5"/>
  <c r="B10" i="5" s="1"/>
  <c r="B36" i="5" s="1"/>
  <c r="B38" i="5" s="1"/>
  <c r="L16" i="5"/>
  <c r="K16" i="5" s="1"/>
  <c r="L17" i="5" s="1"/>
  <c r="K17" i="5" s="1"/>
  <c r="G4" i="2"/>
  <c r="L18" i="5" l="1"/>
  <c r="K18" i="5" s="1"/>
  <c r="H4" i="2"/>
  <c r="B18" i="2" s="1"/>
  <c r="H11" i="2" s="1"/>
  <c r="B20" i="2" s="1"/>
  <c r="E66" i="7"/>
  <c r="E67" i="7" s="1"/>
</calcChain>
</file>

<file path=xl/sharedStrings.xml><?xml version="1.0" encoding="utf-8"?>
<sst xmlns="http://schemas.openxmlformats.org/spreadsheetml/2006/main" count="304" uniqueCount="234">
  <si>
    <t>Preferred Stock</t>
  </si>
  <si>
    <t>Bonds</t>
  </si>
  <si>
    <t>Common Stock</t>
  </si>
  <si>
    <t>Calculate WACC</t>
  </si>
  <si>
    <t>Required Return on Equity using CAPM: Rf + B(Rm - Rf)</t>
  </si>
  <si>
    <t>=</t>
  </si>
  <si>
    <t>Weights</t>
  </si>
  <si>
    <t>Required return (before tax)</t>
  </si>
  <si>
    <t>Post Tax</t>
  </si>
  <si>
    <t>WACC</t>
  </si>
  <si>
    <t>FCFF</t>
  </si>
  <si>
    <t>Net Income</t>
  </si>
  <si>
    <t>+</t>
  </si>
  <si>
    <t>Depreciation</t>
  </si>
  <si>
    <t>Interest</t>
  </si>
  <si>
    <t>-</t>
  </si>
  <si>
    <t>Investment in WC</t>
  </si>
  <si>
    <t>Investment in FC</t>
  </si>
  <si>
    <t>FCFE</t>
  </si>
  <si>
    <t>Net borrowings</t>
  </si>
  <si>
    <t>Single-stage FCFE</t>
  </si>
  <si>
    <t>Single-stage FCFF</t>
  </si>
  <si>
    <t>Year</t>
  </si>
  <si>
    <t>Sales</t>
  </si>
  <si>
    <t>EBIT</t>
  </si>
  <si>
    <t>EBIT (1-Tax)</t>
  </si>
  <si>
    <t>Investment in fixed Capital</t>
  </si>
  <si>
    <t>Investment in Working Capital</t>
  </si>
  <si>
    <t>Discount rate</t>
  </si>
  <si>
    <t>Terminal Value</t>
  </si>
  <si>
    <t>D0 * (1 + LT growth rate)/(r-LT growth rate) + D0 * T/2 * (ST growth rate - LT growth rate)/(r-LT growth rate)</t>
  </si>
  <si>
    <t>Perpetual</t>
  </si>
  <si>
    <t>Discount Rate</t>
  </si>
  <si>
    <t xml:space="preserve">Value </t>
  </si>
  <si>
    <t xml:space="preserve">Company Name </t>
  </si>
  <si>
    <t>Book Value of Equity 2023 (Rs Mn)</t>
  </si>
  <si>
    <t>Sales 2023 (Rs Mn)</t>
  </si>
  <si>
    <t>Shares outstanding (Mn)</t>
  </si>
  <si>
    <t>Price per share (Rs)</t>
  </si>
  <si>
    <t>TCS Limited</t>
  </si>
  <si>
    <t>Sun Pharma Limited</t>
  </si>
  <si>
    <t>Peer Group</t>
  </si>
  <si>
    <t>Pharma Index</t>
  </si>
  <si>
    <t>IT Index</t>
  </si>
  <si>
    <t>Mean P/B</t>
  </si>
  <si>
    <t>Median P/B</t>
  </si>
  <si>
    <t>Mean P/S</t>
  </si>
  <si>
    <t>Median P/S</t>
  </si>
  <si>
    <t>Book Value per share</t>
  </si>
  <si>
    <t>Price-to-book</t>
  </si>
  <si>
    <t>Sales per share</t>
  </si>
  <si>
    <t>Price-to-sales</t>
  </si>
  <si>
    <t>Recent share price</t>
  </si>
  <si>
    <t>Shares outstanding</t>
  </si>
  <si>
    <t>Market Value of Debt</t>
  </si>
  <si>
    <t>Cash and marketable securities</t>
  </si>
  <si>
    <t>Short-term investments</t>
  </si>
  <si>
    <t>Interest Expense</t>
  </si>
  <si>
    <t>Amortization</t>
  </si>
  <si>
    <t>Tax Rate</t>
  </si>
  <si>
    <t>All in Rs. Mn</t>
  </si>
  <si>
    <t>Rs. 43.8</t>
  </si>
  <si>
    <t>Ebitda</t>
  </si>
  <si>
    <t>Taxes</t>
  </si>
  <si>
    <t>Debt</t>
  </si>
  <si>
    <t>Cash</t>
  </si>
  <si>
    <t>Enterprise Value</t>
  </si>
  <si>
    <t>EV/Ebitda</t>
  </si>
  <si>
    <t>Market Value of Preference Capital</t>
  </si>
  <si>
    <t>Minority Interest</t>
  </si>
  <si>
    <t>Preference capital</t>
  </si>
  <si>
    <t>Equity Capital</t>
  </si>
  <si>
    <t>Beginning Book Value</t>
  </si>
  <si>
    <t>Earnings per share</t>
  </si>
  <si>
    <t>Dividend per share</t>
  </si>
  <si>
    <t>Ending Book Value</t>
  </si>
  <si>
    <t>Dividend Charge</t>
  </si>
  <si>
    <t>Residual Income</t>
  </si>
  <si>
    <t xml:space="preserve">V0 = </t>
  </si>
  <si>
    <t>Future residual income</t>
  </si>
  <si>
    <t>Beginning BV</t>
  </si>
  <si>
    <t>EXPENDITURE :</t>
  </si>
  <si>
    <t>Increase/Decrease in Stock</t>
  </si>
  <si>
    <t>Raw Material Consumed</t>
  </si>
  <si>
    <t>Power &amp; Fuel Cost</t>
  </si>
  <si>
    <t>Employee Cost</t>
  </si>
  <si>
    <t>Other Manufacturing Expenses</t>
  </si>
  <si>
    <t>General and Administration Expenses</t>
  </si>
  <si>
    <t>Selling and Distribution Expenses</t>
  </si>
  <si>
    <t>Miscellaneous Expenses</t>
  </si>
  <si>
    <t>Total Expenditure</t>
  </si>
  <si>
    <t>Operating Profit (Excl OI)</t>
  </si>
  <si>
    <t>Total Sales</t>
  </si>
  <si>
    <t>Other Income</t>
  </si>
  <si>
    <t>Operating Profit</t>
  </si>
  <si>
    <t>Earnings before Interest and Tax</t>
  </si>
  <si>
    <t>Profit before Tax</t>
  </si>
  <si>
    <t>Tax Expense</t>
  </si>
  <si>
    <t>Profit after Tax</t>
  </si>
  <si>
    <t>Initial Outlay</t>
  </si>
  <si>
    <t>Machine cost</t>
  </si>
  <si>
    <t>Installation charges</t>
  </si>
  <si>
    <t>Freight</t>
  </si>
  <si>
    <t>Net working capital</t>
  </si>
  <si>
    <t>Cash inflow</t>
  </si>
  <si>
    <t>Cash operating expenses</t>
  </si>
  <si>
    <t>- Tax</t>
  </si>
  <si>
    <t>Old</t>
  </si>
  <si>
    <t>New</t>
  </si>
  <si>
    <t>Year 1</t>
  </si>
  <si>
    <t>Year 2</t>
  </si>
  <si>
    <t>Year 3</t>
  </si>
  <si>
    <t>Year 4</t>
  </si>
  <si>
    <t>Year 5</t>
  </si>
  <si>
    <t>Year 6</t>
  </si>
  <si>
    <t>Salvage Value</t>
  </si>
  <si>
    <t xml:space="preserve">Tax on </t>
  </si>
  <si>
    <t>Outflow</t>
  </si>
  <si>
    <t>Terminal Cash flow</t>
  </si>
  <si>
    <t>Tax</t>
  </si>
  <si>
    <t>Book Value</t>
  </si>
  <si>
    <t>NPV</t>
  </si>
  <si>
    <t>Cash flow</t>
  </si>
  <si>
    <t>Discount Value</t>
  </si>
  <si>
    <t>EQUITY AND LIABILITIES</t>
  </si>
  <si>
    <t>Share Capital</t>
  </si>
  <si>
    <t>Share Warrants &amp; Outstandings</t>
  </si>
  <si>
    <t>Total Reserves</t>
  </si>
  <si>
    <t>Shareholder's Funds</t>
  </si>
  <si>
    <t>Long-Term Borrowings</t>
  </si>
  <si>
    <t>Secured Loans</t>
  </si>
  <si>
    <t>Unsecured Loans</t>
  </si>
  <si>
    <t>Deferred Tax Assets / Liabilities</t>
  </si>
  <si>
    <t>Other Long Term Liabilities</t>
  </si>
  <si>
    <t>Long Term Provisions</t>
  </si>
  <si>
    <t>Total Non-Current Liabilities</t>
  </si>
  <si>
    <t>Current Liabilities</t>
  </si>
  <si>
    <t>Trade Payables</t>
  </si>
  <si>
    <t>Other Current Liabilities</t>
  </si>
  <si>
    <t>Short Term Borrowings</t>
  </si>
  <si>
    <t>Short Term Provisions</t>
  </si>
  <si>
    <t>Total Current Liabilities</t>
  </si>
  <si>
    <t>Total Liabilities</t>
  </si>
  <si>
    <t>ASSETS</t>
  </si>
  <si>
    <t>Non-Current Assets</t>
  </si>
  <si>
    <t>Gross Block</t>
  </si>
  <si>
    <t>Less: Accumulated Depreciation</t>
  </si>
  <si>
    <t>Less: Impairment of Assets</t>
  </si>
  <si>
    <t>Net Block</t>
  </si>
  <si>
    <t>Lease Adjustment A/c</t>
  </si>
  <si>
    <t>Capital Work in Progress</t>
  </si>
  <si>
    <t>Intangible assets under development</t>
  </si>
  <si>
    <t>Pre-operative Expenses pending</t>
  </si>
  <si>
    <t>Assets in transit</t>
  </si>
  <si>
    <t>Non Current Investments</t>
  </si>
  <si>
    <t>Long Term Loans &amp; Advances</t>
  </si>
  <si>
    <t>Other Non Current Assets</t>
  </si>
  <si>
    <t>Total Non-Current Assets</t>
  </si>
  <si>
    <t>Current Assets  Loans &amp; Advances</t>
  </si>
  <si>
    <t>Currents Investments</t>
  </si>
  <si>
    <t>Inventories</t>
  </si>
  <si>
    <t>Sundry Debtors</t>
  </si>
  <si>
    <t>Cash and Bank</t>
  </si>
  <si>
    <t>Other Current Assets</t>
  </si>
  <si>
    <t>Short Term Loans and Advances</t>
  </si>
  <si>
    <t>Total Current Assets</t>
  </si>
  <si>
    <t>Total Assets</t>
  </si>
  <si>
    <t>Profit and Loss Statement for the year ended (Mn)</t>
  </si>
  <si>
    <t>Balance Sheet as on (Mn)</t>
  </si>
  <si>
    <t>GPW Statement of Income for year ended 31/03/2023</t>
  </si>
  <si>
    <t>Expenses:</t>
  </si>
  <si>
    <t>- Cost of goods sold, general and operating expenses</t>
  </si>
  <si>
    <t>- Non-cash charges</t>
  </si>
  <si>
    <t>- Interes on long-term debt</t>
  </si>
  <si>
    <t>(Rs. Mn)</t>
  </si>
  <si>
    <t>Income before tax</t>
  </si>
  <si>
    <t>Income Tax</t>
  </si>
  <si>
    <t>Dividend</t>
  </si>
  <si>
    <t>Growth Rate</t>
  </si>
  <si>
    <t>Discount Rate value</t>
  </si>
  <si>
    <t>Present Value</t>
  </si>
  <si>
    <t>Additional Information</t>
  </si>
  <si>
    <t>Risk-free rate</t>
  </si>
  <si>
    <t>2023 working capital investment</t>
  </si>
  <si>
    <t>2023 dividends</t>
  </si>
  <si>
    <t>Beta</t>
  </si>
  <si>
    <t>2023 investment in fixed capital</t>
  </si>
  <si>
    <t>Market risk premium</t>
  </si>
  <si>
    <t>Total equity 2023</t>
  </si>
  <si>
    <t xml:space="preserve">Shares outstanding </t>
  </si>
  <si>
    <t>Share price</t>
  </si>
  <si>
    <t>Rs. 64</t>
  </si>
  <si>
    <t>FCFE - 2023</t>
  </si>
  <si>
    <t>Non-cash</t>
  </si>
  <si>
    <t>Fixed capital</t>
  </si>
  <si>
    <t>WC</t>
  </si>
  <si>
    <t>FCFF - 2023</t>
  </si>
  <si>
    <t xml:space="preserve">Net borrowing </t>
  </si>
  <si>
    <t>Net borrowing</t>
  </si>
  <si>
    <t>FCFF - 2024</t>
  </si>
  <si>
    <t>Post tax</t>
  </si>
  <si>
    <t>Cost of equity</t>
  </si>
  <si>
    <t>Discount rate Value</t>
  </si>
  <si>
    <t>Sales breakup</t>
  </si>
  <si>
    <t>Brand A</t>
  </si>
  <si>
    <t>Brand B</t>
  </si>
  <si>
    <t>Total Volume</t>
  </si>
  <si>
    <t>Price per pen - A</t>
  </si>
  <si>
    <t>Price per pen - B</t>
  </si>
  <si>
    <t>Sales - A</t>
  </si>
  <si>
    <t>Sales - B</t>
  </si>
  <si>
    <t>Raw material consumed per pen</t>
  </si>
  <si>
    <t>COGS</t>
  </si>
  <si>
    <t>Cash flow from operations</t>
  </si>
  <si>
    <t>PBT</t>
  </si>
  <si>
    <t>Adjustments:</t>
  </si>
  <si>
    <t>Depreciation expense</t>
  </si>
  <si>
    <t>Interest expense</t>
  </si>
  <si>
    <t>Provision for bad debts</t>
  </si>
  <si>
    <t>Gain on Sale of P&amp;M</t>
  </si>
  <si>
    <t>Loss on Sale of Investments</t>
  </si>
  <si>
    <t>CFO before Working capital</t>
  </si>
  <si>
    <t xml:space="preserve">Trade receivables </t>
  </si>
  <si>
    <t>Other current assets</t>
  </si>
  <si>
    <t>Short-term loans</t>
  </si>
  <si>
    <t>Trade payables</t>
  </si>
  <si>
    <t>Other current liabilities</t>
  </si>
  <si>
    <t>Short-term provisions</t>
  </si>
  <si>
    <t>CFO after working capital</t>
  </si>
  <si>
    <t>Taxes paid</t>
  </si>
  <si>
    <t>Machine A</t>
  </si>
  <si>
    <t>Machine B</t>
  </si>
  <si>
    <t xml:space="preserve">Discount value </t>
  </si>
  <si>
    <t>Machine B is better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</si>
</sst>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0.000%"/>
    <numFmt numFmtId="168" formatCode="_ * #,##0.0_ ;_ * \-#,##0.0_ ;_ * &quot;-&quot;?_ ;_ @_ "/>
    <numFmt numFmtId="169" formatCode="_ * #,##0.000_ ;_ * \-#,##0.000_ ;_ * &quot;-&quot;??_ ;_ @_ "/>
    <numFmt numFmtId="170" formatCode="_ * #,##0.00000_ ;_ * \-#,##0.0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9" fontId="0" fillId="0" borderId="0" xfId="0" applyNumberFormat="1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0" fontId="0" fillId="0" borderId="0" xfId="0" quotePrefix="1"/>
    <xf numFmtId="9" fontId="0" fillId="0" borderId="0" xfId="2" applyFont="1"/>
    <xf numFmtId="166" fontId="0" fillId="0" borderId="0" xfId="2" applyNumberFormat="1" applyFont="1"/>
    <xf numFmtId="10" fontId="0" fillId="0" borderId="0" xfId="2" applyNumberFormat="1" applyFont="1"/>
    <xf numFmtId="165" fontId="0" fillId="0" borderId="0" xfId="0" applyNumberFormat="1"/>
    <xf numFmtId="167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164" fontId="0" fillId="0" borderId="0" xfId="0" applyNumberFormat="1"/>
    <xf numFmtId="167" fontId="0" fillId="2" borderId="0" xfId="0" applyNumberFormat="1" applyFill="1"/>
    <xf numFmtId="165" fontId="0" fillId="2" borderId="0" xfId="1" applyNumberFormat="1" applyFont="1" applyFill="1"/>
    <xf numFmtId="165" fontId="0" fillId="2" borderId="0" xfId="0" applyNumberFormat="1" applyFill="1"/>
    <xf numFmtId="165" fontId="0" fillId="0" borderId="0" xfId="1" applyNumberFormat="1" applyFont="1" applyFill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17" fontId="3" fillId="0" borderId="0" xfId="0" applyNumberFormat="1" applyFont="1"/>
    <xf numFmtId="17" fontId="2" fillId="0" borderId="0" xfId="0" applyNumberFormat="1" applyFont="1"/>
    <xf numFmtId="168" fontId="0" fillId="0" borderId="0" xfId="0" applyNumberFormat="1"/>
    <xf numFmtId="165" fontId="2" fillId="0" borderId="0" xfId="1" applyNumberFormat="1" applyFont="1"/>
    <xf numFmtId="169" fontId="0" fillId="0" borderId="0" xfId="1" applyNumberFormat="1" applyFont="1"/>
    <xf numFmtId="169" fontId="0" fillId="0" borderId="0" xfId="0" applyNumberFormat="1"/>
    <xf numFmtId="10" fontId="0" fillId="0" borderId="0" xfId="0" applyNumberFormat="1"/>
    <xf numFmtId="170" fontId="0" fillId="0" borderId="0" xfId="1" applyNumberFormat="1" applyFont="1"/>
    <xf numFmtId="43" fontId="2" fillId="0" borderId="0" xfId="1" applyFont="1"/>
    <xf numFmtId="165" fontId="0" fillId="0" borderId="0" xfId="1" applyNumberFormat="1" applyFont="1" applyAlignment="1">
      <alignment horizontal="right"/>
    </xf>
    <xf numFmtId="9" fontId="0" fillId="0" borderId="0" xfId="1" applyNumberFormat="1" applyFont="1"/>
    <xf numFmtId="43" fontId="2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vertical="center"/>
    </xf>
    <xf numFmtId="1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/>
    <xf numFmtId="165" fontId="5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/>
    <xf numFmtId="43" fontId="5" fillId="0" borderId="0" xfId="1" applyFont="1" applyBorder="1" applyAlignment="1">
      <alignment vertical="center"/>
    </xf>
    <xf numFmtId="43" fontId="0" fillId="0" borderId="0" xfId="1" applyFont="1" applyBorder="1"/>
    <xf numFmtId="165" fontId="1" fillId="0" borderId="0" xfId="1" applyNumberFormat="1" applyFont="1"/>
    <xf numFmtId="164" fontId="1" fillId="0" borderId="0" xfId="1" applyNumberFormat="1" applyFont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4"/>
  <sheetViews>
    <sheetView topLeftCell="A16" workbookViewId="0">
      <selection activeCell="D10" sqref="D10"/>
    </sheetView>
  </sheetViews>
  <sheetFormatPr defaultRowHeight="15" x14ac:dyDescent="0.25"/>
  <cols>
    <col min="2" max="2" width="16.7109375" customWidth="1"/>
    <col min="3" max="3" width="15.5703125" bestFit="1" customWidth="1"/>
    <col min="5" max="5" width="24.5703125" bestFit="1" customWidth="1"/>
    <col min="7" max="7" width="20" bestFit="1" customWidth="1"/>
  </cols>
  <sheetData>
    <row r="3" spans="1:7" x14ac:dyDescent="0.25">
      <c r="A3">
        <v>1</v>
      </c>
      <c r="B3" t="s">
        <v>3</v>
      </c>
    </row>
    <row r="5" spans="1:7" x14ac:dyDescent="0.25">
      <c r="B5" t="s">
        <v>4</v>
      </c>
    </row>
    <row r="6" spans="1:7" x14ac:dyDescent="0.25">
      <c r="B6" s="13" t="s">
        <v>5</v>
      </c>
      <c r="C6" s="10">
        <f>7.4%+(1.2*4%)</f>
        <v>0.12200000000000001</v>
      </c>
    </row>
    <row r="8" spans="1:7" x14ac:dyDescent="0.25">
      <c r="D8" t="s">
        <v>6</v>
      </c>
      <c r="E8" t="s">
        <v>7</v>
      </c>
      <c r="F8" t="s">
        <v>8</v>
      </c>
      <c r="G8" t="s">
        <v>9</v>
      </c>
    </row>
    <row r="9" spans="1:7" x14ac:dyDescent="0.25">
      <c r="B9" t="s">
        <v>0</v>
      </c>
      <c r="C9" s="5">
        <v>400</v>
      </c>
      <c r="D9" s="9">
        <f>C9/$C$12</f>
        <v>0.21621621621621623</v>
      </c>
      <c r="E9" s="6">
        <v>7.4999999999999997E-2</v>
      </c>
      <c r="F9" s="6">
        <f>E9</f>
        <v>7.4999999999999997E-2</v>
      </c>
      <c r="G9" s="12">
        <f>F9*D9</f>
        <v>1.6216216216216217E-2</v>
      </c>
    </row>
    <row r="10" spans="1:7" x14ac:dyDescent="0.25">
      <c r="B10" t="s">
        <v>1</v>
      </c>
      <c r="C10" s="5">
        <v>650</v>
      </c>
      <c r="D10" s="9">
        <f t="shared" ref="D10:D11" si="0">C10/$C$12</f>
        <v>0.35135135135135137</v>
      </c>
      <c r="E10" s="6">
        <v>0.08</v>
      </c>
      <c r="F10" s="9">
        <f>E10*0.75</f>
        <v>0.06</v>
      </c>
      <c r="G10" s="12">
        <f t="shared" ref="G10:G11" si="1">F10*D10</f>
        <v>2.1081081081081081E-2</v>
      </c>
    </row>
    <row r="11" spans="1:7" x14ac:dyDescent="0.25">
      <c r="B11" t="s">
        <v>2</v>
      </c>
      <c r="C11" s="5">
        <v>800</v>
      </c>
      <c r="D11" s="9">
        <f t="shared" si="0"/>
        <v>0.43243243243243246</v>
      </c>
      <c r="E11" s="6">
        <f>C6</f>
        <v>0.12200000000000001</v>
      </c>
      <c r="F11" s="6">
        <f>E11</f>
        <v>0.12200000000000001</v>
      </c>
      <c r="G11" s="12">
        <f t="shared" si="1"/>
        <v>5.2756756756756763E-2</v>
      </c>
    </row>
    <row r="12" spans="1:7" x14ac:dyDescent="0.25">
      <c r="C12" s="11">
        <f>SUM(C9:C11)</f>
        <v>1850</v>
      </c>
      <c r="G12" s="17">
        <f>SUM(G9:G11)</f>
        <v>9.0054054054054061E-2</v>
      </c>
    </row>
    <row r="14" spans="1:7" x14ac:dyDescent="0.25">
      <c r="D14" s="5"/>
    </row>
    <row r="15" spans="1:7" x14ac:dyDescent="0.25">
      <c r="A15">
        <v>2</v>
      </c>
      <c r="B15" t="s">
        <v>10</v>
      </c>
      <c r="C15" t="s">
        <v>11</v>
      </c>
      <c r="D15" s="5">
        <v>150</v>
      </c>
    </row>
    <row r="16" spans="1:7" x14ac:dyDescent="0.25">
      <c r="B16" s="13" t="s">
        <v>12</v>
      </c>
      <c r="C16" t="s">
        <v>13</v>
      </c>
      <c r="D16" s="5">
        <v>50</v>
      </c>
    </row>
    <row r="17" spans="1:4" x14ac:dyDescent="0.25">
      <c r="B17" s="13" t="s">
        <v>12</v>
      </c>
      <c r="C17" t="s">
        <v>14</v>
      </c>
      <c r="D17" s="5">
        <f>C10*F10</f>
        <v>39</v>
      </c>
    </row>
    <row r="18" spans="1:4" x14ac:dyDescent="0.25">
      <c r="B18" s="13" t="s">
        <v>15</v>
      </c>
      <c r="C18" t="s">
        <v>16</v>
      </c>
      <c r="D18" s="5">
        <v>25</v>
      </c>
    </row>
    <row r="19" spans="1:4" x14ac:dyDescent="0.25">
      <c r="B19" s="14" t="str">
        <f>B18</f>
        <v>-</v>
      </c>
      <c r="C19" t="s">
        <v>17</v>
      </c>
      <c r="D19" s="5">
        <v>55</v>
      </c>
    </row>
    <row r="20" spans="1:4" x14ac:dyDescent="0.25">
      <c r="B20" s="14"/>
      <c r="C20" t="s">
        <v>10</v>
      </c>
      <c r="D20" s="18">
        <f>D15+D16+D17-D18-D19</f>
        <v>159</v>
      </c>
    </row>
    <row r="21" spans="1:4" x14ac:dyDescent="0.25">
      <c r="D21" s="5"/>
    </row>
    <row r="22" spans="1:4" x14ac:dyDescent="0.25">
      <c r="A22">
        <v>3</v>
      </c>
      <c r="B22" t="s">
        <v>21</v>
      </c>
      <c r="C22" s="18">
        <f>(159*(1+5%))/(G12-5%)</f>
        <v>4168.1174089068827</v>
      </c>
      <c r="D22" s="5"/>
    </row>
    <row r="23" spans="1:4" x14ac:dyDescent="0.25">
      <c r="D23" s="5"/>
    </row>
    <row r="24" spans="1:4" x14ac:dyDescent="0.25">
      <c r="A24">
        <v>4</v>
      </c>
      <c r="B24" t="s">
        <v>18</v>
      </c>
      <c r="C24" t="s">
        <v>10</v>
      </c>
      <c r="D24" s="5">
        <f>D20</f>
        <v>159</v>
      </c>
    </row>
    <row r="25" spans="1:4" x14ac:dyDescent="0.25">
      <c r="B25" s="13" t="s">
        <v>15</v>
      </c>
      <c r="C25" t="str">
        <f>C17</f>
        <v>Interest</v>
      </c>
      <c r="D25" s="5">
        <f>D17</f>
        <v>39</v>
      </c>
    </row>
    <row r="26" spans="1:4" x14ac:dyDescent="0.25">
      <c r="B26" s="13" t="s">
        <v>12</v>
      </c>
      <c r="C26" t="s">
        <v>19</v>
      </c>
      <c r="D26" s="5">
        <v>45</v>
      </c>
    </row>
    <row r="27" spans="1:4" x14ac:dyDescent="0.25">
      <c r="C27" t="s">
        <v>18</v>
      </c>
      <c r="D27" s="18">
        <f>D24-D25+D26</f>
        <v>165</v>
      </c>
    </row>
    <row r="28" spans="1:4" x14ac:dyDescent="0.25">
      <c r="D28" s="5"/>
    </row>
    <row r="29" spans="1:4" x14ac:dyDescent="0.25">
      <c r="A29">
        <v>5</v>
      </c>
      <c r="B29" t="s">
        <v>20</v>
      </c>
      <c r="C29" s="19">
        <f>(D27*(1+4%))/(C6-4%)</f>
        <v>2092.6829268292677</v>
      </c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F6B5-CACF-4C62-893E-137AA5E31AA3}">
  <dimension ref="A1:O12"/>
  <sheetViews>
    <sheetView workbookViewId="0">
      <selection activeCell="H11" sqref="H11"/>
    </sheetView>
  </sheetViews>
  <sheetFormatPr defaultRowHeight="15" x14ac:dyDescent="0.25"/>
  <cols>
    <col min="1" max="1" width="19.140625" customWidth="1"/>
  </cols>
  <sheetData>
    <row r="1" spans="1:15" x14ac:dyDescent="0.25">
      <c r="A1" s="1" t="s">
        <v>22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 t="s">
        <v>31</v>
      </c>
    </row>
    <row r="2" spans="1:15" x14ac:dyDescent="0.25">
      <c r="A2" t="s">
        <v>178</v>
      </c>
      <c r="C2" s="10">
        <f>25%*36.4%</f>
        <v>9.0999999999999998E-2</v>
      </c>
      <c r="D2" s="10">
        <f t="shared" ref="D2:G2" si="0">25%*36.4%</f>
        <v>9.0999999999999998E-2</v>
      </c>
      <c r="E2" s="10">
        <f t="shared" si="0"/>
        <v>9.0999999999999998E-2</v>
      </c>
      <c r="F2" s="10">
        <f t="shared" si="0"/>
        <v>9.0999999999999998E-2</v>
      </c>
      <c r="G2" s="10">
        <f t="shared" si="0"/>
        <v>9.0999999999999998E-2</v>
      </c>
      <c r="H2" s="10">
        <f>15%*45%</f>
        <v>6.7500000000000004E-2</v>
      </c>
      <c r="I2" s="10">
        <f t="shared" ref="I2:L2" si="1">15%*45%</f>
        <v>6.7500000000000004E-2</v>
      </c>
      <c r="J2" s="10">
        <f t="shared" si="1"/>
        <v>6.7500000000000004E-2</v>
      </c>
      <c r="K2" s="10">
        <f t="shared" si="1"/>
        <v>6.7500000000000004E-2</v>
      </c>
      <c r="L2" s="10">
        <f t="shared" si="1"/>
        <v>6.7500000000000004E-2</v>
      </c>
      <c r="M2" s="30">
        <v>0.05</v>
      </c>
    </row>
    <row r="3" spans="1:15" x14ac:dyDescent="0.25">
      <c r="A3" t="s">
        <v>32</v>
      </c>
      <c r="C3" s="30">
        <f>(3.5%+(0.9*5.5%))</f>
        <v>8.4500000000000006E-2</v>
      </c>
      <c r="D3" s="30">
        <f t="shared" ref="D3:L3" si="2">(3.5%+(0.9*5.5%))</f>
        <v>8.4500000000000006E-2</v>
      </c>
      <c r="E3" s="30">
        <f t="shared" si="2"/>
        <v>8.4500000000000006E-2</v>
      </c>
      <c r="F3" s="30">
        <f t="shared" si="2"/>
        <v>8.4500000000000006E-2</v>
      </c>
      <c r="G3" s="30">
        <f t="shared" si="2"/>
        <v>8.4500000000000006E-2</v>
      </c>
      <c r="H3" s="30">
        <f t="shared" si="2"/>
        <v>8.4500000000000006E-2</v>
      </c>
      <c r="I3" s="30">
        <f t="shared" si="2"/>
        <v>8.4500000000000006E-2</v>
      </c>
      <c r="J3" s="30">
        <f t="shared" si="2"/>
        <v>8.4500000000000006E-2</v>
      </c>
      <c r="K3" s="30">
        <f t="shared" si="2"/>
        <v>8.4500000000000006E-2</v>
      </c>
      <c r="L3" s="30">
        <f t="shared" si="2"/>
        <v>8.4500000000000006E-2</v>
      </c>
      <c r="M3" s="30">
        <f>L3</f>
        <v>8.4500000000000006E-2</v>
      </c>
    </row>
    <row r="4" spans="1:15" x14ac:dyDescent="0.25">
      <c r="A4" t="s">
        <v>179</v>
      </c>
      <c r="C4" s="3">
        <f>1/(1+C3)^C1</f>
        <v>0.9220839096357768</v>
      </c>
      <c r="D4" s="3">
        <f t="shared" ref="D4:G4" si="3">1/(1+D3)^D1</f>
        <v>0.85023873640919945</v>
      </c>
      <c r="E4" s="3">
        <f t="shared" si="3"/>
        <v>0.78399145819197735</v>
      </c>
      <c r="F4" s="3">
        <f t="shared" si="3"/>
        <v>0.72290590889071216</v>
      </c>
      <c r="G4" s="3">
        <f t="shared" si="3"/>
        <v>0.66657990676875256</v>
      </c>
      <c r="H4" s="3">
        <f t="shared" ref="H4" si="4">1/(1+H3)^H1</f>
        <v>0.61464260651798308</v>
      </c>
      <c r="I4" s="3">
        <f t="shared" ref="I4" si="5">1/(1+I3)^I1</f>
        <v>0.56675205764682612</v>
      </c>
      <c r="J4" s="3">
        <f t="shared" ref="J4" si="6">1/(1+J3)^J1</f>
        <v>0.52259295310910669</v>
      </c>
      <c r="K4" s="3">
        <f t="shared" ref="K4" si="7">1/(1+K3)^K1</f>
        <v>0.48187455335095131</v>
      </c>
      <c r="L4" s="3">
        <f t="shared" ref="L4" si="8">1/(1+L3)^L1</f>
        <v>0.44432877210783894</v>
      </c>
      <c r="M4" s="15">
        <f>L4</f>
        <v>0.44432877210783894</v>
      </c>
    </row>
    <row r="5" spans="1:15" x14ac:dyDescent="0.25">
      <c r="A5" t="s">
        <v>73</v>
      </c>
      <c r="B5" s="3">
        <v>3.56</v>
      </c>
      <c r="C5" s="3">
        <f>B5*(1+C2)</f>
        <v>3.8839600000000001</v>
      </c>
      <c r="D5" s="3">
        <f t="shared" ref="D5:M5" si="9">C5*(1+D2)</f>
        <v>4.2374003599999996</v>
      </c>
      <c r="E5" s="3">
        <f t="shared" si="9"/>
        <v>4.6230037927599996</v>
      </c>
      <c r="F5" s="3">
        <f t="shared" si="9"/>
        <v>5.0436971379011597</v>
      </c>
      <c r="G5" s="3">
        <f t="shared" si="9"/>
        <v>5.5026735774501647</v>
      </c>
      <c r="H5" s="3">
        <f t="shared" si="9"/>
        <v>5.8741040439280505</v>
      </c>
      <c r="I5" s="3">
        <f t="shared" si="9"/>
        <v>6.2706060668931931</v>
      </c>
      <c r="J5" s="3">
        <f t="shared" si="9"/>
        <v>6.6938719764084826</v>
      </c>
      <c r="K5" s="3">
        <f t="shared" si="9"/>
        <v>7.1457083348160548</v>
      </c>
      <c r="L5" s="3">
        <f t="shared" si="9"/>
        <v>7.6280436474161375</v>
      </c>
      <c r="M5" s="3">
        <f t="shared" si="9"/>
        <v>8.0094458297869444</v>
      </c>
      <c r="N5" s="3"/>
      <c r="O5" s="3"/>
    </row>
    <row r="6" spans="1:15" x14ac:dyDescent="0.25">
      <c r="A6" t="s">
        <v>177</v>
      </c>
      <c r="B6" s="3">
        <v>1.88</v>
      </c>
      <c r="C6" s="3">
        <f>C5*36.4%</f>
        <v>1.41376144</v>
      </c>
      <c r="D6" s="3">
        <f t="shared" ref="D6:G6" si="10">D5*36.4%</f>
        <v>1.5424137310399999</v>
      </c>
      <c r="E6" s="3">
        <f t="shared" si="10"/>
        <v>1.6827733805646399</v>
      </c>
      <c r="F6" s="3">
        <f t="shared" si="10"/>
        <v>1.8359057581960221</v>
      </c>
      <c r="G6" s="3">
        <f t="shared" si="10"/>
        <v>2.0029731821918597</v>
      </c>
      <c r="H6" s="3">
        <f>H5*40%</f>
        <v>2.3496416175712205</v>
      </c>
      <c r="I6" s="3">
        <f t="shared" ref="I6:L6" si="11">I5*40%</f>
        <v>2.5082424267572776</v>
      </c>
      <c r="J6" s="3">
        <f t="shared" si="11"/>
        <v>2.6775487905633932</v>
      </c>
      <c r="K6" s="3">
        <f t="shared" si="11"/>
        <v>2.8582833339264222</v>
      </c>
      <c r="L6" s="3">
        <f t="shared" si="11"/>
        <v>3.0512174589664554</v>
      </c>
      <c r="M6" s="3">
        <f>(M5*42%)/(M3-M2)</f>
        <v>97.506297058275834</v>
      </c>
      <c r="N6" s="3"/>
      <c r="O6" s="3"/>
    </row>
    <row r="7" spans="1:15" x14ac:dyDescent="0.25">
      <c r="A7" t="s">
        <v>180</v>
      </c>
      <c r="B7" s="3"/>
      <c r="C7" s="3">
        <f>C6*C4</f>
        <v>1.3036066758875058</v>
      </c>
      <c r="D7" s="3">
        <f t="shared" ref="D7:G7" si="12">D6*D4</f>
        <v>1.3114199016996484</v>
      </c>
      <c r="E7" s="3">
        <f t="shared" si="12"/>
        <v>1.3192799564355153</v>
      </c>
      <c r="F7" s="3">
        <f t="shared" si="12"/>
        <v>1.3271871207663875</v>
      </c>
      <c r="G7" s="3">
        <f t="shared" si="12"/>
        <v>1.3351416770457616</v>
      </c>
      <c r="H7" s="3">
        <f t="shared" ref="H7" si="13">H6*H4</f>
        <v>1.4441898482071049</v>
      </c>
      <c r="I7" s="3">
        <f t="shared" ref="I7" si="14">I6*I4</f>
        <v>1.4215515564417556</v>
      </c>
      <c r="J7" s="3">
        <f t="shared" ref="J7" si="15">J6*J4</f>
        <v>1.3992681295542406</v>
      </c>
      <c r="K7" s="3">
        <f t="shared" ref="K7" si="16">K6*K4</f>
        <v>1.3773340048862628</v>
      </c>
      <c r="L7" s="3">
        <f t="shared" ref="L7" si="17">L6*L4</f>
        <v>1.3557437069765657</v>
      </c>
      <c r="M7" s="3">
        <f t="shared" ref="M7" si="18">M6*M4</f>
        <v>43.32485324468589</v>
      </c>
      <c r="N7" s="32">
        <f>SUM(C7:M7)</f>
        <v>56.919575822586637</v>
      </c>
      <c r="O7" s="3"/>
    </row>
    <row r="8" spans="1:1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B10" s="3"/>
      <c r="C10" s="3"/>
      <c r="D10" s="3"/>
      <c r="E10" s="3"/>
      <c r="F10" s="3"/>
      <c r="G10" s="31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893C-DDFA-4BF6-9E5A-1B665D383146}">
  <dimension ref="A1:F43"/>
  <sheetViews>
    <sheetView workbookViewId="0">
      <selection activeCell="B25" sqref="B25"/>
    </sheetView>
  </sheetViews>
  <sheetFormatPr defaultRowHeight="15" x14ac:dyDescent="0.25"/>
  <cols>
    <col min="1" max="1" width="17.5703125" bestFit="1" customWidth="1"/>
    <col min="2" max="2" width="29.7109375" bestFit="1" customWidth="1"/>
    <col min="3" max="3" width="16.42578125" bestFit="1" customWidth="1"/>
    <col min="4" max="4" width="21.5703125" bestFit="1" customWidth="1"/>
    <col min="5" max="5" width="17" bestFit="1" customWidth="1"/>
  </cols>
  <sheetData>
    <row r="1" spans="1:6" x14ac:dyDescent="0.25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</row>
    <row r="2" spans="1:6" x14ac:dyDescent="0.25">
      <c r="A2" t="s">
        <v>40</v>
      </c>
      <c r="B2" s="5">
        <v>29925</v>
      </c>
      <c r="C2" s="5">
        <v>48559.5</v>
      </c>
      <c r="D2" s="5">
        <v>9243</v>
      </c>
      <c r="E2" s="4">
        <f>31.37*0.9</f>
        <v>28.233000000000001</v>
      </c>
      <c r="F2" s="5"/>
    </row>
    <row r="3" spans="1:6" x14ac:dyDescent="0.25">
      <c r="A3" t="s">
        <v>39</v>
      </c>
      <c r="B3" s="5">
        <f>61020*0.75</f>
        <v>45765</v>
      </c>
      <c r="C3" s="5">
        <f>32187*0.75</f>
        <v>24140.25</v>
      </c>
      <c r="D3" s="5">
        <f>10771*0.75</f>
        <v>8078.25</v>
      </c>
      <c r="E3" s="4">
        <f>25.63</f>
        <v>25.63</v>
      </c>
      <c r="F3" s="5"/>
    </row>
    <row r="6" spans="1:6" x14ac:dyDescent="0.25">
      <c r="A6" s="1" t="s">
        <v>41</v>
      </c>
      <c r="B6" s="1" t="s">
        <v>44</v>
      </c>
      <c r="C6" s="1" t="s">
        <v>45</v>
      </c>
      <c r="D6" s="1" t="s">
        <v>46</v>
      </c>
      <c r="E6" s="1" t="s">
        <v>47</v>
      </c>
    </row>
    <row r="7" spans="1:6" x14ac:dyDescent="0.25">
      <c r="A7" t="s">
        <v>42</v>
      </c>
      <c r="B7" s="3">
        <v>5.62</v>
      </c>
      <c r="C7" s="3">
        <v>4.25</v>
      </c>
      <c r="D7" s="3">
        <v>5.2</v>
      </c>
      <c r="E7" s="3">
        <v>4.53</v>
      </c>
    </row>
    <row r="8" spans="1:6" x14ac:dyDescent="0.25">
      <c r="A8" t="s">
        <v>43</v>
      </c>
      <c r="B8" s="3">
        <v>4.0999999999999996</v>
      </c>
      <c r="C8" s="3">
        <v>2.14</v>
      </c>
      <c r="D8" s="3">
        <v>3.42</v>
      </c>
      <c r="E8" s="3">
        <v>1.44</v>
      </c>
    </row>
    <row r="10" spans="1:6" x14ac:dyDescent="0.25">
      <c r="C10" s="3"/>
      <c r="D10" s="3"/>
      <c r="E10" s="3"/>
    </row>
    <row r="11" spans="1:6" x14ac:dyDescent="0.25">
      <c r="A11">
        <v>1</v>
      </c>
      <c r="B11" t="s">
        <v>48</v>
      </c>
      <c r="C11" s="3">
        <f>B2/D2</f>
        <v>3.2375851996105163</v>
      </c>
      <c r="D11" s="3"/>
      <c r="E11" s="3"/>
    </row>
    <row r="12" spans="1:6" x14ac:dyDescent="0.25">
      <c r="B12" t="s">
        <v>49</v>
      </c>
      <c r="C12" s="21">
        <f>E2/C11</f>
        <v>8.7203882706766915</v>
      </c>
      <c r="D12" s="3"/>
      <c r="E12" s="3"/>
    </row>
    <row r="13" spans="1:6" x14ac:dyDescent="0.25">
      <c r="C13" s="3"/>
      <c r="D13" s="3"/>
      <c r="E13" s="3"/>
    </row>
    <row r="14" spans="1:6" x14ac:dyDescent="0.25">
      <c r="B14" t="s">
        <v>50</v>
      </c>
      <c r="C14" s="3">
        <f>C2/D2</f>
        <v>5.2536514118792601</v>
      </c>
      <c r="D14" s="3"/>
      <c r="E14" s="3"/>
    </row>
    <row r="15" spans="1:6" x14ac:dyDescent="0.25">
      <c r="B15" t="s">
        <v>51</v>
      </c>
      <c r="C15" s="21">
        <f>E2/C14</f>
        <v>5.3739766472060051</v>
      </c>
      <c r="D15" s="3"/>
      <c r="E15" s="3"/>
    </row>
    <row r="16" spans="1:6" x14ac:dyDescent="0.25">
      <c r="C16" s="3"/>
      <c r="D16" s="3"/>
      <c r="E16" s="3"/>
    </row>
    <row r="17" spans="1:6" x14ac:dyDescent="0.25">
      <c r="C17" s="3"/>
      <c r="D17" s="3"/>
      <c r="E17" s="3"/>
    </row>
    <row r="18" spans="1:6" x14ac:dyDescent="0.25">
      <c r="A18">
        <v>2</v>
      </c>
      <c r="B18" t="s">
        <v>48</v>
      </c>
      <c r="C18" s="3">
        <f>B3/D3</f>
        <v>5.6652121437192458</v>
      </c>
      <c r="D18" s="3"/>
      <c r="E18" s="3"/>
    </row>
    <row r="19" spans="1:6" x14ac:dyDescent="0.25">
      <c r="B19" t="s">
        <v>49</v>
      </c>
      <c r="C19" s="21">
        <f>E3/C18</f>
        <v>4.5241024254342843</v>
      </c>
      <c r="D19" s="3"/>
      <c r="E19" s="3"/>
    </row>
    <row r="20" spans="1:6" x14ac:dyDescent="0.25">
      <c r="C20" s="3"/>
    </row>
    <row r="21" spans="1:6" x14ac:dyDescent="0.25">
      <c r="B21" t="s">
        <v>50</v>
      </c>
      <c r="C21" s="3">
        <f>C3/D3</f>
        <v>2.9883019218271283</v>
      </c>
    </row>
    <row r="22" spans="1:6" x14ac:dyDescent="0.25">
      <c r="B22" t="s">
        <v>51</v>
      </c>
      <c r="C22" s="21">
        <f>E3/C21</f>
        <v>8.576777270326529</v>
      </c>
    </row>
    <row r="25" spans="1:6" x14ac:dyDescent="0.25">
      <c r="A25" t="s">
        <v>52</v>
      </c>
      <c r="B25" s="14" t="s">
        <v>61</v>
      </c>
    </row>
    <row r="26" spans="1:6" x14ac:dyDescent="0.25">
      <c r="A26" t="s">
        <v>60</v>
      </c>
    </row>
    <row r="27" spans="1:6" x14ac:dyDescent="0.25">
      <c r="A27" t="s">
        <v>53</v>
      </c>
      <c r="B27" s="4">
        <v>32.6</v>
      </c>
      <c r="E27" t="s">
        <v>11</v>
      </c>
      <c r="F27" s="16">
        <f>B33</f>
        <v>98</v>
      </c>
    </row>
    <row r="28" spans="1:6" x14ac:dyDescent="0.25">
      <c r="A28" t="s">
        <v>68</v>
      </c>
      <c r="B28" s="4">
        <v>256</v>
      </c>
      <c r="D28" s="7" t="s">
        <v>12</v>
      </c>
      <c r="E28" t="s">
        <v>63</v>
      </c>
      <c r="F28" s="16">
        <f>F27/0.75</f>
        <v>130.66666666666666</v>
      </c>
    </row>
    <row r="29" spans="1:6" x14ac:dyDescent="0.25">
      <c r="A29" t="s">
        <v>69</v>
      </c>
      <c r="B29" s="4">
        <v>23</v>
      </c>
      <c r="D29" s="7" t="s">
        <v>12</v>
      </c>
      <c r="E29" t="s">
        <v>14</v>
      </c>
      <c r="F29" s="16">
        <f>B34</f>
        <v>10.6</v>
      </c>
    </row>
    <row r="30" spans="1:6" x14ac:dyDescent="0.25">
      <c r="A30" t="s">
        <v>54</v>
      </c>
      <c r="B30" s="4">
        <v>123</v>
      </c>
      <c r="D30" s="7" t="s">
        <v>12</v>
      </c>
      <c r="E30" t="s">
        <v>13</v>
      </c>
      <c r="F30" s="16">
        <f>B35</f>
        <v>5.5</v>
      </c>
    </row>
    <row r="31" spans="1:6" x14ac:dyDescent="0.25">
      <c r="A31" t="s">
        <v>55</v>
      </c>
      <c r="B31" s="4">
        <v>56</v>
      </c>
      <c r="D31" s="7" t="s">
        <v>12</v>
      </c>
      <c r="E31" t="s">
        <v>58</v>
      </c>
      <c r="F31" s="16">
        <f>B36</f>
        <v>6.5</v>
      </c>
    </row>
    <row r="32" spans="1:6" x14ac:dyDescent="0.25">
      <c r="A32" t="s">
        <v>56</v>
      </c>
      <c r="B32" s="4">
        <v>231</v>
      </c>
      <c r="E32" t="s">
        <v>62</v>
      </c>
      <c r="F32" s="16">
        <f>SUM(F27:F31)</f>
        <v>251.26666666666665</v>
      </c>
    </row>
    <row r="33" spans="1:6" x14ac:dyDescent="0.25">
      <c r="A33" t="s">
        <v>11</v>
      </c>
      <c r="B33" s="4">
        <v>98</v>
      </c>
    </row>
    <row r="34" spans="1:6" x14ac:dyDescent="0.25">
      <c r="A34" t="s">
        <v>57</v>
      </c>
      <c r="B34" s="4">
        <v>10.6</v>
      </c>
    </row>
    <row r="35" spans="1:6" x14ac:dyDescent="0.25">
      <c r="A35" t="s">
        <v>13</v>
      </c>
      <c r="B35" s="4">
        <v>5.5</v>
      </c>
      <c r="E35" t="s">
        <v>71</v>
      </c>
      <c r="F35" s="16">
        <f>B27*43.8</f>
        <v>1427.8799999999999</v>
      </c>
    </row>
    <row r="36" spans="1:6" x14ac:dyDescent="0.25">
      <c r="A36" t="s">
        <v>58</v>
      </c>
      <c r="B36" s="4">
        <v>6.5</v>
      </c>
      <c r="D36" s="7" t="s">
        <v>12</v>
      </c>
      <c r="E36" t="s">
        <v>70</v>
      </c>
      <c r="F36" s="16">
        <f>B28</f>
        <v>256</v>
      </c>
    </row>
    <row r="37" spans="1:6" x14ac:dyDescent="0.25">
      <c r="A37" t="s">
        <v>59</v>
      </c>
      <c r="B37" s="8">
        <v>0.25</v>
      </c>
      <c r="D37" s="7" t="s">
        <v>12</v>
      </c>
      <c r="E37" t="s">
        <v>64</v>
      </c>
      <c r="F37" s="16">
        <f>B30</f>
        <v>123</v>
      </c>
    </row>
    <row r="38" spans="1:6" x14ac:dyDescent="0.25">
      <c r="D38" s="7" t="s">
        <v>12</v>
      </c>
      <c r="E38" t="s">
        <v>69</v>
      </c>
      <c r="F38" s="16">
        <f>B29</f>
        <v>23</v>
      </c>
    </row>
    <row r="39" spans="1:6" x14ac:dyDescent="0.25">
      <c r="D39" s="7" t="s">
        <v>15</v>
      </c>
      <c r="E39" t="s">
        <v>65</v>
      </c>
      <c r="F39" s="16">
        <f>B31</f>
        <v>56</v>
      </c>
    </row>
    <row r="40" spans="1:6" x14ac:dyDescent="0.25">
      <c r="B40" s="5"/>
      <c r="D40" s="7" t="s">
        <v>15</v>
      </c>
      <c r="E40" t="s">
        <v>56</v>
      </c>
      <c r="F40" s="16">
        <f>B32</f>
        <v>231</v>
      </c>
    </row>
    <row r="41" spans="1:6" x14ac:dyDescent="0.25">
      <c r="B41" s="5"/>
      <c r="E41" t="s">
        <v>66</v>
      </c>
      <c r="F41" s="16">
        <f>F35+F36+F37+F38-F39-F40</f>
        <v>1542.8799999999999</v>
      </c>
    </row>
    <row r="42" spans="1:6" x14ac:dyDescent="0.25">
      <c r="B42" s="5"/>
    </row>
    <row r="43" spans="1:6" x14ac:dyDescent="0.25">
      <c r="B43" s="5"/>
      <c r="E43" t="s">
        <v>67</v>
      </c>
      <c r="F43" s="21">
        <f>F41/F32</f>
        <v>6.1404085964446802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07C7-49F3-451B-835C-FFDCD927DEDA}">
  <dimension ref="A1:K11"/>
  <sheetViews>
    <sheetView workbookViewId="0">
      <selection activeCell="J16" sqref="J16"/>
    </sheetView>
  </sheetViews>
  <sheetFormatPr defaultRowHeight="15" x14ac:dyDescent="0.25"/>
  <cols>
    <col min="2" max="2" width="13.42578125" bestFit="1" customWidth="1"/>
  </cols>
  <sheetData>
    <row r="1" spans="1:11" x14ac:dyDescent="0.25">
      <c r="A1">
        <v>1</v>
      </c>
      <c r="C1" s="22">
        <f>((2*(1+10%))/(18%-10%))+((2*4/2*(20%-10%))/(18%-10%))</f>
        <v>32.500000000000007</v>
      </c>
      <c r="E1" t="s">
        <v>30</v>
      </c>
    </row>
    <row r="3" spans="1:11" x14ac:dyDescent="0.25">
      <c r="A3">
        <v>2</v>
      </c>
      <c r="B3" t="s">
        <v>22</v>
      </c>
      <c r="C3">
        <v>0</v>
      </c>
      <c r="D3">
        <v>1</v>
      </c>
      <c r="E3">
        <v>2</v>
      </c>
      <c r="F3">
        <v>3</v>
      </c>
      <c r="G3">
        <v>4</v>
      </c>
      <c r="H3" t="s">
        <v>31</v>
      </c>
    </row>
    <row r="4" spans="1:11" x14ac:dyDescent="0.25">
      <c r="C4" s="3">
        <v>2</v>
      </c>
      <c r="D4" s="3">
        <f>C4*1.2</f>
        <v>2.4</v>
      </c>
      <c r="E4" s="3">
        <f t="shared" ref="E4:G4" si="0">D4*1.2</f>
        <v>2.88</v>
      </c>
      <c r="F4" s="3">
        <f t="shared" si="0"/>
        <v>3.456</v>
      </c>
      <c r="G4" s="3">
        <f t="shared" si="0"/>
        <v>4.1471999999999998</v>
      </c>
      <c r="H4" s="3">
        <f>G4*1.1</f>
        <v>4.5619199999999998</v>
      </c>
      <c r="I4" s="5"/>
      <c r="J4" s="5"/>
      <c r="K4" s="5"/>
    </row>
    <row r="5" spans="1:11" x14ac:dyDescent="0.25">
      <c r="B5" t="s">
        <v>29</v>
      </c>
      <c r="C5" s="5"/>
      <c r="D5" s="5"/>
      <c r="E5" s="5"/>
      <c r="F5" s="5"/>
      <c r="G5" s="5"/>
      <c r="H5" s="4">
        <f>H4/(18%-10%)</f>
        <v>57.024000000000008</v>
      </c>
      <c r="I5" s="5"/>
      <c r="J5" s="5"/>
      <c r="K5" s="5"/>
    </row>
    <row r="6" spans="1:11" x14ac:dyDescent="0.25">
      <c r="B6" t="s">
        <v>32</v>
      </c>
      <c r="C6" s="5"/>
      <c r="D6" s="3">
        <f t="shared" ref="D6:G6" si="1">1/(1+18%)^D3</f>
        <v>0.84745762711864414</v>
      </c>
      <c r="E6" s="3">
        <f t="shared" si="1"/>
        <v>0.71818442976156283</v>
      </c>
      <c r="F6" s="3">
        <f t="shared" si="1"/>
        <v>0.6086308726792905</v>
      </c>
      <c r="G6" s="3">
        <f t="shared" si="1"/>
        <v>0.51578887515194116</v>
      </c>
      <c r="H6" s="3">
        <f>G6</f>
        <v>0.51578887515194116</v>
      </c>
      <c r="I6" s="5"/>
      <c r="J6" s="5"/>
      <c r="K6" s="5"/>
    </row>
    <row r="7" spans="1:11" x14ac:dyDescent="0.25">
      <c r="C7" s="5" t="s">
        <v>33</v>
      </c>
      <c r="D7" s="3">
        <f>D6*D4</f>
        <v>2.0338983050847457</v>
      </c>
      <c r="E7" s="3">
        <f t="shared" ref="E7:G7" si="2">E6*E4</f>
        <v>2.068371157713301</v>
      </c>
      <c r="F7" s="3">
        <f t="shared" si="2"/>
        <v>2.103428295979628</v>
      </c>
      <c r="G7" s="3">
        <f t="shared" si="2"/>
        <v>2.1390796230301303</v>
      </c>
      <c r="H7" s="3">
        <f>H6*H5</f>
        <v>29.412344816664298</v>
      </c>
      <c r="I7" s="21">
        <f>SUM(D7:H7)</f>
        <v>37.757122198472103</v>
      </c>
      <c r="J7" s="5"/>
      <c r="K7" s="5"/>
    </row>
    <row r="8" spans="1:11" x14ac:dyDescent="0.25"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C11" s="5"/>
      <c r="D11" s="5"/>
      <c r="E11" s="5"/>
      <c r="F11" s="5"/>
      <c r="G11" s="5"/>
      <c r="H11" s="5"/>
      <c r="I11" s="5"/>
      <c r="J11" s="5"/>
      <c r="K11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F72B-3FE3-485C-B9D1-9150E3FE7347}">
  <dimension ref="A1:K20"/>
  <sheetViews>
    <sheetView topLeftCell="A7" workbookViewId="0">
      <selection activeCell="D20" sqref="D20"/>
    </sheetView>
  </sheetViews>
  <sheetFormatPr defaultRowHeight="15" x14ac:dyDescent="0.25"/>
  <cols>
    <col min="1" max="1" width="26.140625" bestFit="1" customWidth="1"/>
  </cols>
  <sheetData>
    <row r="1" spans="1:11" x14ac:dyDescent="0.25">
      <c r="A1" s="1" t="s">
        <v>22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K1" s="2">
        <v>0.11</v>
      </c>
    </row>
    <row r="2" spans="1:11" x14ac:dyDescent="0.25">
      <c r="A2" t="s">
        <v>23</v>
      </c>
      <c r="B2" s="5">
        <v>1500</v>
      </c>
      <c r="C2" s="5">
        <f>B2*1.12</f>
        <v>1680.0000000000002</v>
      </c>
      <c r="D2" s="5">
        <f t="shared" ref="D2:G2" si="0">C2*1.12</f>
        <v>1881.6000000000004</v>
      </c>
      <c r="E2" s="5">
        <f t="shared" si="0"/>
        <v>2107.3920000000007</v>
      </c>
      <c r="F2" s="5">
        <f t="shared" si="0"/>
        <v>2360.2790400000013</v>
      </c>
      <c r="G2" s="5">
        <f t="shared" si="0"/>
        <v>2643.5125248000018</v>
      </c>
      <c r="H2" s="5">
        <f>G2*1.04</f>
        <v>2749.2530257920021</v>
      </c>
      <c r="I2" s="5"/>
      <c r="J2" s="5"/>
      <c r="K2" s="5"/>
    </row>
    <row r="3" spans="1:11" x14ac:dyDescent="0.25">
      <c r="A3" t="s">
        <v>24</v>
      </c>
      <c r="B3" s="5">
        <v>50</v>
      </c>
      <c r="C3" s="5">
        <f t="shared" ref="C3:G3" si="1">B3*1.12</f>
        <v>56.000000000000007</v>
      </c>
      <c r="D3" s="5">
        <f t="shared" si="1"/>
        <v>62.720000000000013</v>
      </c>
      <c r="E3" s="5">
        <f t="shared" si="1"/>
        <v>70.246400000000023</v>
      </c>
      <c r="F3" s="5">
        <f t="shared" si="1"/>
        <v>78.675968000000026</v>
      </c>
      <c r="G3" s="5">
        <f t="shared" si="1"/>
        <v>88.117084160000033</v>
      </c>
      <c r="H3" s="5">
        <f>G3*1.04</f>
        <v>91.641767526400031</v>
      </c>
      <c r="I3" s="5"/>
      <c r="J3" s="5"/>
      <c r="K3" s="5"/>
    </row>
    <row r="4" spans="1:11" x14ac:dyDescent="0.25">
      <c r="A4" t="s">
        <v>25</v>
      </c>
      <c r="B4" s="5">
        <f>B3*0.7</f>
        <v>35</v>
      </c>
      <c r="C4" s="5">
        <f t="shared" ref="C4:G4" si="2">B4*1.12</f>
        <v>39.200000000000003</v>
      </c>
      <c r="D4" s="5">
        <f t="shared" si="2"/>
        <v>43.904000000000011</v>
      </c>
      <c r="E4" s="5">
        <f t="shared" si="2"/>
        <v>49.172480000000014</v>
      </c>
      <c r="F4" s="5">
        <f t="shared" si="2"/>
        <v>55.073177600000022</v>
      </c>
      <c r="G4" s="5">
        <f t="shared" si="2"/>
        <v>61.681958912000034</v>
      </c>
      <c r="H4" s="5">
        <f>G4*1.04</f>
        <v>64.149237268480036</v>
      </c>
      <c r="I4" s="5"/>
      <c r="J4" s="5"/>
      <c r="K4" s="5"/>
    </row>
    <row r="5" spans="1:11" x14ac:dyDescent="0.25">
      <c r="A5" t="s">
        <v>13</v>
      </c>
      <c r="B5" s="5">
        <v>15</v>
      </c>
      <c r="C5" s="5">
        <f t="shared" ref="C5:G5" si="3">B5*1.12</f>
        <v>16.8</v>
      </c>
      <c r="D5" s="5">
        <f t="shared" si="3"/>
        <v>18.816000000000003</v>
      </c>
      <c r="E5" s="5">
        <f t="shared" si="3"/>
        <v>21.073920000000005</v>
      </c>
      <c r="F5" s="5">
        <f t="shared" si="3"/>
        <v>23.602790400000007</v>
      </c>
      <c r="G5" s="5">
        <f t="shared" si="3"/>
        <v>26.435125248000009</v>
      </c>
      <c r="H5" s="5">
        <v>0</v>
      </c>
      <c r="I5" s="5"/>
      <c r="J5" s="5"/>
      <c r="K5" s="5"/>
    </row>
    <row r="6" spans="1:11" x14ac:dyDescent="0.25">
      <c r="A6" t="s">
        <v>26</v>
      </c>
      <c r="B6" s="5">
        <v>25</v>
      </c>
      <c r="C6" s="5">
        <f t="shared" ref="C6:G6" si="4">B6*1.12</f>
        <v>28.000000000000004</v>
      </c>
      <c r="D6" s="5">
        <f t="shared" si="4"/>
        <v>31.360000000000007</v>
      </c>
      <c r="E6" s="5">
        <f t="shared" si="4"/>
        <v>35.123200000000011</v>
      </c>
      <c r="F6" s="5">
        <f t="shared" si="4"/>
        <v>39.337984000000013</v>
      </c>
      <c r="G6" s="5">
        <f t="shared" si="4"/>
        <v>44.058542080000016</v>
      </c>
      <c r="H6" s="5">
        <v>0</v>
      </c>
      <c r="I6" s="5"/>
      <c r="J6" s="5"/>
      <c r="K6" s="5"/>
    </row>
    <row r="7" spans="1:11" x14ac:dyDescent="0.25">
      <c r="A7" t="s">
        <v>27</v>
      </c>
      <c r="B7" s="5">
        <v>6</v>
      </c>
      <c r="C7" s="5">
        <f t="shared" ref="C7:G7" si="5">B7*1.12</f>
        <v>6.7200000000000006</v>
      </c>
      <c r="D7" s="5">
        <f t="shared" si="5"/>
        <v>7.5264000000000015</v>
      </c>
      <c r="E7" s="5">
        <f t="shared" si="5"/>
        <v>8.4295680000000033</v>
      </c>
      <c r="F7" s="5">
        <f t="shared" si="5"/>
        <v>9.4411161600000053</v>
      </c>
      <c r="G7" s="5">
        <f t="shared" si="5"/>
        <v>10.574050099200006</v>
      </c>
      <c r="H7" s="5">
        <f>G7*1.04</f>
        <v>10.997012103168007</v>
      </c>
      <c r="I7" s="5"/>
      <c r="J7" s="5"/>
      <c r="K7" s="5"/>
    </row>
    <row r="8" spans="1:11" x14ac:dyDescent="0.25">
      <c r="A8" t="s">
        <v>10</v>
      </c>
      <c r="B8" s="5">
        <f>B4+B5-B6-B7</f>
        <v>19</v>
      </c>
      <c r="C8" s="5">
        <f t="shared" ref="C8:G8" si="6">C4+C5-C6-C7</f>
        <v>21.279999999999994</v>
      </c>
      <c r="D8" s="5">
        <f t="shared" si="6"/>
        <v>23.833600000000004</v>
      </c>
      <c r="E8" s="5">
        <f t="shared" si="6"/>
        <v>26.693632000000008</v>
      </c>
      <c r="F8" s="5">
        <f t="shared" si="6"/>
        <v>29.896867840000006</v>
      </c>
      <c r="G8" s="5">
        <f t="shared" si="6"/>
        <v>33.484491980800023</v>
      </c>
      <c r="H8" s="18">
        <f t="shared" ref="H8" si="7">H4+H5-H6-H7</f>
        <v>53.152225165312032</v>
      </c>
      <c r="I8" s="5"/>
      <c r="J8" s="5"/>
      <c r="K8" s="5"/>
    </row>
    <row r="9" spans="1:11" x14ac:dyDescent="0.25">
      <c r="A9" t="s">
        <v>29</v>
      </c>
      <c r="B9" s="5"/>
      <c r="C9" s="5"/>
      <c r="D9" s="5"/>
      <c r="E9" s="5"/>
      <c r="F9" s="5"/>
      <c r="G9" s="5"/>
      <c r="H9" s="18">
        <f>B18</f>
        <v>1328.8056291328007</v>
      </c>
      <c r="I9" s="5"/>
      <c r="J9" s="5"/>
      <c r="K9" s="5"/>
    </row>
    <row r="10" spans="1:11" x14ac:dyDescent="0.25">
      <c r="A10" t="s">
        <v>28</v>
      </c>
      <c r="B10" s="4"/>
      <c r="C10" s="3">
        <f t="shared" ref="C10:G10" si="8">1/((1+$K$1)^C1)</f>
        <v>0.9009009009009008</v>
      </c>
      <c r="D10" s="3">
        <f t="shared" si="8"/>
        <v>0.8116224332440547</v>
      </c>
      <c r="E10" s="3">
        <f>1/((1+$K$1)^E1)</f>
        <v>0.73119138130095018</v>
      </c>
      <c r="F10" s="3">
        <f t="shared" si="8"/>
        <v>0.65873097414500015</v>
      </c>
      <c r="G10" s="3">
        <f t="shared" si="8"/>
        <v>0.5934513280585586</v>
      </c>
      <c r="H10" s="3">
        <f>G10</f>
        <v>0.5934513280585586</v>
      </c>
      <c r="I10" s="20"/>
      <c r="J10" s="5"/>
      <c r="K10" s="5"/>
    </row>
    <row r="11" spans="1:11" x14ac:dyDescent="0.25">
      <c r="A11" t="s">
        <v>10</v>
      </c>
      <c r="B11" s="5"/>
      <c r="C11" s="3">
        <f t="shared" ref="C11:G11" si="9">C10*C8</f>
        <v>19.171171171171164</v>
      </c>
      <c r="D11" s="3">
        <f t="shared" si="9"/>
        <v>19.343884424965506</v>
      </c>
      <c r="E11" s="3">
        <f t="shared" si="9"/>
        <v>19.518153654019251</v>
      </c>
      <c r="F11" s="3">
        <f t="shared" si="9"/>
        <v>19.693992876127531</v>
      </c>
      <c r="G11" s="3">
        <f t="shared" si="9"/>
        <v>19.871416235371928</v>
      </c>
      <c r="H11" s="3">
        <f>H10*H9</f>
        <v>788.58146534054913</v>
      </c>
      <c r="I11" s="20"/>
      <c r="J11" s="5"/>
      <c r="K11" s="5"/>
    </row>
    <row r="12" spans="1:11" x14ac:dyDescent="0.25">
      <c r="B12" s="5"/>
      <c r="C12" s="5"/>
      <c r="D12" s="5"/>
      <c r="E12" s="5"/>
      <c r="F12" s="20"/>
      <c r="G12" s="20"/>
      <c r="H12" s="20"/>
      <c r="I12" s="20"/>
      <c r="J12" s="5"/>
      <c r="K12" s="5"/>
    </row>
    <row r="13" spans="1:11" x14ac:dyDescent="0.25">
      <c r="B13" s="5"/>
      <c r="C13" s="5"/>
      <c r="D13" s="5"/>
      <c r="E13" s="5"/>
      <c r="F13" s="5"/>
      <c r="G13" s="20"/>
      <c r="H13" s="20"/>
      <c r="I13" s="20"/>
      <c r="J13" s="5"/>
      <c r="K13" s="5"/>
    </row>
    <row r="14" spans="1:11" x14ac:dyDescent="0.25">
      <c r="B14" s="5"/>
      <c r="C14" s="5"/>
      <c r="D14" s="5"/>
      <c r="E14" s="5"/>
      <c r="F14" s="20"/>
      <c r="G14" s="20"/>
      <c r="H14" s="20"/>
      <c r="I14" s="20"/>
      <c r="J14" s="5"/>
      <c r="K14" s="5"/>
    </row>
    <row r="15" spans="1:11" x14ac:dyDescent="0.25">
      <c r="B15" s="5"/>
      <c r="C15" s="5"/>
      <c r="D15" s="5"/>
      <c r="E15" s="5"/>
      <c r="F15" s="20"/>
      <c r="G15" s="20"/>
      <c r="H15" s="20"/>
      <c r="I15" s="20"/>
      <c r="J15" s="5"/>
      <c r="K15" s="5"/>
    </row>
    <row r="16" spans="1:11" x14ac:dyDescent="0.25">
      <c r="A16">
        <v>1</v>
      </c>
      <c r="B16" s="5">
        <v>53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>
        <v>2</v>
      </c>
      <c r="B18" s="11">
        <f>H8/(8%-4%)</f>
        <v>1328.8056291328007</v>
      </c>
    </row>
    <row r="20" spans="1:11" x14ac:dyDescent="0.25">
      <c r="A20">
        <v>3</v>
      </c>
      <c r="B20" s="11">
        <f>SUM(C11:H11)</f>
        <v>886.18008370220446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F889-A75A-4758-8519-02BA66526C26}">
  <dimension ref="A1:N11"/>
  <sheetViews>
    <sheetView tabSelected="1" workbookViewId="0">
      <selection activeCell="M16" sqref="M16"/>
    </sheetView>
  </sheetViews>
  <sheetFormatPr defaultRowHeight="15" x14ac:dyDescent="0.25"/>
  <cols>
    <col min="1" max="1" width="14" customWidth="1"/>
    <col min="2" max="2" width="9.7109375" bestFit="1" customWidth="1"/>
    <col min="6" max="6" width="9.7109375" bestFit="1" customWidth="1"/>
  </cols>
  <sheetData>
    <row r="1" spans="1:14" x14ac:dyDescent="0.25">
      <c r="B1" t="s">
        <v>117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</row>
    <row r="2" spans="1:14" x14ac:dyDescent="0.25">
      <c r="A2" t="s">
        <v>230</v>
      </c>
      <c r="B2" s="5">
        <v>-140000</v>
      </c>
      <c r="C2" s="5">
        <v>75000</v>
      </c>
      <c r="D2" s="5">
        <v>75000</v>
      </c>
      <c r="E2" s="5">
        <v>75000</v>
      </c>
      <c r="F2" s="5">
        <f>B2+E2</f>
        <v>-65000</v>
      </c>
      <c r="G2" s="5">
        <v>75000</v>
      </c>
      <c r="H2" s="5">
        <v>75000</v>
      </c>
      <c r="I2" s="5"/>
      <c r="J2" s="5"/>
      <c r="K2" s="5"/>
      <c r="L2" s="5"/>
      <c r="M2" s="5"/>
      <c r="N2" s="5"/>
    </row>
    <row r="3" spans="1:14" x14ac:dyDescent="0.25">
      <c r="A3" t="s">
        <v>232</v>
      </c>
      <c r="B3" s="5">
        <v>1</v>
      </c>
      <c r="C3" s="48">
        <f>1/(1.1)^C1</f>
        <v>0.90909090909090906</v>
      </c>
      <c r="D3" s="48">
        <f t="shared" ref="D3:H3" si="0">1/(1.1)^D1</f>
        <v>0.82644628099173545</v>
      </c>
      <c r="E3" s="48">
        <f t="shared" si="0"/>
        <v>0.75131480090157754</v>
      </c>
      <c r="F3" s="48">
        <f t="shared" si="0"/>
        <v>0.68301345536507052</v>
      </c>
      <c r="G3" s="48">
        <f t="shared" si="0"/>
        <v>0.62092132305915493</v>
      </c>
      <c r="H3" s="48">
        <f t="shared" si="0"/>
        <v>0.56447393005377722</v>
      </c>
      <c r="I3" s="5"/>
      <c r="J3" s="5"/>
      <c r="K3" s="5"/>
      <c r="L3" s="5"/>
      <c r="M3" s="5"/>
      <c r="N3" s="5"/>
    </row>
    <row r="4" spans="1:14" x14ac:dyDescent="0.25">
      <c r="A4" t="s">
        <v>121</v>
      </c>
      <c r="B4" s="5">
        <f>B3*B2</f>
        <v>-140000</v>
      </c>
      <c r="C4" s="5">
        <f>C3*C2</f>
        <v>68181.818181818177</v>
      </c>
      <c r="D4" s="5">
        <f t="shared" ref="D4:H4" si="1">D3*D2</f>
        <v>61983.471074380155</v>
      </c>
      <c r="E4" s="5">
        <f t="shared" si="1"/>
        <v>56348.610067618312</v>
      </c>
      <c r="F4" s="5">
        <f t="shared" si="1"/>
        <v>-44395.874598729584</v>
      </c>
      <c r="G4" s="5">
        <f t="shared" si="1"/>
        <v>46569.099229436622</v>
      </c>
      <c r="H4" s="5">
        <f t="shared" si="1"/>
        <v>42335.54475403329</v>
      </c>
      <c r="I4" s="5">
        <f>SUM(B4:H4)</f>
        <v>91022.668708556972</v>
      </c>
      <c r="J4" s="5"/>
      <c r="K4" s="5"/>
      <c r="L4" s="5"/>
      <c r="M4" s="5"/>
      <c r="N4" s="5"/>
    </row>
    <row r="5" spans="1:14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t="s">
        <v>231</v>
      </c>
      <c r="B6" s="5">
        <v>-185000</v>
      </c>
      <c r="C6" s="5">
        <v>65000</v>
      </c>
      <c r="D6" s="5">
        <v>65000</v>
      </c>
      <c r="E6" s="5">
        <v>65000</v>
      </c>
      <c r="F6" s="5">
        <v>65000</v>
      </c>
      <c r="G6" s="5">
        <v>65000</v>
      </c>
      <c r="H6" s="5">
        <v>65000</v>
      </c>
      <c r="I6" s="5"/>
      <c r="J6" s="5"/>
      <c r="K6" s="5"/>
      <c r="L6" s="5"/>
      <c r="M6" s="5"/>
      <c r="N6" s="5"/>
    </row>
    <row r="7" spans="1:14" x14ac:dyDescent="0.25">
      <c r="A7" t="s">
        <v>232</v>
      </c>
      <c r="B7" s="5">
        <f>B3</f>
        <v>1</v>
      </c>
      <c r="C7" s="48">
        <f t="shared" ref="C7:H7" si="2">C3</f>
        <v>0.90909090909090906</v>
      </c>
      <c r="D7" s="48">
        <f t="shared" si="2"/>
        <v>0.82644628099173545</v>
      </c>
      <c r="E7" s="48">
        <f t="shared" si="2"/>
        <v>0.75131480090157754</v>
      </c>
      <c r="F7" s="48">
        <f t="shared" si="2"/>
        <v>0.68301345536507052</v>
      </c>
      <c r="G7" s="48">
        <f t="shared" si="2"/>
        <v>0.62092132305915493</v>
      </c>
      <c r="H7" s="48">
        <f t="shared" si="2"/>
        <v>0.56447393005377722</v>
      </c>
      <c r="I7" s="5"/>
      <c r="J7" s="5"/>
      <c r="K7" s="5"/>
      <c r="L7" s="5"/>
      <c r="M7" s="5"/>
      <c r="N7" s="5"/>
    </row>
    <row r="8" spans="1:14" x14ac:dyDescent="0.25">
      <c r="A8" t="s">
        <v>121</v>
      </c>
      <c r="B8" s="5">
        <f>B7*B6</f>
        <v>-185000</v>
      </c>
      <c r="C8" s="5">
        <f>C7*C6</f>
        <v>59090.909090909088</v>
      </c>
      <c r="D8" s="5">
        <f t="shared" ref="D8" si="3">D7*D6</f>
        <v>53719.008264462806</v>
      </c>
      <c r="E8" s="5">
        <f t="shared" ref="E8" si="4">E7*E6</f>
        <v>48835.462058602541</v>
      </c>
      <c r="F8" s="5">
        <f t="shared" ref="F8" si="5">F7*F6</f>
        <v>44395.874598729584</v>
      </c>
      <c r="G8" s="5">
        <f t="shared" ref="G8" si="6">G7*G6</f>
        <v>40359.885998845071</v>
      </c>
      <c r="H8" s="5">
        <f t="shared" ref="H8" si="7">H7*H6</f>
        <v>36690.805453495523</v>
      </c>
      <c r="I8" s="18">
        <f>SUM(B8:H8)</f>
        <v>98091.945465044613</v>
      </c>
      <c r="J8" s="5"/>
      <c r="K8" s="5"/>
      <c r="L8" s="5"/>
      <c r="M8" s="5"/>
      <c r="N8" s="5"/>
    </row>
    <row r="9" spans="1:14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5" t="s">
        <v>233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790F-BAA8-4AC6-9D66-D3E07B281F71}">
  <dimension ref="A1:H12"/>
  <sheetViews>
    <sheetView workbookViewId="0">
      <selection activeCell="G9" sqref="G9"/>
    </sheetView>
  </sheetViews>
  <sheetFormatPr defaultRowHeight="15" x14ac:dyDescent="0.25"/>
  <cols>
    <col min="1" max="1" width="20.140625" bestFit="1" customWidth="1"/>
  </cols>
  <sheetData>
    <row r="1" spans="1:8" x14ac:dyDescent="0.25">
      <c r="B1" s="1">
        <v>1</v>
      </c>
      <c r="C1" s="1">
        <v>2</v>
      </c>
      <c r="D1" s="1">
        <v>3</v>
      </c>
      <c r="E1" s="1">
        <v>4</v>
      </c>
    </row>
    <row r="2" spans="1:8" x14ac:dyDescent="0.25">
      <c r="A2" t="s">
        <v>72</v>
      </c>
      <c r="B2" s="3">
        <v>8.3000000000000007</v>
      </c>
      <c r="C2" s="3">
        <f>B5</f>
        <v>9.5650000000000013</v>
      </c>
      <c r="D2" s="3">
        <f t="shared" ref="D2:E2" si="0">C5</f>
        <v>10.940000000000001</v>
      </c>
      <c r="E2" s="3">
        <f t="shared" si="0"/>
        <v>12.095000000000001</v>
      </c>
      <c r="F2" s="3"/>
      <c r="G2" s="3"/>
      <c r="H2" s="3"/>
    </row>
    <row r="3" spans="1:8" x14ac:dyDescent="0.25">
      <c r="A3" t="s">
        <v>73</v>
      </c>
      <c r="B3" s="3">
        <v>2.2999999999999998</v>
      </c>
      <c r="C3" s="3">
        <v>2.5</v>
      </c>
      <c r="D3" s="3">
        <v>2.1</v>
      </c>
      <c r="E3" s="3">
        <v>2.9</v>
      </c>
      <c r="F3" s="3"/>
      <c r="G3" s="3"/>
      <c r="H3" s="3"/>
    </row>
    <row r="4" spans="1:8" x14ac:dyDescent="0.25">
      <c r="A4" t="s">
        <v>74</v>
      </c>
      <c r="B4" s="3">
        <f>B3*0.45</f>
        <v>1.0349999999999999</v>
      </c>
      <c r="C4" s="3">
        <f t="shared" ref="C4:E4" si="1">C3*0.45</f>
        <v>1.125</v>
      </c>
      <c r="D4" s="3">
        <f t="shared" si="1"/>
        <v>0.94500000000000006</v>
      </c>
      <c r="E4" s="3">
        <f t="shared" si="1"/>
        <v>1.3049999999999999</v>
      </c>
      <c r="F4" s="3"/>
      <c r="G4" s="3"/>
      <c r="H4" s="3"/>
    </row>
    <row r="5" spans="1:8" x14ac:dyDescent="0.25">
      <c r="A5" t="s">
        <v>75</v>
      </c>
      <c r="B5" s="3">
        <f>B2+B3-B4</f>
        <v>9.5650000000000013</v>
      </c>
      <c r="C5" s="3">
        <f t="shared" ref="C5:E5" si="2">C2+C3-C4</f>
        <v>10.940000000000001</v>
      </c>
      <c r="D5" s="3">
        <f t="shared" si="2"/>
        <v>12.095000000000001</v>
      </c>
      <c r="E5" s="3">
        <f t="shared" si="2"/>
        <v>13.690000000000001</v>
      </c>
      <c r="F5" s="3"/>
      <c r="G5" s="3"/>
      <c r="H5" s="3"/>
    </row>
    <row r="6" spans="1:8" x14ac:dyDescent="0.25">
      <c r="A6" t="s">
        <v>76</v>
      </c>
      <c r="B6" s="3">
        <f>B2*0.12</f>
        <v>0.996</v>
      </c>
      <c r="C6" s="3">
        <f t="shared" ref="C6:E6" si="3">C2*0.12</f>
        <v>1.1478000000000002</v>
      </c>
      <c r="D6" s="3">
        <f t="shared" si="3"/>
        <v>1.3128000000000002</v>
      </c>
      <c r="E6" s="3">
        <f t="shared" si="3"/>
        <v>1.4514</v>
      </c>
      <c r="F6" s="3"/>
      <c r="G6" s="3"/>
      <c r="H6" s="3"/>
    </row>
    <row r="7" spans="1:8" x14ac:dyDescent="0.25">
      <c r="A7" t="s">
        <v>77</v>
      </c>
      <c r="B7" s="3">
        <f>B3-B6</f>
        <v>1.3039999999999998</v>
      </c>
      <c r="C7" s="3">
        <f t="shared" ref="C7:E7" si="4">C3-C6</f>
        <v>1.3521999999999998</v>
      </c>
      <c r="D7" s="3">
        <f t="shared" si="4"/>
        <v>0.7871999999999999</v>
      </c>
      <c r="E7" s="3">
        <f t="shared" si="4"/>
        <v>1.4485999999999999</v>
      </c>
      <c r="F7" s="3"/>
      <c r="G7" s="3"/>
      <c r="H7" s="3"/>
    </row>
    <row r="8" spans="1:8" x14ac:dyDescent="0.25">
      <c r="B8" s="3"/>
      <c r="C8" s="3"/>
      <c r="D8" s="3"/>
      <c r="E8" s="3"/>
      <c r="F8" s="3"/>
      <c r="G8" s="3"/>
      <c r="H8" s="3"/>
    </row>
    <row r="9" spans="1:8" x14ac:dyDescent="0.25">
      <c r="A9" t="s">
        <v>32</v>
      </c>
      <c r="B9" s="3">
        <f>1/(1+12%)^B1</f>
        <v>0.89285714285714279</v>
      </c>
      <c r="C9" s="3">
        <f t="shared" ref="C9:E9" si="5">1/(1+12%)^C1</f>
        <v>0.79719387755102034</v>
      </c>
      <c r="D9" s="3">
        <f t="shared" si="5"/>
        <v>0.71178024781341087</v>
      </c>
      <c r="E9" s="3">
        <f t="shared" si="5"/>
        <v>0.63551807840483121</v>
      </c>
      <c r="F9" s="3"/>
      <c r="G9" s="3"/>
      <c r="H9" s="3"/>
    </row>
    <row r="10" spans="1:8" x14ac:dyDescent="0.25">
      <c r="A10" t="s">
        <v>79</v>
      </c>
      <c r="B10" s="3">
        <f>B9*B7</f>
        <v>1.1642857142857141</v>
      </c>
      <c r="C10" s="3">
        <f t="shared" ref="C10:E10" si="6">C9*C7</f>
        <v>1.0779655612244896</v>
      </c>
      <c r="D10" s="3">
        <f t="shared" si="6"/>
        <v>0.56031341107871702</v>
      </c>
      <c r="E10" s="3">
        <f t="shared" si="6"/>
        <v>0.92061148837723839</v>
      </c>
    </row>
    <row r="11" spans="1:8" x14ac:dyDescent="0.25">
      <c r="A11" t="s">
        <v>80</v>
      </c>
      <c r="B11" s="15">
        <f>B2</f>
        <v>8.3000000000000007</v>
      </c>
    </row>
    <row r="12" spans="1:8" x14ac:dyDescent="0.25">
      <c r="A12" s="22" t="s">
        <v>78</v>
      </c>
      <c r="B12" s="23">
        <f>SUM(B10:E11)</f>
        <v>12.02317617496616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B186-53C4-44A9-9693-565BC1282D67}">
  <dimension ref="A1:K106"/>
  <sheetViews>
    <sheetView zoomScale="98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D68" sqref="D68"/>
    </sheetView>
  </sheetViews>
  <sheetFormatPr defaultRowHeight="15" x14ac:dyDescent="0.25"/>
  <cols>
    <col min="1" max="1" width="47.140625" bestFit="1" customWidth="1"/>
    <col min="2" max="4" width="11.85546875" customWidth="1"/>
    <col min="5" max="5" width="11.7109375" customWidth="1"/>
    <col min="6" max="9" width="11.85546875" customWidth="1"/>
    <col min="10" max="10" width="10.42578125" customWidth="1"/>
  </cols>
  <sheetData>
    <row r="1" spans="1:11" x14ac:dyDescent="0.25">
      <c r="A1" s="1" t="s">
        <v>167</v>
      </c>
      <c r="B1" s="24">
        <v>44256</v>
      </c>
      <c r="C1" s="24">
        <v>44621</v>
      </c>
      <c r="D1" s="24">
        <v>44986</v>
      </c>
      <c r="E1" s="25">
        <v>45352</v>
      </c>
      <c r="F1" s="25">
        <v>45717</v>
      </c>
      <c r="G1" s="25">
        <v>46082</v>
      </c>
    </row>
    <row r="2" spans="1:11" x14ac:dyDescent="0.25">
      <c r="A2" t="s">
        <v>92</v>
      </c>
      <c r="B2" s="5">
        <v>2566.6129999999998</v>
      </c>
      <c r="C2" s="5">
        <v>3549.567</v>
      </c>
      <c r="D2" s="5">
        <v>4867.55</v>
      </c>
      <c r="E2" s="11">
        <f>E80</f>
        <v>5426.4508249999999</v>
      </c>
      <c r="F2" s="11">
        <f t="shared" ref="F2:G2" si="0">F80</f>
        <v>6168.473113587499</v>
      </c>
      <c r="G2" s="11">
        <f t="shared" si="0"/>
        <v>7144.936724912206</v>
      </c>
      <c r="H2" s="11"/>
      <c r="I2" s="11"/>
      <c r="J2" s="11"/>
    </row>
    <row r="3" spans="1:11" x14ac:dyDescent="0.25">
      <c r="A3" t="s">
        <v>81</v>
      </c>
      <c r="B3" s="5"/>
      <c r="C3" s="5"/>
      <c r="D3" s="5"/>
      <c r="E3" s="5"/>
      <c r="I3" s="5"/>
      <c r="J3" s="5"/>
    </row>
    <row r="4" spans="1:11" x14ac:dyDescent="0.25">
      <c r="A4" t="s">
        <v>82</v>
      </c>
      <c r="B4" s="5">
        <v>173.17099999999999</v>
      </c>
      <c r="C4" s="5">
        <v>-8.9689999999999994</v>
      </c>
      <c r="D4" s="5">
        <v>-148.57</v>
      </c>
      <c r="E4" s="11">
        <f>D4*1.02</f>
        <v>-151.54139999999998</v>
      </c>
      <c r="F4" s="11">
        <f t="shared" ref="F4:G4" si="1">E4*1.02</f>
        <v>-154.572228</v>
      </c>
      <c r="G4" s="11">
        <f t="shared" si="1"/>
        <v>-157.66367256000001</v>
      </c>
      <c r="H4" s="24"/>
      <c r="I4" s="24"/>
      <c r="J4" s="24"/>
    </row>
    <row r="5" spans="1:11" x14ac:dyDescent="0.25">
      <c r="A5" t="s">
        <v>83</v>
      </c>
      <c r="B5" s="5">
        <v>1554.066</v>
      </c>
      <c r="C5" s="5">
        <v>2383.7959999999998</v>
      </c>
      <c r="D5" s="5">
        <v>3094.52</v>
      </c>
      <c r="E5" s="11">
        <f>E73*E83</f>
        <v>3339.5749571503961</v>
      </c>
      <c r="F5" s="11">
        <f t="shared" ref="F5:G5" si="2">F73*F83</f>
        <v>3668.9425346527973</v>
      </c>
      <c r="G5" s="11">
        <f t="shared" si="2"/>
        <v>4106.5646354747232</v>
      </c>
      <c r="H5" s="5"/>
      <c r="I5" s="5"/>
      <c r="J5" s="5"/>
      <c r="K5" s="9"/>
    </row>
    <row r="6" spans="1:11" x14ac:dyDescent="0.25">
      <c r="A6" t="s">
        <v>84</v>
      </c>
      <c r="B6" s="5">
        <v>28.535000000000004</v>
      </c>
      <c r="C6" s="5">
        <v>37.268999999999998</v>
      </c>
      <c r="D6" s="5">
        <v>52.14</v>
      </c>
      <c r="E6" s="5">
        <v>55</v>
      </c>
      <c r="F6" s="5">
        <v>67</v>
      </c>
      <c r="G6" s="5">
        <v>69</v>
      </c>
      <c r="H6" s="5"/>
      <c r="I6" s="5"/>
      <c r="J6" s="5"/>
      <c r="K6" s="9"/>
    </row>
    <row r="7" spans="1:11" x14ac:dyDescent="0.25">
      <c r="A7" t="s">
        <v>85</v>
      </c>
      <c r="B7" s="5">
        <v>277.738</v>
      </c>
      <c r="C7" s="5">
        <v>392.47699999999998</v>
      </c>
      <c r="D7" s="5">
        <v>607.29</v>
      </c>
      <c r="E7" s="11">
        <f>E2*0.14</f>
        <v>759.70311550000008</v>
      </c>
      <c r="F7" s="11">
        <f>F2*0.125</f>
        <v>771.05913919843738</v>
      </c>
      <c r="G7" s="11">
        <f>G2*0.125</f>
        <v>893.11709061402576</v>
      </c>
      <c r="H7" s="10"/>
      <c r="I7" s="10"/>
      <c r="J7" s="10"/>
    </row>
    <row r="8" spans="1:11" x14ac:dyDescent="0.25">
      <c r="A8" t="s">
        <v>86</v>
      </c>
      <c r="B8" s="5">
        <v>138.03700000000001</v>
      </c>
      <c r="C8" s="5">
        <v>115.95899999999999</v>
      </c>
      <c r="D8" s="5">
        <v>90.16</v>
      </c>
      <c r="E8" s="5">
        <v>105</v>
      </c>
      <c r="F8" s="5">
        <v>120</v>
      </c>
      <c r="G8" s="5">
        <v>135</v>
      </c>
    </row>
    <row r="9" spans="1:11" x14ac:dyDescent="0.25">
      <c r="A9" t="s">
        <v>87</v>
      </c>
      <c r="B9" s="5">
        <v>61.029999999999994</v>
      </c>
      <c r="C9" s="5">
        <v>81.855000000000004</v>
      </c>
      <c r="D9" s="5">
        <v>184.74</v>
      </c>
      <c r="E9" s="5">
        <v>190</v>
      </c>
      <c r="F9" s="5">
        <v>213</v>
      </c>
      <c r="G9" s="5">
        <v>210</v>
      </c>
      <c r="H9" s="3"/>
      <c r="I9" s="3"/>
      <c r="J9" s="3"/>
    </row>
    <row r="10" spans="1:11" x14ac:dyDescent="0.25">
      <c r="A10" t="s">
        <v>88</v>
      </c>
      <c r="B10" s="5">
        <v>162.58799999999999</v>
      </c>
      <c r="C10" s="5">
        <v>224.80500000000004</v>
      </c>
      <c r="D10" s="5">
        <v>318.86</v>
      </c>
      <c r="E10" s="11">
        <f>D10*1.1</f>
        <v>350.74600000000004</v>
      </c>
      <c r="F10" s="11">
        <f>E10</f>
        <v>350.74600000000004</v>
      </c>
      <c r="G10" s="11">
        <f>F10</f>
        <v>350.74600000000004</v>
      </c>
      <c r="H10" s="3"/>
      <c r="I10" s="3"/>
      <c r="J10" s="3"/>
    </row>
    <row r="11" spans="1:11" x14ac:dyDescent="0.25">
      <c r="A11" t="s">
        <v>89</v>
      </c>
      <c r="B11" s="5">
        <v>69.744</v>
      </c>
      <c r="C11" s="5">
        <v>107.09399999999999</v>
      </c>
      <c r="D11" s="5">
        <v>54.83</v>
      </c>
      <c r="E11" s="5">
        <v>60</v>
      </c>
      <c r="F11" s="5">
        <v>73</v>
      </c>
      <c r="G11" s="5">
        <v>75</v>
      </c>
    </row>
    <row r="12" spans="1:11" x14ac:dyDescent="0.25">
      <c r="A12" t="s">
        <v>90</v>
      </c>
      <c r="B12" s="5">
        <v>2464.9090000000001</v>
      </c>
      <c r="C12" s="5">
        <v>3334.2860000000001</v>
      </c>
      <c r="D12" s="5">
        <v>4253.97</v>
      </c>
      <c r="E12" s="11">
        <f>SUM(E4:E11)</f>
        <v>4708.4826726503961</v>
      </c>
      <c r="F12" s="11">
        <f t="shared" ref="F12:G12" si="3">SUM(F4:F11)</f>
        <v>5109.1754458512351</v>
      </c>
      <c r="G12" s="11">
        <f t="shared" si="3"/>
        <v>5681.7640535287492</v>
      </c>
      <c r="H12" s="5"/>
      <c r="I12" s="5"/>
      <c r="J12" s="5"/>
    </row>
    <row r="13" spans="1:11" x14ac:dyDescent="0.25">
      <c r="A13" t="s">
        <v>91</v>
      </c>
      <c r="B13" s="5">
        <v>101.70400000000009</v>
      </c>
      <c r="C13" s="5">
        <v>215.28099999999975</v>
      </c>
      <c r="D13" s="5">
        <v>613.59</v>
      </c>
      <c r="E13" s="11">
        <f>E2-E12</f>
        <v>717.96815234960377</v>
      </c>
      <c r="F13" s="11">
        <f t="shared" ref="F13:G13" si="4">F2-F12</f>
        <v>1059.297667736264</v>
      </c>
      <c r="G13" s="11">
        <f t="shared" si="4"/>
        <v>1463.1726713834569</v>
      </c>
      <c r="H13" s="5"/>
      <c r="I13" s="5"/>
      <c r="J13" s="5"/>
    </row>
    <row r="14" spans="1:11" x14ac:dyDescent="0.25">
      <c r="A14" t="s">
        <v>93</v>
      </c>
      <c r="B14" s="5">
        <v>14.563999999999998</v>
      </c>
      <c r="C14" s="5">
        <v>28.786000000000001</v>
      </c>
      <c r="D14" s="5">
        <v>34.81</v>
      </c>
      <c r="E14" s="5">
        <v>36</v>
      </c>
      <c r="F14" s="11">
        <v>38</v>
      </c>
      <c r="G14" s="11">
        <v>38</v>
      </c>
      <c r="H14" s="11"/>
      <c r="I14" s="11"/>
      <c r="J14" s="11"/>
    </row>
    <row r="15" spans="1:11" x14ac:dyDescent="0.25">
      <c r="A15" t="s">
        <v>94</v>
      </c>
      <c r="B15" s="5">
        <v>116.268</v>
      </c>
      <c r="C15" s="5">
        <v>244.06700000000001</v>
      </c>
      <c r="D15" s="5">
        <v>648.39</v>
      </c>
      <c r="E15" s="11">
        <f>E13+E14</f>
        <v>753.96815234960377</v>
      </c>
      <c r="F15" s="11">
        <f t="shared" ref="F15:G15" si="5">F13+F14</f>
        <v>1097.297667736264</v>
      </c>
      <c r="G15" s="11">
        <f t="shared" si="5"/>
        <v>1501.1726713834569</v>
      </c>
      <c r="H15" s="29"/>
      <c r="I15" s="29"/>
      <c r="J15" s="29"/>
    </row>
    <row r="16" spans="1:11" x14ac:dyDescent="0.25">
      <c r="A16" t="s">
        <v>216</v>
      </c>
      <c r="B16" s="5">
        <v>126.93599999999998</v>
      </c>
      <c r="C16" s="5">
        <v>128.21099999999998</v>
      </c>
      <c r="D16" s="5">
        <v>141.13999999999999</v>
      </c>
      <c r="E16" s="11">
        <f>9%*AVERAGE(D46:E46)</f>
        <v>157.84109999999998</v>
      </c>
      <c r="F16" s="11">
        <f t="shared" ref="F16:G16" si="6">9%*AVERAGE(E46:F46)</f>
        <v>173.59109999999998</v>
      </c>
      <c r="G16" s="11">
        <f t="shared" si="6"/>
        <v>188.44109999999998</v>
      </c>
    </row>
    <row r="17" spans="1:7" x14ac:dyDescent="0.25">
      <c r="A17" t="s">
        <v>95</v>
      </c>
      <c r="B17" s="11">
        <v>-10.667999999999978</v>
      </c>
      <c r="C17" s="11">
        <v>115.85600000000002</v>
      </c>
      <c r="D17" s="11">
        <v>507.25</v>
      </c>
      <c r="E17" s="11">
        <f>E15-E16</f>
        <v>596.12705234960379</v>
      </c>
      <c r="F17" s="11">
        <f t="shared" ref="F17:G17" si="7">F15-F16</f>
        <v>923.70656773626399</v>
      </c>
      <c r="G17" s="11">
        <f t="shared" si="7"/>
        <v>1312.7315713834569</v>
      </c>
    </row>
    <row r="18" spans="1:7" x14ac:dyDescent="0.25">
      <c r="A18" t="s">
        <v>217</v>
      </c>
      <c r="B18" s="5">
        <v>27.427999999999997</v>
      </c>
      <c r="C18" s="5">
        <v>7.3290000000000006</v>
      </c>
      <c r="D18" s="5">
        <v>6.36</v>
      </c>
      <c r="E18" s="5">
        <v>0</v>
      </c>
      <c r="F18" s="5">
        <v>0</v>
      </c>
      <c r="G18" s="5">
        <v>0</v>
      </c>
    </row>
    <row r="19" spans="1:7" x14ac:dyDescent="0.25">
      <c r="A19" t="s">
        <v>96</v>
      </c>
      <c r="B19" s="11">
        <v>-38.095999999999975</v>
      </c>
      <c r="C19" s="11">
        <v>108.52700000000002</v>
      </c>
      <c r="D19" s="11">
        <v>500.89</v>
      </c>
      <c r="E19" s="11">
        <f>E17-E18</f>
        <v>596.12705234960379</v>
      </c>
      <c r="F19" s="11">
        <f t="shared" ref="F19:G19" si="8">F17-F18</f>
        <v>923.70656773626399</v>
      </c>
      <c r="G19" s="11">
        <f t="shared" si="8"/>
        <v>1312.7315713834569</v>
      </c>
    </row>
    <row r="20" spans="1:7" x14ac:dyDescent="0.25">
      <c r="A20" t="s">
        <v>97</v>
      </c>
      <c r="B20" s="5">
        <v>-38.488</v>
      </c>
      <c r="C20" s="5">
        <v>27.195999999999998</v>
      </c>
      <c r="D20" s="5">
        <v>126.92</v>
      </c>
      <c r="E20" s="11">
        <f>E19*0.25</f>
        <v>149.03176308740095</v>
      </c>
      <c r="F20" s="11">
        <f t="shared" ref="F20:G20" si="9">F19*0.25</f>
        <v>230.926641934066</v>
      </c>
      <c r="G20" s="11">
        <f t="shared" si="9"/>
        <v>328.18289284586422</v>
      </c>
    </row>
    <row r="21" spans="1:7" x14ac:dyDescent="0.25">
      <c r="A21" t="s">
        <v>98</v>
      </c>
      <c r="B21" s="11">
        <v>0.39200000000002433</v>
      </c>
      <c r="C21" s="11">
        <v>81.331000000000017</v>
      </c>
      <c r="D21" s="11">
        <v>373.96999999999997</v>
      </c>
      <c r="E21" s="11">
        <f>E19-E20</f>
        <v>447.09528926220287</v>
      </c>
      <c r="F21" s="11">
        <f t="shared" ref="F21:G21" si="10">F19-F20</f>
        <v>692.77992580219802</v>
      </c>
      <c r="G21" s="11">
        <f t="shared" si="10"/>
        <v>984.54867853759265</v>
      </c>
    </row>
    <row r="23" spans="1:7" x14ac:dyDescent="0.25">
      <c r="A23" s="1" t="s">
        <v>168</v>
      </c>
      <c r="B23" s="24">
        <v>44256</v>
      </c>
      <c r="C23" s="24">
        <v>44621</v>
      </c>
      <c r="D23" s="24">
        <v>44986</v>
      </c>
      <c r="E23" s="25">
        <v>45352</v>
      </c>
      <c r="F23" s="25">
        <v>45717</v>
      </c>
      <c r="G23" s="25">
        <v>46082</v>
      </c>
    </row>
    <row r="24" spans="1:7" x14ac:dyDescent="0.25">
      <c r="A24" s="1" t="s">
        <v>124</v>
      </c>
      <c r="B24" s="5"/>
      <c r="C24" s="5"/>
      <c r="D24" s="20"/>
    </row>
    <row r="25" spans="1:7" x14ac:dyDescent="0.25">
      <c r="A25" t="s">
        <v>125</v>
      </c>
      <c r="B25" s="5">
        <v>148.72300000000001</v>
      </c>
      <c r="C25" s="5">
        <v>148.72300000000001</v>
      </c>
      <c r="D25" s="5">
        <v>148.72</v>
      </c>
      <c r="E25" s="11">
        <f>D25</f>
        <v>148.72</v>
      </c>
      <c r="F25" s="11">
        <f t="shared" ref="F25:G25" si="11">E25</f>
        <v>148.72</v>
      </c>
      <c r="G25" s="11">
        <f t="shared" si="11"/>
        <v>148.72</v>
      </c>
    </row>
    <row r="26" spans="1:7" x14ac:dyDescent="0.25">
      <c r="A26" t="s">
        <v>126</v>
      </c>
      <c r="B26" s="5">
        <v>0</v>
      </c>
      <c r="C26" s="5">
        <v>0</v>
      </c>
      <c r="D26" s="5">
        <v>0</v>
      </c>
    </row>
    <row r="27" spans="1:7" x14ac:dyDescent="0.25">
      <c r="A27" t="s">
        <v>127</v>
      </c>
      <c r="B27" s="5">
        <v>1198.346</v>
      </c>
      <c r="C27" s="5">
        <v>1279.82</v>
      </c>
      <c r="D27" s="5">
        <v>1623.51</v>
      </c>
      <c r="E27" s="11">
        <f>D27+E21</f>
        <v>2070.6052892622029</v>
      </c>
      <c r="F27" s="11">
        <f t="shared" ref="F27:G27" si="12">E27+F21</f>
        <v>2763.3852150644007</v>
      </c>
      <c r="G27" s="11">
        <f t="shared" si="12"/>
        <v>3747.9338936019931</v>
      </c>
    </row>
    <row r="28" spans="1:7" x14ac:dyDescent="0.25">
      <c r="A28" s="1" t="s">
        <v>128</v>
      </c>
      <c r="B28" s="27">
        <v>1347.069</v>
      </c>
      <c r="C28" s="27">
        <v>1428.5429999999999</v>
      </c>
      <c r="D28" s="27">
        <v>1772.23</v>
      </c>
      <c r="E28" s="36">
        <f>E27+E25</f>
        <v>2219.3252892622027</v>
      </c>
      <c r="F28" s="36">
        <f t="shared" ref="F28:G28" si="13">F27+F25</f>
        <v>2912.1052150644005</v>
      </c>
      <c r="G28" s="36">
        <f t="shared" si="13"/>
        <v>3896.6538936019929</v>
      </c>
    </row>
    <row r="29" spans="1:7" x14ac:dyDescent="0.25">
      <c r="A29" t="s">
        <v>129</v>
      </c>
      <c r="B29" s="5"/>
      <c r="C29" s="5"/>
      <c r="D29" s="5"/>
    </row>
    <row r="30" spans="1:7" x14ac:dyDescent="0.25">
      <c r="A30" t="s">
        <v>130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t="s">
        <v>131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t="s">
        <v>132</v>
      </c>
      <c r="B32" s="5">
        <v>39.210999999999999</v>
      </c>
      <c r="C32" s="5">
        <v>35.295000000000002</v>
      </c>
      <c r="D32" s="5">
        <v>30.24</v>
      </c>
      <c r="E32" s="5">
        <v>27</v>
      </c>
      <c r="F32" s="5">
        <v>25</v>
      </c>
      <c r="G32" s="5">
        <v>22</v>
      </c>
    </row>
    <row r="33" spans="1:10" x14ac:dyDescent="0.25">
      <c r="A33" t="s">
        <v>133</v>
      </c>
      <c r="B33" s="5">
        <v>4.0460000000000003</v>
      </c>
      <c r="C33" s="5">
        <v>1.2989999999999999</v>
      </c>
      <c r="D33" s="5">
        <v>2.56</v>
      </c>
      <c r="E33" s="5">
        <v>6</v>
      </c>
      <c r="F33" s="5">
        <v>10</v>
      </c>
      <c r="G33" s="5">
        <v>8</v>
      </c>
    </row>
    <row r="34" spans="1:10" x14ac:dyDescent="0.25">
      <c r="A34" t="s">
        <v>134</v>
      </c>
      <c r="B34" s="5">
        <v>273.97500000000002</v>
      </c>
      <c r="C34" s="5">
        <v>273.61200000000002</v>
      </c>
      <c r="D34" s="5">
        <v>279.10000000000002</v>
      </c>
      <c r="E34" s="5">
        <v>285</v>
      </c>
      <c r="F34" s="5">
        <v>299</v>
      </c>
      <c r="G34" s="5">
        <v>305</v>
      </c>
    </row>
    <row r="35" spans="1:10" x14ac:dyDescent="0.25">
      <c r="A35" s="1" t="s">
        <v>135</v>
      </c>
      <c r="B35" s="27">
        <v>317.23200000000003</v>
      </c>
      <c r="C35" s="27">
        <v>310.20600000000002</v>
      </c>
      <c r="D35" s="27">
        <v>311.89999999999998</v>
      </c>
      <c r="E35" s="36">
        <f>SUM(E30:E34)</f>
        <v>318</v>
      </c>
      <c r="F35" s="36">
        <f t="shared" ref="F35:G35" si="14">SUM(F30:F34)</f>
        <v>334</v>
      </c>
      <c r="G35" s="36">
        <f t="shared" si="14"/>
        <v>335</v>
      </c>
    </row>
    <row r="36" spans="1:10" x14ac:dyDescent="0.25">
      <c r="A36" t="s">
        <v>136</v>
      </c>
    </row>
    <row r="37" spans="1:10" x14ac:dyDescent="0.25">
      <c r="A37" t="s">
        <v>137</v>
      </c>
      <c r="B37" s="5">
        <v>384.83199999999999</v>
      </c>
      <c r="C37" s="5">
        <v>402.39400000000001</v>
      </c>
      <c r="D37" s="5">
        <v>393.57</v>
      </c>
      <c r="E37" s="5">
        <f>48/365*AVERAGE(D84:E84)</f>
        <v>403.3304256756424</v>
      </c>
      <c r="F37" s="5">
        <f>47/365*AVERAGE(E84:F84)</f>
        <v>431.52463232705492</v>
      </c>
      <c r="G37" s="5">
        <f>47/365*AVERAGE(F84:G84)</f>
        <v>480.51198584886771</v>
      </c>
    </row>
    <row r="38" spans="1:10" x14ac:dyDescent="0.25">
      <c r="A38" t="s">
        <v>138</v>
      </c>
      <c r="B38" s="5">
        <v>123.20399999999999</v>
      </c>
      <c r="C38" s="5">
        <v>98.965000000000003</v>
      </c>
      <c r="D38" s="5">
        <v>147.86000000000001</v>
      </c>
      <c r="E38" s="5">
        <f>10/365*AVERAGE(D2:E2)</f>
        <v>141.01370993150684</v>
      </c>
      <c r="F38" s="5">
        <f>9/365*AVERAGE(E2:F2)</f>
        <v>142.95111705107874</v>
      </c>
      <c r="G38" s="5">
        <f>9/365*AVERAGE(F2:G2)</f>
        <v>164.13792951574979</v>
      </c>
    </row>
    <row r="39" spans="1:10" x14ac:dyDescent="0.25">
      <c r="A39" t="s">
        <v>139</v>
      </c>
      <c r="B39" s="5">
        <v>81.186999999999998</v>
      </c>
      <c r="C39" s="5">
        <v>29.902999999999995</v>
      </c>
      <c r="D39" s="5">
        <v>0</v>
      </c>
      <c r="E39" s="5">
        <v>0</v>
      </c>
      <c r="F39" s="5">
        <v>0</v>
      </c>
      <c r="G39" s="5">
        <v>0</v>
      </c>
    </row>
    <row r="40" spans="1:10" x14ac:dyDescent="0.25">
      <c r="A40" t="s">
        <v>140</v>
      </c>
      <c r="B40" s="5">
        <v>0.95</v>
      </c>
      <c r="C40" s="5">
        <v>0.45300000000000001</v>
      </c>
      <c r="D40" s="5">
        <v>133.44999999999999</v>
      </c>
      <c r="E40" s="5">
        <v>12</v>
      </c>
      <c r="F40" s="5">
        <v>10</v>
      </c>
      <c r="G40" s="5">
        <v>10</v>
      </c>
    </row>
    <row r="41" spans="1:10" x14ac:dyDescent="0.25">
      <c r="A41" s="1" t="s">
        <v>141</v>
      </c>
      <c r="B41" s="27">
        <v>590.173</v>
      </c>
      <c r="C41" s="27">
        <v>531.71499999999992</v>
      </c>
      <c r="D41" s="27">
        <v>674.88</v>
      </c>
      <c r="E41" s="27">
        <f>SUM(E37:E40)</f>
        <v>556.34413560714927</v>
      </c>
      <c r="F41" s="27">
        <f t="shared" ref="F41:G41" si="15">SUM(F37:F40)</f>
        <v>584.47574937813363</v>
      </c>
      <c r="G41" s="27">
        <f t="shared" si="15"/>
        <v>654.64991536461753</v>
      </c>
    </row>
    <row r="42" spans="1:10" x14ac:dyDescent="0.25">
      <c r="A42" s="1" t="s">
        <v>142</v>
      </c>
      <c r="B42" s="27">
        <v>2254.4740000000002</v>
      </c>
      <c r="C42" s="27">
        <v>2270.4639999999999</v>
      </c>
      <c r="D42" s="27">
        <v>2759.01</v>
      </c>
      <c r="E42" s="36">
        <f>E41+E35+E28</f>
        <v>3093.669424869352</v>
      </c>
      <c r="F42" s="36">
        <f t="shared" ref="F42:G42" si="16">F41+F35+F28</f>
        <v>3830.580964442534</v>
      </c>
      <c r="G42" s="36">
        <f t="shared" si="16"/>
        <v>4886.3038089666106</v>
      </c>
    </row>
    <row r="44" spans="1:10" x14ac:dyDescent="0.25">
      <c r="A44" s="1" t="s">
        <v>143</v>
      </c>
      <c r="H44" s="1"/>
      <c r="I44" s="1"/>
      <c r="J44" s="1"/>
    </row>
    <row r="45" spans="1:10" x14ac:dyDescent="0.25">
      <c r="A45" t="s">
        <v>144</v>
      </c>
      <c r="H45" s="4"/>
      <c r="I45" s="4"/>
      <c r="J45" s="4"/>
    </row>
    <row r="46" spans="1:10" x14ac:dyDescent="0.25">
      <c r="A46" t="s">
        <v>145</v>
      </c>
      <c r="B46" s="5">
        <v>1208.2049999999999</v>
      </c>
      <c r="C46" s="5">
        <v>1463.4659999999999</v>
      </c>
      <c r="D46" s="5">
        <v>1668.79</v>
      </c>
      <c r="E46" s="11">
        <f>D46+170</f>
        <v>1838.79</v>
      </c>
      <c r="F46" s="11">
        <f>E46+180</f>
        <v>2018.79</v>
      </c>
      <c r="G46" s="11">
        <f>F46+150</f>
        <v>2168.79</v>
      </c>
      <c r="H46" s="4"/>
      <c r="I46" s="4"/>
      <c r="J46" s="4"/>
    </row>
    <row r="47" spans="1:10" x14ac:dyDescent="0.25">
      <c r="A47" t="s">
        <v>146</v>
      </c>
      <c r="B47" s="5">
        <v>529.84799999999996</v>
      </c>
      <c r="C47" s="5">
        <v>654.28899999999999</v>
      </c>
      <c r="D47" s="5">
        <v>764.85</v>
      </c>
      <c r="E47" s="11">
        <f>D47+E16</f>
        <v>922.69110000000001</v>
      </c>
      <c r="F47" s="11">
        <f t="shared" ref="F47:G47" si="17">E47+F16</f>
        <v>1096.2822000000001</v>
      </c>
      <c r="G47" s="11">
        <f t="shared" si="17"/>
        <v>1284.7233000000001</v>
      </c>
      <c r="H47" s="4"/>
      <c r="I47" s="4"/>
      <c r="J47" s="4"/>
    </row>
    <row r="48" spans="1:10" x14ac:dyDescent="0.25">
      <c r="A48" t="s">
        <v>147</v>
      </c>
      <c r="B48" s="5"/>
      <c r="C48" s="5"/>
      <c r="D48" s="5"/>
      <c r="H48" s="4"/>
      <c r="I48" s="4"/>
      <c r="J48" s="4"/>
    </row>
    <row r="49" spans="1:7" x14ac:dyDescent="0.25">
      <c r="A49" t="s">
        <v>148</v>
      </c>
      <c r="B49" s="5">
        <v>678.35699999999997</v>
      </c>
      <c r="C49" s="5">
        <v>809.17700000000002</v>
      </c>
      <c r="D49" s="5">
        <v>893.95</v>
      </c>
      <c r="E49" s="11">
        <f>E46-E47</f>
        <v>916.09889999999996</v>
      </c>
      <c r="F49" s="11">
        <f t="shared" ref="F49:G49" si="18">F46-F47</f>
        <v>922.50779999999986</v>
      </c>
      <c r="G49" s="11">
        <f t="shared" si="18"/>
        <v>884.06669999999986</v>
      </c>
    </row>
    <row r="50" spans="1:7" x14ac:dyDescent="0.25">
      <c r="A50" t="s">
        <v>149</v>
      </c>
      <c r="B50" s="5"/>
      <c r="C50" s="5"/>
      <c r="D50" s="5"/>
    </row>
    <row r="51" spans="1:7" x14ac:dyDescent="0.25">
      <c r="A51" t="s">
        <v>150</v>
      </c>
      <c r="B51" s="5">
        <v>32.207000000000001</v>
      </c>
      <c r="C51" s="5">
        <v>2.3980000000000001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5">
      <c r="A52" t="s">
        <v>151</v>
      </c>
      <c r="B52" s="5"/>
      <c r="C52" s="5">
        <v>9.8800000000000008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t="s">
        <v>152</v>
      </c>
      <c r="B53" s="5"/>
      <c r="C53" s="5"/>
      <c r="D53" s="5"/>
    </row>
    <row r="54" spans="1:7" x14ac:dyDescent="0.25">
      <c r="A54" t="s">
        <v>153</v>
      </c>
      <c r="B54" s="5"/>
      <c r="C54" s="5"/>
      <c r="D54" s="5"/>
    </row>
    <row r="55" spans="1:7" x14ac:dyDescent="0.25">
      <c r="A55" t="s">
        <v>154</v>
      </c>
      <c r="B55" s="5"/>
      <c r="C55" s="5"/>
      <c r="D55" s="5"/>
    </row>
    <row r="56" spans="1:7" x14ac:dyDescent="0.25">
      <c r="A56" t="s">
        <v>155</v>
      </c>
      <c r="B56" s="5">
        <v>408.49799999999999</v>
      </c>
      <c r="C56" s="5">
        <v>308.858</v>
      </c>
      <c r="D56" s="5">
        <v>329.18</v>
      </c>
      <c r="E56" s="5">
        <v>345</v>
      </c>
      <c r="F56" s="5">
        <v>350</v>
      </c>
      <c r="G56" s="5">
        <v>350</v>
      </c>
    </row>
    <row r="57" spans="1:7" x14ac:dyDescent="0.25">
      <c r="A57" t="s">
        <v>156</v>
      </c>
      <c r="B57" s="5">
        <v>0.122</v>
      </c>
      <c r="C57" s="5">
        <v>0.35399999999999998</v>
      </c>
      <c r="D57" s="5">
        <v>0.43</v>
      </c>
      <c r="E57" s="11">
        <v>0</v>
      </c>
      <c r="F57" s="11">
        <v>0</v>
      </c>
      <c r="G57" s="11">
        <v>0</v>
      </c>
    </row>
    <row r="58" spans="1:7" s="1" customFormat="1" x14ac:dyDescent="0.25">
      <c r="A58" s="1" t="s">
        <v>157</v>
      </c>
      <c r="B58" s="27">
        <v>1119.184</v>
      </c>
      <c r="C58" s="27">
        <v>1130.6669999999999</v>
      </c>
      <c r="D58" s="27">
        <v>1233.3599999999999</v>
      </c>
      <c r="E58" s="36">
        <f>SUM(E49:E57)</f>
        <v>1261.0989</v>
      </c>
      <c r="F58" s="36">
        <f t="shared" ref="F58:G58" si="19">SUM(F49:F57)</f>
        <v>1272.5077999999999</v>
      </c>
      <c r="G58" s="36">
        <f t="shared" si="19"/>
        <v>1234.0666999999999</v>
      </c>
    </row>
    <row r="59" spans="1:7" x14ac:dyDescent="0.25">
      <c r="A59" t="s">
        <v>158</v>
      </c>
      <c r="B59" s="5"/>
      <c r="C59" s="5"/>
      <c r="D59" s="5"/>
    </row>
    <row r="60" spans="1:7" x14ac:dyDescent="0.25">
      <c r="A60" t="s">
        <v>159</v>
      </c>
      <c r="B60" s="5"/>
      <c r="C60" s="5"/>
      <c r="D60" s="5"/>
    </row>
    <row r="61" spans="1:7" x14ac:dyDescent="0.25">
      <c r="A61" t="s">
        <v>160</v>
      </c>
      <c r="B61" s="5">
        <v>626.12800000000004</v>
      </c>
      <c r="C61" s="5">
        <v>646.06399999999996</v>
      </c>
      <c r="D61" s="5">
        <v>789.48</v>
      </c>
      <c r="E61" s="5">
        <f>59/365*AVERAGE(D2:E2)</f>
        <v>831.98088859589041</v>
      </c>
      <c r="F61" s="5">
        <f>58/365*AVERAGE(E2:F2)</f>
        <v>921.24053210695206</v>
      </c>
      <c r="G61" s="5">
        <f>58/365*AVERAGE(F2:G2)</f>
        <v>1057.7777679903877</v>
      </c>
    </row>
    <row r="62" spans="1:7" x14ac:dyDescent="0.25">
      <c r="A62" t="s">
        <v>161</v>
      </c>
      <c r="B62" s="5">
        <v>358.93299999999999</v>
      </c>
      <c r="C62" s="5">
        <v>341.34899999999999</v>
      </c>
      <c r="D62" s="5">
        <v>386.42</v>
      </c>
      <c r="E62" s="5">
        <f>28/365*AVERAGE(D2:E2)</f>
        <v>394.83838780821918</v>
      </c>
      <c r="F62" s="5">
        <f t="shared" ref="F62:G62" si="20">28/365*AVERAGE(E2:F2)</f>
        <v>444.73680860335617</v>
      </c>
      <c r="G62" s="5">
        <f t="shared" si="20"/>
        <v>510.65133627122157</v>
      </c>
    </row>
    <row r="63" spans="1:7" x14ac:dyDescent="0.25">
      <c r="A63" t="s">
        <v>162</v>
      </c>
      <c r="B63" s="5">
        <v>2.7120000000000002</v>
      </c>
      <c r="C63" s="5">
        <v>1.962</v>
      </c>
      <c r="D63" s="5">
        <v>124.05</v>
      </c>
      <c r="E63" s="5">
        <f>E42-E58-E61-E62-E64-E65</f>
        <v>407.7512484652425</v>
      </c>
      <c r="F63" s="5">
        <f t="shared" ref="F63:G63" si="21">F42-F58-F61-F62-F64-F65</f>
        <v>987.09582373222588</v>
      </c>
      <c r="G63" s="5">
        <f t="shared" si="21"/>
        <v>1842.8080047050012</v>
      </c>
    </row>
    <row r="64" spans="1:7" x14ac:dyDescent="0.25">
      <c r="A64" t="s">
        <v>163</v>
      </c>
      <c r="B64" s="5">
        <v>30.451000000000001</v>
      </c>
      <c r="C64" s="5">
        <v>21.088000000000001</v>
      </c>
      <c r="D64" s="5">
        <v>13.86</v>
      </c>
      <c r="E64" s="5">
        <v>18</v>
      </c>
      <c r="F64" s="5">
        <v>20</v>
      </c>
      <c r="G64" s="5">
        <v>21</v>
      </c>
    </row>
    <row r="65" spans="1:7" x14ac:dyDescent="0.25">
      <c r="A65" t="s">
        <v>164</v>
      </c>
      <c r="B65" s="5">
        <v>117.06600000000002</v>
      </c>
      <c r="C65" s="5">
        <v>129.33399999999997</v>
      </c>
      <c r="D65" s="5">
        <v>211.85</v>
      </c>
      <c r="E65" s="5">
        <v>180</v>
      </c>
      <c r="F65" s="5">
        <v>185</v>
      </c>
      <c r="G65" s="5">
        <v>220</v>
      </c>
    </row>
    <row r="66" spans="1:7" x14ac:dyDescent="0.25">
      <c r="A66" t="s">
        <v>165</v>
      </c>
      <c r="B66" s="5">
        <v>1135.29</v>
      </c>
      <c r="C66" s="5">
        <v>1139.797</v>
      </c>
      <c r="D66" s="5">
        <v>1525.65</v>
      </c>
      <c r="E66" s="5">
        <f>SUM(E61:E65)</f>
        <v>1832.5705248693521</v>
      </c>
      <c r="F66" s="5">
        <f t="shared" ref="F66:G66" si="22">SUM(F61:F65)</f>
        <v>2558.0731644425341</v>
      </c>
      <c r="G66" s="5">
        <f t="shared" si="22"/>
        <v>3652.2371089666103</v>
      </c>
    </row>
    <row r="67" spans="1:7" s="1" customFormat="1" x14ac:dyDescent="0.25">
      <c r="A67" s="1" t="s">
        <v>166</v>
      </c>
      <c r="B67" s="27">
        <v>2254.4740000000002</v>
      </c>
      <c r="C67" s="27">
        <v>2270.4639999999999</v>
      </c>
      <c r="D67" s="27">
        <v>2759.01</v>
      </c>
      <c r="E67" s="36">
        <f>E66+E58</f>
        <v>3093.669424869352</v>
      </c>
      <c r="F67" s="36">
        <f t="shared" ref="F67:G67" si="23">F66+F58</f>
        <v>3830.580964442534</v>
      </c>
      <c r="G67" s="36">
        <f t="shared" si="23"/>
        <v>4886.3038089666097</v>
      </c>
    </row>
    <row r="69" spans="1:7" s="1" customFormat="1" x14ac:dyDescent="0.25">
      <c r="B69" s="24"/>
      <c r="C69" s="24"/>
      <c r="D69" s="24"/>
      <c r="E69" s="25"/>
      <c r="F69" s="25"/>
      <c r="G69" s="25"/>
    </row>
    <row r="70" spans="1:7" x14ac:dyDescent="0.25">
      <c r="A70" s="37" t="s">
        <v>203</v>
      </c>
      <c r="B70" s="38">
        <v>44256</v>
      </c>
      <c r="C70" s="38">
        <v>44621</v>
      </c>
      <c r="D70" s="38">
        <v>44986</v>
      </c>
      <c r="E70" s="25">
        <v>45352</v>
      </c>
      <c r="F70" s="25">
        <v>45717</v>
      </c>
      <c r="G70" s="25">
        <v>46082</v>
      </c>
    </row>
    <row r="71" spans="1:7" x14ac:dyDescent="0.25">
      <c r="A71" s="39" t="s">
        <v>204</v>
      </c>
      <c r="B71" s="41">
        <v>99</v>
      </c>
      <c r="C71" s="41">
        <v>163</v>
      </c>
      <c r="D71" s="41">
        <v>247</v>
      </c>
      <c r="E71" s="42">
        <f>D71*1.25</f>
        <v>308.75</v>
      </c>
      <c r="F71" s="42">
        <f t="shared" ref="F71:G71" si="24">E71*1.25</f>
        <v>385.9375</v>
      </c>
      <c r="G71" s="42">
        <f t="shared" si="24"/>
        <v>482.421875</v>
      </c>
    </row>
    <row r="72" spans="1:7" x14ac:dyDescent="0.25">
      <c r="A72" s="39" t="s">
        <v>205</v>
      </c>
      <c r="B72" s="41">
        <v>380</v>
      </c>
      <c r="C72" s="41">
        <v>447</v>
      </c>
      <c r="D72" s="41">
        <v>511</v>
      </c>
      <c r="E72" s="42">
        <f>D72*0.95</f>
        <v>485.45</v>
      </c>
      <c r="F72" s="42">
        <f t="shared" ref="F72:G72" si="25">E72*0.95</f>
        <v>461.17749999999995</v>
      </c>
      <c r="G72" s="42">
        <f t="shared" si="25"/>
        <v>438.11862499999995</v>
      </c>
    </row>
    <row r="73" spans="1:7" x14ac:dyDescent="0.25">
      <c r="A73" s="39" t="s">
        <v>206</v>
      </c>
      <c r="B73" s="41">
        <v>479</v>
      </c>
      <c r="C73" s="41">
        <v>610</v>
      </c>
      <c r="D73" s="41">
        <v>758</v>
      </c>
      <c r="E73" s="42">
        <f>SUM(E71:E72)</f>
        <v>794.2</v>
      </c>
      <c r="F73" s="42">
        <f t="shared" ref="F73:G73" si="26">SUM(F71:F72)</f>
        <v>847.11500000000001</v>
      </c>
      <c r="G73" s="42">
        <f t="shared" si="26"/>
        <v>920.54049999999995</v>
      </c>
    </row>
    <row r="74" spans="1:7" x14ac:dyDescent="0.25">
      <c r="A74" s="40"/>
      <c r="B74" s="43"/>
      <c r="C74" s="43"/>
      <c r="D74" s="43"/>
      <c r="E74" s="42"/>
      <c r="F74" s="42"/>
      <c r="G74" s="42"/>
    </row>
    <row r="75" spans="1:7" x14ac:dyDescent="0.25">
      <c r="A75" s="39" t="s">
        <v>207</v>
      </c>
      <c r="B75" s="44">
        <v>9.49</v>
      </c>
      <c r="C75" s="44">
        <v>9.58</v>
      </c>
      <c r="D75" s="44">
        <v>9.68</v>
      </c>
      <c r="E75" s="45">
        <f>D75*1.02</f>
        <v>9.8735999999999997</v>
      </c>
      <c r="F75" s="45">
        <f t="shared" ref="F75:G75" si="27">E75*1.02</f>
        <v>10.071071999999999</v>
      </c>
      <c r="G75" s="45">
        <f t="shared" si="27"/>
        <v>10.27249344</v>
      </c>
    </row>
    <row r="76" spans="1:7" x14ac:dyDescent="0.25">
      <c r="A76" s="39" t="s">
        <v>208</v>
      </c>
      <c r="B76" s="44">
        <v>4.28</v>
      </c>
      <c r="C76" s="44">
        <v>4.45</v>
      </c>
      <c r="D76" s="44">
        <v>4.8499999999999996</v>
      </c>
      <c r="E76" s="45">
        <f>D76*1.01</f>
        <v>4.8984999999999994</v>
      </c>
      <c r="F76" s="45">
        <f t="shared" ref="F76:G76" si="28">E76*1.01</f>
        <v>4.9474849999999995</v>
      </c>
      <c r="G76" s="45">
        <f t="shared" si="28"/>
        <v>4.9969598499999996</v>
      </c>
    </row>
    <row r="77" spans="1:7" x14ac:dyDescent="0.25">
      <c r="A77" s="40"/>
      <c r="B77" s="43"/>
      <c r="C77" s="43"/>
      <c r="D77" s="43"/>
      <c r="E77" s="42"/>
      <c r="F77" s="42"/>
      <c r="G77" s="42"/>
    </row>
    <row r="78" spans="1:7" x14ac:dyDescent="0.25">
      <c r="A78" s="39" t="s">
        <v>209</v>
      </c>
      <c r="B78" s="41">
        <v>939</v>
      </c>
      <c r="C78" s="41">
        <v>1562</v>
      </c>
      <c r="D78" s="41">
        <v>2390</v>
      </c>
      <c r="E78" s="42">
        <f>E75*E71</f>
        <v>3048.4739999999997</v>
      </c>
      <c r="F78" s="42">
        <f t="shared" ref="F78:G78" si="29">F75*F71</f>
        <v>3886.8043499999999</v>
      </c>
      <c r="G78" s="42">
        <f t="shared" si="29"/>
        <v>4955.6755462499996</v>
      </c>
    </row>
    <row r="79" spans="1:7" x14ac:dyDescent="0.25">
      <c r="A79" s="39" t="s">
        <v>210</v>
      </c>
      <c r="B79" s="41">
        <v>1627</v>
      </c>
      <c r="C79" s="41">
        <v>1988</v>
      </c>
      <c r="D79" s="41">
        <v>2478</v>
      </c>
      <c r="E79" s="42">
        <f>E76*E72</f>
        <v>2377.9768249999997</v>
      </c>
      <c r="F79" s="42">
        <f t="shared" ref="F79:G79" si="30">F76*F72</f>
        <v>2281.6687635874996</v>
      </c>
      <c r="G79" s="42">
        <f t="shared" si="30"/>
        <v>2189.261178662206</v>
      </c>
    </row>
    <row r="80" spans="1:7" x14ac:dyDescent="0.25">
      <c r="A80" s="39" t="s">
        <v>92</v>
      </c>
      <c r="B80" s="41">
        <v>2567</v>
      </c>
      <c r="C80" s="41">
        <v>3550</v>
      </c>
      <c r="D80" s="41">
        <v>4868</v>
      </c>
      <c r="E80" s="42">
        <f>SUM(E78:E79)</f>
        <v>5426.4508249999999</v>
      </c>
      <c r="F80" s="42">
        <f t="shared" ref="F80:G80" si="31">SUM(F78:F79)</f>
        <v>6168.473113587499</v>
      </c>
      <c r="G80" s="42">
        <f t="shared" si="31"/>
        <v>7144.936724912206</v>
      </c>
    </row>
    <row r="81" spans="1:7" x14ac:dyDescent="0.25">
      <c r="A81" s="1"/>
      <c r="B81" s="27"/>
      <c r="C81" s="27"/>
      <c r="D81" s="27"/>
    </row>
    <row r="82" spans="1:7" x14ac:dyDescent="0.25">
      <c r="B82" s="5"/>
      <c r="C82" s="5"/>
      <c r="D82" s="5"/>
    </row>
    <row r="83" spans="1:7" x14ac:dyDescent="0.25">
      <c r="A83" s="39" t="s">
        <v>211</v>
      </c>
      <c r="B83" s="3">
        <f>B5/B73</f>
        <v>3.2443966597077245</v>
      </c>
      <c r="C83" s="3">
        <f t="shared" ref="C83:D83" si="32">C5/C73</f>
        <v>3.907862295081967</v>
      </c>
      <c r="D83" s="3">
        <f t="shared" si="32"/>
        <v>4.0824802110817942</v>
      </c>
      <c r="E83" s="15">
        <f>D83*1.03</f>
        <v>4.2049546174142485</v>
      </c>
      <c r="F83" s="15">
        <f t="shared" ref="F83:G83" si="33">E83*1.03</f>
        <v>4.331103255936676</v>
      </c>
      <c r="G83" s="15">
        <f t="shared" si="33"/>
        <v>4.4610363536147766</v>
      </c>
    </row>
    <row r="84" spans="1:7" x14ac:dyDescent="0.25">
      <c r="A84" s="39" t="s">
        <v>212</v>
      </c>
      <c r="B84" s="5">
        <f>B4+B5</f>
        <v>1727.2370000000001</v>
      </c>
      <c r="C84" s="5">
        <f t="shared" ref="C84:G84" si="34">C4+C5</f>
        <v>2374.8269999999998</v>
      </c>
      <c r="D84" s="5">
        <f t="shared" si="34"/>
        <v>2945.95</v>
      </c>
      <c r="E84" s="5">
        <f t="shared" si="34"/>
        <v>3188.0335571503961</v>
      </c>
      <c r="F84" s="5">
        <f t="shared" si="34"/>
        <v>3514.3703066527974</v>
      </c>
      <c r="G84" s="5">
        <f t="shared" si="34"/>
        <v>3948.9009629147231</v>
      </c>
    </row>
    <row r="85" spans="1:7" x14ac:dyDescent="0.25">
      <c r="B85" s="5"/>
      <c r="C85" s="5"/>
      <c r="D85" s="5"/>
    </row>
    <row r="86" spans="1:7" x14ac:dyDescent="0.25">
      <c r="B86" s="5"/>
      <c r="C86" s="5"/>
      <c r="D86" s="5"/>
    </row>
    <row r="87" spans="1:7" x14ac:dyDescent="0.25">
      <c r="A87" s="1" t="s">
        <v>213</v>
      </c>
      <c r="B87" s="24">
        <f>E1</f>
        <v>45352</v>
      </c>
      <c r="C87" s="24">
        <f>F1</f>
        <v>45717</v>
      </c>
      <c r="D87" s="24">
        <f>G1</f>
        <v>46082</v>
      </c>
    </row>
    <row r="88" spans="1:7" x14ac:dyDescent="0.25">
      <c r="A88" t="s">
        <v>214</v>
      </c>
      <c r="B88" s="5">
        <f>E19</f>
        <v>596.12705234960379</v>
      </c>
      <c r="C88" s="5">
        <f>F19</f>
        <v>923.70656773626399</v>
      </c>
      <c r="D88" s="5">
        <f>G19</f>
        <v>1312.7315713834569</v>
      </c>
    </row>
    <row r="89" spans="1:7" x14ac:dyDescent="0.25">
      <c r="A89" s="1" t="s">
        <v>215</v>
      </c>
    </row>
    <row r="90" spans="1:7" x14ac:dyDescent="0.25">
      <c r="A90" t="s">
        <v>216</v>
      </c>
      <c r="B90" s="46">
        <f>E16</f>
        <v>157.84109999999998</v>
      </c>
      <c r="C90" s="46">
        <f>F16</f>
        <v>173.59109999999998</v>
      </c>
      <c r="D90" s="46">
        <f>G16</f>
        <v>188.44109999999998</v>
      </c>
    </row>
    <row r="91" spans="1:7" x14ac:dyDescent="0.25">
      <c r="A91" t="s">
        <v>217</v>
      </c>
      <c r="B91" s="47">
        <f>E18</f>
        <v>0</v>
      </c>
      <c r="C91" s="47">
        <f>F18</f>
        <v>0</v>
      </c>
      <c r="D91" s="47">
        <f>G18</f>
        <v>0</v>
      </c>
    </row>
    <row r="92" spans="1:7" x14ac:dyDescent="0.25">
      <c r="A92" t="s">
        <v>218</v>
      </c>
      <c r="B92" s="4">
        <v>6</v>
      </c>
      <c r="C92" s="4">
        <v>7.5</v>
      </c>
      <c r="D92" s="4">
        <v>8</v>
      </c>
    </row>
    <row r="93" spans="1:7" x14ac:dyDescent="0.25">
      <c r="A93" t="s">
        <v>219</v>
      </c>
      <c r="B93" s="4">
        <v>-4</v>
      </c>
      <c r="C93" s="4"/>
      <c r="D93" s="4"/>
    </row>
    <row r="94" spans="1:7" x14ac:dyDescent="0.25">
      <c r="A94" t="s">
        <v>220</v>
      </c>
      <c r="B94" s="47"/>
      <c r="C94" s="47">
        <v>4.5</v>
      </c>
      <c r="D94" s="47">
        <v>0</v>
      </c>
    </row>
    <row r="95" spans="1:7" x14ac:dyDescent="0.25">
      <c r="A95" s="1" t="s">
        <v>221</v>
      </c>
      <c r="B95" s="47"/>
      <c r="C95" s="47"/>
      <c r="D95" s="47"/>
    </row>
    <row r="96" spans="1:7" x14ac:dyDescent="0.25">
      <c r="A96" t="s">
        <v>222</v>
      </c>
      <c r="B96" s="47">
        <f>D62-E62</f>
        <v>-8.4183878082191654</v>
      </c>
      <c r="C96" s="47">
        <f t="shared" ref="C96:D96" si="35">E62-F62</f>
        <v>-49.898420795136985</v>
      </c>
      <c r="D96" s="47">
        <f t="shared" si="35"/>
        <v>-65.9145276678654</v>
      </c>
    </row>
    <row r="97" spans="1:4" x14ac:dyDescent="0.25">
      <c r="A97" t="s">
        <v>160</v>
      </c>
      <c r="B97" s="47">
        <f>D61-E61</f>
        <v>-42.500888595890387</v>
      </c>
      <c r="C97" s="47">
        <f t="shared" ref="C97:D97" si="36">E61-F61</f>
        <v>-89.259643511061654</v>
      </c>
      <c r="D97" s="47">
        <f t="shared" si="36"/>
        <v>-136.53723588343564</v>
      </c>
    </row>
    <row r="98" spans="1:4" x14ac:dyDescent="0.25">
      <c r="A98" t="s">
        <v>223</v>
      </c>
      <c r="B98" s="47">
        <f>D64-E64</f>
        <v>-4.1400000000000006</v>
      </c>
      <c r="C98" s="47">
        <f t="shared" ref="C98:D98" si="37">E64-F64</f>
        <v>-2</v>
      </c>
      <c r="D98" s="47">
        <f t="shared" si="37"/>
        <v>-1</v>
      </c>
    </row>
    <row r="99" spans="1:4" x14ac:dyDescent="0.25">
      <c r="A99" t="s">
        <v>224</v>
      </c>
      <c r="B99" s="47">
        <f>D65-E65</f>
        <v>31.849999999999994</v>
      </c>
      <c r="C99" s="47">
        <f t="shared" ref="C99:D99" si="38">E65-F65</f>
        <v>-5</v>
      </c>
      <c r="D99" s="47">
        <f t="shared" si="38"/>
        <v>-35</v>
      </c>
    </row>
    <row r="100" spans="1:4" x14ac:dyDescent="0.25">
      <c r="A100" t="s">
        <v>225</v>
      </c>
      <c r="B100" s="47">
        <f>E37-D37</f>
        <v>9.7604256756424093</v>
      </c>
      <c r="C100" s="47">
        <f t="shared" ref="C100:D100" si="39">F37-E37</f>
        <v>28.194206651412514</v>
      </c>
      <c r="D100" s="47">
        <f t="shared" si="39"/>
        <v>48.987353521812793</v>
      </c>
    </row>
    <row r="101" spans="1:4" x14ac:dyDescent="0.25">
      <c r="A101" t="s">
        <v>226</v>
      </c>
      <c r="B101" s="47">
        <f>E38-D38</f>
        <v>-6.8462900684931753</v>
      </c>
      <c r="C101" s="47">
        <f t="shared" ref="C101:D101" si="40">F38-E38</f>
        <v>1.9374071195719011</v>
      </c>
      <c r="D101" s="47">
        <f t="shared" si="40"/>
        <v>21.18681246467105</v>
      </c>
    </row>
    <row r="102" spans="1:4" x14ac:dyDescent="0.25">
      <c r="A102" t="s">
        <v>227</v>
      </c>
      <c r="B102" s="46">
        <f>E40-D40</f>
        <v>-121.44999999999999</v>
      </c>
      <c r="C102" s="46">
        <f t="shared" ref="C102:D102" si="41">F40-E40</f>
        <v>-2</v>
      </c>
      <c r="D102" s="46">
        <f t="shared" si="41"/>
        <v>0</v>
      </c>
    </row>
    <row r="103" spans="1:4" x14ac:dyDescent="0.25">
      <c r="A103" t="s">
        <v>228</v>
      </c>
      <c r="B103" s="5">
        <f>SUM(B88:B102)</f>
        <v>614.22301155264336</v>
      </c>
      <c r="C103" s="5">
        <f t="shared" ref="C103:D103" si="42">SUM(C88:C102)</f>
        <v>991.27121720104969</v>
      </c>
      <c r="D103" s="5">
        <f t="shared" si="42"/>
        <v>1340.8950738186395</v>
      </c>
    </row>
    <row r="104" spans="1:4" x14ac:dyDescent="0.25">
      <c r="A104" t="s">
        <v>229</v>
      </c>
      <c r="B104" s="46">
        <f>E20</f>
        <v>149.03176308740095</v>
      </c>
      <c r="C104" s="46">
        <f t="shared" ref="C104:D104" si="43">F20</f>
        <v>230.926641934066</v>
      </c>
      <c r="D104" s="46">
        <f t="shared" si="43"/>
        <v>328.18289284586422</v>
      </c>
    </row>
    <row r="105" spans="1:4" x14ac:dyDescent="0.25">
      <c r="A105" s="1" t="s">
        <v>213</v>
      </c>
      <c r="B105" s="27">
        <f>B103-B104</f>
        <v>465.19124846524244</v>
      </c>
      <c r="C105" s="27">
        <f t="shared" ref="C105:D105" si="44">C103-C104</f>
        <v>760.34457526698372</v>
      </c>
      <c r="D105" s="27">
        <f t="shared" si="44"/>
        <v>1012.7121809727753</v>
      </c>
    </row>
    <row r="106" spans="1:4" x14ac:dyDescent="0.25">
      <c r="B106" s="5"/>
      <c r="C106" s="5"/>
      <c r="D106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A78B-5556-479E-83F5-9099E27E960E}">
  <dimension ref="A1:L39"/>
  <sheetViews>
    <sheetView workbookViewId="0">
      <selection activeCell="B30" sqref="B30"/>
    </sheetView>
  </sheetViews>
  <sheetFormatPr defaultColWidth="10.140625" defaultRowHeight="15" x14ac:dyDescent="0.25"/>
  <cols>
    <col min="1" max="1" width="24.5703125" customWidth="1"/>
    <col min="2" max="2" width="11.140625" style="5" bestFit="1" customWidth="1"/>
    <col min="3" max="3" width="11.140625" bestFit="1" customWidth="1"/>
    <col min="5" max="5" width="11.42578125" bestFit="1" customWidth="1"/>
    <col min="11" max="11" width="11.140625" bestFit="1" customWidth="1"/>
    <col min="12" max="12" width="11.42578125" bestFit="1" customWidth="1"/>
  </cols>
  <sheetData>
    <row r="1" spans="1:12" x14ac:dyDescent="0.25">
      <c r="A1" s="1" t="s">
        <v>99</v>
      </c>
    </row>
    <row r="3" spans="1:12" x14ac:dyDescent="0.25">
      <c r="A3" t="s">
        <v>100</v>
      </c>
      <c r="B3" s="5">
        <v>210000</v>
      </c>
    </row>
    <row r="4" spans="1:12" x14ac:dyDescent="0.25">
      <c r="A4" t="s">
        <v>101</v>
      </c>
      <c r="B4" s="5">
        <v>13250</v>
      </c>
      <c r="C4" s="5"/>
    </row>
    <row r="5" spans="1:12" x14ac:dyDescent="0.25">
      <c r="A5" t="s">
        <v>102</v>
      </c>
      <c r="B5" s="5">
        <v>6500</v>
      </c>
      <c r="C5" s="26"/>
    </row>
    <row r="6" spans="1:12" x14ac:dyDescent="0.25">
      <c r="A6" t="s">
        <v>103</v>
      </c>
      <c r="B6" s="5">
        <v>5450</v>
      </c>
      <c r="C6" s="26"/>
    </row>
    <row r="7" spans="1:12" x14ac:dyDescent="0.25">
      <c r="B7" s="5">
        <f>SUM(B3:B6)</f>
        <v>235200</v>
      </c>
      <c r="C7" s="26"/>
      <c r="E7" t="s">
        <v>13</v>
      </c>
      <c r="F7" t="s">
        <v>108</v>
      </c>
      <c r="G7" t="s">
        <v>107</v>
      </c>
      <c r="L7" t="s">
        <v>13</v>
      </c>
    </row>
    <row r="8" spans="1:12" x14ac:dyDescent="0.25">
      <c r="A8" t="s">
        <v>115</v>
      </c>
      <c r="B8" s="5">
        <f>72000</f>
        <v>72000</v>
      </c>
      <c r="C8" s="26"/>
      <c r="F8" s="5">
        <v>17544</v>
      </c>
      <c r="G8" s="5">
        <f>L13</f>
        <v>12465.900000000001</v>
      </c>
      <c r="H8" s="11">
        <f>(F8-G8)*0.3</f>
        <v>1523.4299999999996</v>
      </c>
      <c r="J8">
        <v>0</v>
      </c>
      <c r="K8" s="5">
        <v>190000</v>
      </c>
    </row>
    <row r="9" spans="1:12" x14ac:dyDescent="0.25">
      <c r="A9" t="s">
        <v>116</v>
      </c>
      <c r="B9" s="5">
        <f>(B8-K12)*0.3</f>
        <v>-15797.699999999999</v>
      </c>
      <c r="F9" s="5">
        <v>15628</v>
      </c>
      <c r="G9" s="5">
        <f t="shared" ref="G9:G13" si="0">L14</f>
        <v>11219.310000000001</v>
      </c>
      <c r="H9" s="11">
        <f t="shared" ref="H9:H13" si="1">(F9-G9)*0.3</f>
        <v>1322.6069999999995</v>
      </c>
      <c r="J9">
        <v>1</v>
      </c>
      <c r="K9" s="5">
        <f t="shared" ref="K9:K18" si="2">K8-L9</f>
        <v>171000</v>
      </c>
      <c r="L9" s="5">
        <f t="shared" ref="L9:L18" si="3">K8*0.1</f>
        <v>19000</v>
      </c>
    </row>
    <row r="10" spans="1:12" x14ac:dyDescent="0.25">
      <c r="A10" s="1" t="s">
        <v>117</v>
      </c>
      <c r="B10" s="27">
        <f>B7+B8+B9</f>
        <v>291402.3</v>
      </c>
      <c r="F10" s="5">
        <v>14892</v>
      </c>
      <c r="G10" s="5">
        <f t="shared" si="0"/>
        <v>10097.379000000001</v>
      </c>
      <c r="H10" s="11">
        <f t="shared" si="1"/>
        <v>1438.3862999999997</v>
      </c>
      <c r="J10">
        <v>2</v>
      </c>
      <c r="K10" s="5">
        <f t="shared" si="2"/>
        <v>153900</v>
      </c>
      <c r="L10" s="5">
        <f t="shared" si="3"/>
        <v>17100</v>
      </c>
    </row>
    <row r="11" spans="1:12" x14ac:dyDescent="0.25">
      <c r="F11" s="5">
        <v>12774</v>
      </c>
      <c r="G11" s="5">
        <f t="shared" si="0"/>
        <v>9087.6411000000007</v>
      </c>
      <c r="H11" s="11">
        <f t="shared" si="1"/>
        <v>1105.9076699999998</v>
      </c>
      <c r="J11">
        <v>3</v>
      </c>
      <c r="K11" s="5">
        <f t="shared" si="2"/>
        <v>138510</v>
      </c>
      <c r="L11" s="5">
        <f t="shared" si="3"/>
        <v>15390</v>
      </c>
    </row>
    <row r="12" spans="1:12" x14ac:dyDescent="0.25">
      <c r="F12" s="5">
        <v>11667</v>
      </c>
      <c r="G12" s="5">
        <f t="shared" si="0"/>
        <v>8178.8769900000016</v>
      </c>
      <c r="H12" s="11">
        <f t="shared" si="1"/>
        <v>1046.4369029999996</v>
      </c>
      <c r="J12">
        <v>4</v>
      </c>
      <c r="K12" s="5">
        <f t="shared" si="2"/>
        <v>124659</v>
      </c>
      <c r="L12" s="5">
        <f t="shared" si="3"/>
        <v>13851</v>
      </c>
    </row>
    <row r="13" spans="1:12" x14ac:dyDescent="0.25">
      <c r="A13" s="1" t="s">
        <v>104</v>
      </c>
      <c r="F13" s="5">
        <v>10042</v>
      </c>
      <c r="G13" s="5">
        <f t="shared" si="0"/>
        <v>7360.9892910000017</v>
      </c>
      <c r="H13" s="11">
        <f t="shared" si="1"/>
        <v>804.30321269999945</v>
      </c>
      <c r="J13">
        <v>5</v>
      </c>
      <c r="K13" s="5">
        <f t="shared" si="2"/>
        <v>112193.1</v>
      </c>
      <c r="L13" s="5">
        <f t="shared" si="3"/>
        <v>12465.900000000001</v>
      </c>
    </row>
    <row r="14" spans="1:12" x14ac:dyDescent="0.25">
      <c r="G14" s="5"/>
      <c r="J14">
        <v>6</v>
      </c>
      <c r="K14" s="5">
        <f t="shared" si="2"/>
        <v>100973.79000000001</v>
      </c>
      <c r="L14" s="5">
        <f t="shared" si="3"/>
        <v>11219.310000000001</v>
      </c>
    </row>
    <row r="15" spans="1:12" x14ac:dyDescent="0.25">
      <c r="A15" s="5" t="s">
        <v>23</v>
      </c>
      <c r="B15" s="5">
        <v>32000</v>
      </c>
      <c r="G15" s="5"/>
      <c r="J15">
        <v>7</v>
      </c>
      <c r="K15" s="5">
        <f t="shared" si="2"/>
        <v>90876.411000000007</v>
      </c>
      <c r="L15" s="5">
        <f t="shared" si="3"/>
        <v>10097.379000000001</v>
      </c>
    </row>
    <row r="16" spans="1:12" x14ac:dyDescent="0.25">
      <c r="A16" s="5" t="s">
        <v>105</v>
      </c>
      <c r="B16" s="5">
        <v>-4500</v>
      </c>
      <c r="G16" s="5"/>
      <c r="J16">
        <v>8</v>
      </c>
      <c r="K16" s="5">
        <f t="shared" si="2"/>
        <v>81788.769900000014</v>
      </c>
      <c r="L16" s="5">
        <f t="shared" si="3"/>
        <v>9087.6411000000007</v>
      </c>
    </row>
    <row r="17" spans="1:12" x14ac:dyDescent="0.25">
      <c r="B17" s="5">
        <f>B15-B16</f>
        <v>36500</v>
      </c>
      <c r="J17">
        <v>9</v>
      </c>
      <c r="K17" s="5">
        <f t="shared" si="2"/>
        <v>73609.89291000001</v>
      </c>
      <c r="L17" s="5">
        <f t="shared" si="3"/>
        <v>8178.8769900000016</v>
      </c>
    </row>
    <row r="18" spans="1:12" x14ac:dyDescent="0.25">
      <c r="A18" s="7" t="s">
        <v>106</v>
      </c>
      <c r="B18" s="5">
        <f>B17*0.3</f>
        <v>10950</v>
      </c>
      <c r="J18">
        <v>10</v>
      </c>
      <c r="K18" s="5">
        <f t="shared" si="2"/>
        <v>66248.903619000004</v>
      </c>
      <c r="L18" s="5">
        <f t="shared" si="3"/>
        <v>7360.9892910000017</v>
      </c>
    </row>
    <row r="19" spans="1:12" x14ac:dyDescent="0.25">
      <c r="B19" s="5">
        <f>B17-B18</f>
        <v>25550</v>
      </c>
      <c r="L19" s="5"/>
    </row>
    <row r="20" spans="1:12" x14ac:dyDescent="0.25">
      <c r="A20" s="7"/>
    </row>
    <row r="21" spans="1:12" x14ac:dyDescent="0.25">
      <c r="A21" t="s">
        <v>109</v>
      </c>
      <c r="B21" s="5">
        <f t="shared" ref="B21:B26" si="4">$B$19+H8</f>
        <v>27073.43</v>
      </c>
    </row>
    <row r="22" spans="1:12" x14ac:dyDescent="0.25">
      <c r="A22" t="s">
        <v>110</v>
      </c>
      <c r="B22" s="5">
        <f t="shared" si="4"/>
        <v>26872.607</v>
      </c>
    </row>
    <row r="23" spans="1:12" x14ac:dyDescent="0.25">
      <c r="A23" t="s">
        <v>111</v>
      </c>
      <c r="B23" s="5">
        <f t="shared" si="4"/>
        <v>26988.386299999998</v>
      </c>
    </row>
    <row r="24" spans="1:12" x14ac:dyDescent="0.25">
      <c r="A24" t="s">
        <v>112</v>
      </c>
      <c r="B24" s="5">
        <f t="shared" si="4"/>
        <v>26655.907670000001</v>
      </c>
    </row>
    <row r="25" spans="1:12" x14ac:dyDescent="0.25">
      <c r="A25" t="s">
        <v>113</v>
      </c>
      <c r="B25" s="5">
        <f t="shared" si="4"/>
        <v>26596.436902999998</v>
      </c>
    </row>
    <row r="26" spans="1:12" x14ac:dyDescent="0.25">
      <c r="A26" t="s">
        <v>114</v>
      </c>
      <c r="B26" s="5">
        <f t="shared" si="4"/>
        <v>26354.303212700001</v>
      </c>
    </row>
    <row r="28" spans="1:12" x14ac:dyDescent="0.25">
      <c r="A28" s="1" t="s">
        <v>118</v>
      </c>
    </row>
    <row r="30" spans="1:12" x14ac:dyDescent="0.25">
      <c r="A30" t="s">
        <v>115</v>
      </c>
      <c r="B30" s="5">
        <v>240000</v>
      </c>
      <c r="E30" t="s">
        <v>120</v>
      </c>
      <c r="F30" s="11">
        <f>B3-SUM(F8:F13)</f>
        <v>127453</v>
      </c>
    </row>
    <row r="31" spans="1:12" x14ac:dyDescent="0.25">
      <c r="A31" t="s">
        <v>119</v>
      </c>
      <c r="B31" s="5">
        <f>0.3*(B30-F30)</f>
        <v>33764.1</v>
      </c>
    </row>
    <row r="33" spans="1:10" x14ac:dyDescent="0.25">
      <c r="A33" t="s">
        <v>122</v>
      </c>
      <c r="B33" s="5">
        <f>B30-B31</f>
        <v>206235.9</v>
      </c>
    </row>
    <row r="35" spans="1:10" x14ac:dyDescent="0.25">
      <c r="C35">
        <v>1</v>
      </c>
      <c r="D35">
        <v>2</v>
      </c>
      <c r="E35">
        <v>3</v>
      </c>
      <c r="F35">
        <v>4</v>
      </c>
      <c r="G35">
        <v>5</v>
      </c>
      <c r="H35">
        <v>6</v>
      </c>
      <c r="I35">
        <v>6</v>
      </c>
    </row>
    <row r="36" spans="1:10" x14ac:dyDescent="0.25">
      <c r="A36" t="s">
        <v>121</v>
      </c>
      <c r="B36" s="5">
        <f>-B10</f>
        <v>-291402.3</v>
      </c>
      <c r="C36" s="11">
        <f>B21</f>
        <v>27073.43</v>
      </c>
      <c r="D36" s="11">
        <f>B22</f>
        <v>26872.607</v>
      </c>
      <c r="E36" s="11">
        <f>B23</f>
        <v>26988.386299999998</v>
      </c>
      <c r="F36" s="11">
        <f>B24</f>
        <v>26655.907670000001</v>
      </c>
      <c r="G36" s="11">
        <f>B25</f>
        <v>26596.436902999998</v>
      </c>
      <c r="H36" s="11">
        <f>B26</f>
        <v>26354.303212700001</v>
      </c>
      <c r="I36" s="11">
        <f>B33</f>
        <v>206235.9</v>
      </c>
    </row>
    <row r="37" spans="1:10" x14ac:dyDescent="0.25">
      <c r="A37" t="s">
        <v>123</v>
      </c>
      <c r="C37" s="28">
        <f>1/(1+10.5%)^C35</f>
        <v>0.90497737556561086</v>
      </c>
      <c r="D37" s="28">
        <f t="shared" ref="D37:I37" si="5">1/(1+10.5%)^D35</f>
        <v>0.81898405028562071</v>
      </c>
      <c r="E37" s="28">
        <f t="shared" si="5"/>
        <v>0.74116203645757528</v>
      </c>
      <c r="F37" s="28">
        <f t="shared" si="5"/>
        <v>0.67073487462224002</v>
      </c>
      <c r="G37" s="28">
        <f t="shared" si="5"/>
        <v>0.60699988653596382</v>
      </c>
      <c r="H37" s="28">
        <f t="shared" si="5"/>
        <v>0.54932116428594002</v>
      </c>
      <c r="I37" s="28">
        <f t="shared" si="5"/>
        <v>0.54932116428594002</v>
      </c>
      <c r="J37" s="28"/>
    </row>
    <row r="38" spans="1:10" x14ac:dyDescent="0.25">
      <c r="B38" s="5">
        <f>B36</f>
        <v>-291402.3</v>
      </c>
      <c r="C38" s="5">
        <f>C36*C37</f>
        <v>24500.841628959275</v>
      </c>
      <c r="D38" s="5">
        <f t="shared" ref="D38:I38" si="6">D36*D37</f>
        <v>22008.236522593725</v>
      </c>
      <c r="E38" s="5">
        <f t="shared" si="6"/>
        <v>20002.767350811722</v>
      </c>
      <c r="F38" s="5">
        <f t="shared" si="6"/>
        <v>17879.046888979457</v>
      </c>
      <c r="G38" s="5">
        <f t="shared" si="6"/>
        <v>16144.03418238192</v>
      </c>
      <c r="H38" s="5">
        <f t="shared" si="6"/>
        <v>14476.976524745054</v>
      </c>
      <c r="I38" s="5">
        <f t="shared" si="6"/>
        <v>113289.7447055587</v>
      </c>
      <c r="J38" s="28"/>
    </row>
    <row r="39" spans="1:10" x14ac:dyDescent="0.25">
      <c r="C39" s="28"/>
      <c r="D39" s="28"/>
      <c r="E39" s="28"/>
      <c r="F39" s="28"/>
      <c r="G39" s="28"/>
      <c r="H39" s="28"/>
      <c r="I39" s="28"/>
      <c r="J39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E144-BD6C-46F2-A67C-00CDCD82AE37}">
  <dimension ref="A1:J38"/>
  <sheetViews>
    <sheetView topLeftCell="A21" workbookViewId="0">
      <selection activeCell="D12" sqref="D12"/>
    </sheetView>
  </sheetViews>
  <sheetFormatPr defaultRowHeight="15" x14ac:dyDescent="0.25"/>
  <cols>
    <col min="1" max="1" width="46.7109375" bestFit="1" customWidth="1"/>
    <col min="2" max="2" width="12.85546875" bestFit="1" customWidth="1"/>
    <col min="4" max="4" width="12" bestFit="1" customWidth="1"/>
    <col min="6" max="6" width="19.7109375" bestFit="1" customWidth="1"/>
    <col min="7" max="7" width="12.85546875" bestFit="1" customWidth="1"/>
    <col min="9" max="9" width="9.7109375" bestFit="1" customWidth="1"/>
  </cols>
  <sheetData>
    <row r="1" spans="1:8" x14ac:dyDescent="0.25">
      <c r="A1" s="1" t="s">
        <v>169</v>
      </c>
      <c r="B1" s="1" t="s">
        <v>174</v>
      </c>
      <c r="E1">
        <v>1</v>
      </c>
      <c r="F1" t="s">
        <v>196</v>
      </c>
    </row>
    <row r="2" spans="1:8" x14ac:dyDescent="0.25">
      <c r="A2" t="s">
        <v>23</v>
      </c>
      <c r="B2" s="5">
        <v>4052173</v>
      </c>
    </row>
    <row r="3" spans="1:8" x14ac:dyDescent="0.25">
      <c r="A3" t="s">
        <v>170</v>
      </c>
      <c r="B3" s="5"/>
      <c r="F3" t="s">
        <v>11</v>
      </c>
      <c r="G3" s="11">
        <f>B10</f>
        <v>164496</v>
      </c>
    </row>
    <row r="4" spans="1:8" x14ac:dyDescent="0.25">
      <c r="A4" s="7" t="s">
        <v>171</v>
      </c>
      <c r="B4" s="5">
        <v>3735397</v>
      </c>
      <c r="F4" t="s">
        <v>193</v>
      </c>
      <c r="G4" s="11">
        <f>B5</f>
        <v>56293</v>
      </c>
    </row>
    <row r="5" spans="1:8" x14ac:dyDescent="0.25">
      <c r="A5" s="7" t="s">
        <v>172</v>
      </c>
      <c r="B5" s="5">
        <v>56293</v>
      </c>
      <c r="F5" t="s">
        <v>14</v>
      </c>
      <c r="G5" s="11">
        <f>(B6*0.7)</f>
        <v>17841.599999999999</v>
      </c>
    </row>
    <row r="6" spans="1:8" x14ac:dyDescent="0.25">
      <c r="A6" s="7" t="s">
        <v>173</v>
      </c>
      <c r="B6" s="5">
        <v>25488</v>
      </c>
      <c r="F6" t="s">
        <v>194</v>
      </c>
      <c r="G6" s="11">
        <f>B21</f>
        <v>143579</v>
      </c>
    </row>
    <row r="7" spans="1:8" x14ac:dyDescent="0.25">
      <c r="B7" s="5">
        <v>3817178</v>
      </c>
      <c r="F7" t="s">
        <v>195</v>
      </c>
      <c r="G7" s="11">
        <f>B17</f>
        <v>7325</v>
      </c>
    </row>
    <row r="8" spans="1:8" x14ac:dyDescent="0.25">
      <c r="A8" t="s">
        <v>175</v>
      </c>
      <c r="B8" s="5">
        <f>B2-B7</f>
        <v>234995</v>
      </c>
      <c r="F8" t="s">
        <v>10</v>
      </c>
      <c r="G8" s="11">
        <f>G3+G4+G5-G6-G7</f>
        <v>87726.6</v>
      </c>
    </row>
    <row r="9" spans="1:8" x14ac:dyDescent="0.25">
      <c r="A9" t="s">
        <v>176</v>
      </c>
      <c r="B9" s="5">
        <v>70499</v>
      </c>
    </row>
    <row r="10" spans="1:8" x14ac:dyDescent="0.25">
      <c r="A10" t="s">
        <v>11</v>
      </c>
      <c r="B10" s="5">
        <v>164496</v>
      </c>
      <c r="E10">
        <v>2</v>
      </c>
      <c r="F10" t="s">
        <v>192</v>
      </c>
    </row>
    <row r="11" spans="1:8" x14ac:dyDescent="0.25">
      <c r="A11" t="s">
        <v>73</v>
      </c>
      <c r="B11" s="28">
        <f>B10/228500</f>
        <v>0.71989496717724288</v>
      </c>
      <c r="F11" t="s">
        <v>10</v>
      </c>
      <c r="G11" s="11">
        <f>G8</f>
        <v>87726.6</v>
      </c>
    </row>
    <row r="12" spans="1:8" x14ac:dyDescent="0.25">
      <c r="B12" s="5"/>
      <c r="F12" t="s">
        <v>14</v>
      </c>
      <c r="G12" s="11">
        <f>G5</f>
        <v>17841.599999999999</v>
      </c>
    </row>
    <row r="13" spans="1:8" x14ac:dyDescent="0.25">
      <c r="B13" s="5"/>
      <c r="F13" t="s">
        <v>197</v>
      </c>
      <c r="G13" s="11">
        <f>B19</f>
        <v>27409</v>
      </c>
    </row>
    <row r="14" spans="1:8" x14ac:dyDescent="0.25">
      <c r="A14" s="1" t="s">
        <v>181</v>
      </c>
      <c r="B14" s="5"/>
      <c r="F14" t="s">
        <v>18</v>
      </c>
      <c r="G14" s="11">
        <f>G11-G12+G13</f>
        <v>97294</v>
      </c>
      <c r="H14" s="11"/>
    </row>
    <row r="15" spans="1:8" x14ac:dyDescent="0.25">
      <c r="A15" t="s">
        <v>182</v>
      </c>
      <c r="B15" s="9">
        <v>4.4999999999999998E-2</v>
      </c>
    </row>
    <row r="16" spans="1:8" x14ac:dyDescent="0.25">
      <c r="A16" t="s">
        <v>9</v>
      </c>
      <c r="B16" s="9">
        <v>7.4999999999999997E-2</v>
      </c>
      <c r="E16">
        <v>3</v>
      </c>
      <c r="F16" t="s">
        <v>199</v>
      </c>
    </row>
    <row r="17" spans="1:9" x14ac:dyDescent="0.25">
      <c r="A17" t="s">
        <v>183</v>
      </c>
      <c r="B17" s="5">
        <v>7325</v>
      </c>
      <c r="F17" t="s">
        <v>23</v>
      </c>
      <c r="G17" s="5">
        <f>B2*1.06</f>
        <v>4295303.38</v>
      </c>
    </row>
    <row r="18" spans="1:9" x14ac:dyDescent="0.25">
      <c r="A18" t="s">
        <v>184</v>
      </c>
      <c r="B18" s="5">
        <v>82248</v>
      </c>
      <c r="F18" t="s">
        <v>24</v>
      </c>
      <c r="G18" s="5">
        <f>G17*0.064</f>
        <v>274899.41632000002</v>
      </c>
    </row>
    <row r="19" spans="1:9" x14ac:dyDescent="0.25">
      <c r="A19" t="s">
        <v>198</v>
      </c>
      <c r="B19" s="5">
        <v>27409</v>
      </c>
      <c r="F19" t="s">
        <v>200</v>
      </c>
      <c r="G19" s="5">
        <f>G18*0.7</f>
        <v>192429.59142400001</v>
      </c>
    </row>
    <row r="20" spans="1:9" x14ac:dyDescent="0.25">
      <c r="A20" t="s">
        <v>185</v>
      </c>
      <c r="B20" s="3">
        <v>1.1000000000000001</v>
      </c>
      <c r="F20" t="s">
        <v>193</v>
      </c>
      <c r="G20" s="5">
        <v>60000</v>
      </c>
    </row>
    <row r="21" spans="1:9" x14ac:dyDescent="0.25">
      <c r="A21" t="s">
        <v>186</v>
      </c>
      <c r="B21" s="5">
        <v>143579</v>
      </c>
      <c r="F21" t="str">
        <f>F6</f>
        <v>Fixed capital</v>
      </c>
      <c r="G21" s="5">
        <v>36470</v>
      </c>
    </row>
    <row r="22" spans="1:9" x14ac:dyDescent="0.25">
      <c r="A22" t="s">
        <v>187</v>
      </c>
      <c r="B22" s="9">
        <v>0.05</v>
      </c>
      <c r="F22" t="str">
        <f>F7</f>
        <v>WC</v>
      </c>
      <c r="G22" s="5">
        <v>24313</v>
      </c>
    </row>
    <row r="23" spans="1:9" x14ac:dyDescent="0.25">
      <c r="A23" t="s">
        <v>188</v>
      </c>
      <c r="B23" s="5">
        <v>1019869</v>
      </c>
      <c r="F23" t="s">
        <v>10</v>
      </c>
      <c r="G23" s="5">
        <f>G19+G20-G21-G22</f>
        <v>191646.59142400001</v>
      </c>
    </row>
    <row r="24" spans="1:9" x14ac:dyDescent="0.25">
      <c r="A24" t="s">
        <v>59</v>
      </c>
      <c r="B24" s="8">
        <v>0.3</v>
      </c>
      <c r="G24" s="5"/>
    </row>
    <row r="25" spans="1:9" x14ac:dyDescent="0.25">
      <c r="A25" t="s">
        <v>189</v>
      </c>
      <c r="B25" s="5">
        <v>228500</v>
      </c>
      <c r="E25">
        <v>4</v>
      </c>
      <c r="F25" t="s">
        <v>201</v>
      </c>
      <c r="G25" s="5"/>
    </row>
    <row r="26" spans="1:9" x14ac:dyDescent="0.25">
      <c r="A26" t="s">
        <v>190</v>
      </c>
      <c r="B26" s="33" t="s">
        <v>191</v>
      </c>
      <c r="F26" t="str">
        <f>A15</f>
        <v>Risk-free rate</v>
      </c>
      <c r="G26" s="6">
        <f>B15</f>
        <v>4.4999999999999998E-2</v>
      </c>
    </row>
    <row r="27" spans="1:9" x14ac:dyDescent="0.25">
      <c r="B27" s="5"/>
      <c r="F27" t="s">
        <v>185</v>
      </c>
      <c r="G27" s="15">
        <f>B20</f>
        <v>1.1000000000000001</v>
      </c>
    </row>
    <row r="28" spans="1:9" x14ac:dyDescent="0.25">
      <c r="B28" s="5"/>
      <c r="F28" t="str">
        <f>A22</f>
        <v>Market risk premium</v>
      </c>
      <c r="G28" s="6">
        <f>B22</f>
        <v>0.05</v>
      </c>
    </row>
    <row r="29" spans="1:9" x14ac:dyDescent="0.25">
      <c r="B29" s="5"/>
      <c r="G29" s="9">
        <f>G26+(G27*G28)</f>
        <v>0.1</v>
      </c>
    </row>
    <row r="30" spans="1:9" x14ac:dyDescent="0.25">
      <c r="B30" s="5"/>
    </row>
    <row r="31" spans="1:9" x14ac:dyDescent="0.25">
      <c r="B31" s="5"/>
      <c r="E31">
        <v>5</v>
      </c>
      <c r="F31">
        <v>2023</v>
      </c>
      <c r="G31">
        <v>2024</v>
      </c>
      <c r="H31">
        <v>2025</v>
      </c>
      <c r="I31" t="s">
        <v>31</v>
      </c>
    </row>
    <row r="32" spans="1:9" x14ac:dyDescent="0.25">
      <c r="B32" s="5"/>
      <c r="E32" t="s">
        <v>18</v>
      </c>
      <c r="F32" s="3">
        <v>0.19</v>
      </c>
      <c r="G32" s="3">
        <f>F32+0.02</f>
        <v>0.21</v>
      </c>
      <c r="H32" s="3">
        <f>G32+0.02</f>
        <v>0.22999999999999998</v>
      </c>
      <c r="I32" s="3">
        <f>(H32*1.05)/(10%-5%)</f>
        <v>4.8299999999999992</v>
      </c>
    </row>
    <row r="33" spans="2:10" x14ac:dyDescent="0.25">
      <c r="B33" s="5"/>
      <c r="E33" t="s">
        <v>28</v>
      </c>
      <c r="F33" s="34">
        <v>0.1</v>
      </c>
      <c r="G33" s="34">
        <v>0.1</v>
      </c>
      <c r="H33" s="34">
        <v>0.1</v>
      </c>
      <c r="I33" s="34">
        <v>0.1</v>
      </c>
    </row>
    <row r="34" spans="2:10" x14ac:dyDescent="0.25">
      <c r="B34" s="5"/>
      <c r="E34" t="s">
        <v>202</v>
      </c>
      <c r="G34" s="3">
        <f>1/(1+F33)^1</f>
        <v>0.90909090909090906</v>
      </c>
      <c r="H34" s="3">
        <f>1/(1+G33)^2</f>
        <v>0.82644628099173545</v>
      </c>
      <c r="I34" s="3">
        <f>H34</f>
        <v>0.82644628099173545</v>
      </c>
    </row>
    <row r="35" spans="2:10" x14ac:dyDescent="0.25">
      <c r="B35" s="5"/>
      <c r="E35" t="s">
        <v>180</v>
      </c>
      <c r="G35" s="3">
        <f>G34*G32</f>
        <v>0.19090909090909089</v>
      </c>
      <c r="H35" s="3">
        <f t="shared" ref="H35:I35" si="0">H34*H32</f>
        <v>0.19008264462809915</v>
      </c>
      <c r="I35" s="3">
        <f t="shared" si="0"/>
        <v>3.9917355371900816</v>
      </c>
      <c r="J35" s="35">
        <f>SUM(G35:I35)</f>
        <v>4.3727272727272712</v>
      </c>
    </row>
    <row r="36" spans="2:10" x14ac:dyDescent="0.25">
      <c r="B36" s="5"/>
    </row>
    <row r="37" spans="2:10" x14ac:dyDescent="0.25">
      <c r="B37" s="5"/>
    </row>
    <row r="38" spans="2:10" x14ac:dyDescent="0.25">
      <c r="B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Q1. A</vt:lpstr>
      <vt:lpstr>Q1. B</vt:lpstr>
      <vt:lpstr>Q1. C</vt:lpstr>
      <vt:lpstr>Q2. A</vt:lpstr>
      <vt:lpstr>Q2. B</vt:lpstr>
      <vt:lpstr>Q2. C</vt:lpstr>
      <vt:lpstr>Q3. A</vt:lpstr>
      <vt:lpstr>Q3. B</vt:lpstr>
      <vt:lpstr>Q4. B</vt:lpstr>
      <vt:lpstr>Q4.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Akshata</dc:creator>
  <cp:lastModifiedBy>Akshata Telisara</cp:lastModifiedBy>
  <dcterms:created xsi:type="dcterms:W3CDTF">2015-06-05T18:17:20Z</dcterms:created>
  <dcterms:modified xsi:type="dcterms:W3CDTF">2024-03-14T15:38:24Z</dcterms:modified>
</cp:coreProperties>
</file>