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PE865CG\Downloads\Set 2\"/>
    </mc:Choice>
  </mc:AlternateContent>
  <xr:revisionPtr revIDLastSave="0" documentId="13_ncr:1_{B7D360B0-B858-4BA6-9849-97A2F3813690}" xr6:coauthVersionLast="47" xr6:coauthVersionMax="47" xr10:uidLastSave="{00000000-0000-0000-0000-000000000000}"/>
  <bookViews>
    <workbookView xWindow="-110" yWindow="-110" windowWidth="19420" windowHeight="10300" firstSheet="7" activeTab="13" xr2:uid="{00000000-000D-0000-FFFF-FFFF00000000}"/>
  </bookViews>
  <sheets>
    <sheet name="Q1A" sheetId="6" r:id="rId1"/>
    <sheet name="Q1B" sheetId="11" r:id="rId2"/>
    <sheet name="Q1C" sheetId="10" r:id="rId3"/>
    <sheet name="Q2A" sheetId="13" r:id="rId4"/>
    <sheet name="Q2B" sheetId="15" r:id="rId5"/>
    <sheet name="Q2C" sheetId="17" r:id="rId6"/>
    <sheet name="Q3Instructions" sheetId="19" r:id="rId7"/>
    <sheet name="Q3Working" sheetId="20" r:id="rId8"/>
    <sheet name="Q3P&amp;L" sheetId="21" r:id="rId9"/>
    <sheet name="Q3Bal Sheet" sheetId="22" r:id="rId10"/>
    <sheet name="Q3Cash Flow" sheetId="23" r:id="rId11"/>
    <sheet name="Q4A" sheetId="18" r:id="rId12"/>
    <sheet name="Q4B" sheetId="7" r:id="rId13"/>
    <sheet name="Q4C" sheetId="16"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3" i="6" l="1"/>
  <c r="C53" i="6"/>
  <c r="E53" i="6" s="1"/>
  <c r="D52" i="6"/>
  <c r="C52" i="6"/>
  <c r="D51" i="6"/>
  <c r="C51" i="6"/>
  <c r="D50" i="6"/>
  <c r="C50" i="6"/>
  <c r="D49" i="6"/>
  <c r="C49" i="6"/>
  <c r="D48" i="6"/>
  <c r="C48" i="6"/>
  <c r="D47" i="6"/>
  <c r="C47" i="6"/>
  <c r="D46" i="6"/>
  <c r="D54" i="6" s="1"/>
  <c r="C46" i="6"/>
  <c r="D45" i="6"/>
  <c r="C45" i="6"/>
  <c r="D44" i="6"/>
  <c r="C44" i="6"/>
  <c r="D43" i="6"/>
  <c r="C43" i="6"/>
  <c r="D42" i="6"/>
  <c r="C42" i="6"/>
  <c r="D34" i="6"/>
  <c r="E33" i="6"/>
  <c r="F33" i="6" s="1"/>
  <c r="E32" i="6"/>
  <c r="F32" i="6" s="1"/>
  <c r="E31" i="6"/>
  <c r="F31" i="6" s="1"/>
  <c r="E30" i="6"/>
  <c r="F30" i="6" s="1"/>
  <c r="E29" i="6"/>
  <c r="F29" i="6" s="1"/>
  <c r="E28" i="6"/>
  <c r="F28" i="6" s="1"/>
  <c r="E27" i="6"/>
  <c r="F27" i="6" s="1"/>
  <c r="E26" i="6"/>
  <c r="F26" i="6" s="1"/>
  <c r="E25" i="6"/>
  <c r="F25" i="6" s="1"/>
  <c r="E24" i="6"/>
  <c r="E23" i="6"/>
  <c r="F23" i="6" s="1"/>
  <c r="E22" i="6"/>
  <c r="F22" i="6" s="1"/>
  <c r="F24" i="6"/>
  <c r="E62" i="11"/>
  <c r="E42" i="11"/>
  <c r="D53" i="11"/>
  <c r="E43" i="11"/>
  <c r="E41" i="11"/>
  <c r="D41" i="11"/>
  <c r="D42" i="11"/>
  <c r="D43" i="11"/>
  <c r="E14" i="11"/>
  <c r="F14" i="11" s="1"/>
  <c r="G14" i="11" s="1"/>
  <c r="H14" i="11" s="1"/>
  <c r="I14" i="11" s="1"/>
  <c r="J14" i="11" s="1"/>
  <c r="D11" i="11"/>
  <c r="D13" i="11" s="1"/>
  <c r="D16" i="11" s="1"/>
  <c r="D10" i="11"/>
  <c r="E9" i="11"/>
  <c r="E11" i="11" s="1"/>
  <c r="E13" i="11" s="1"/>
  <c r="E16" i="11" s="1"/>
  <c r="D9" i="11"/>
  <c r="E7" i="11"/>
  <c r="E10" i="11" s="1"/>
  <c r="D29" i="10"/>
  <c r="D13" i="13"/>
  <c r="D14" i="13" s="1"/>
  <c r="D15" i="13" s="1"/>
  <c r="H33" i="15"/>
  <c r="G33" i="15"/>
  <c r="F33" i="15"/>
  <c r="E33" i="15"/>
  <c r="D33" i="15"/>
  <c r="E19" i="15"/>
  <c r="F19" i="15" s="1"/>
  <c r="G19" i="15" s="1"/>
  <c r="H19" i="15" s="1"/>
  <c r="H13" i="15"/>
  <c r="H16" i="15" s="1"/>
  <c r="G13" i="15"/>
  <c r="G16" i="15" s="1"/>
  <c r="F13" i="15"/>
  <c r="F16" i="15" s="1"/>
  <c r="E13" i="15"/>
  <c r="E16" i="15" s="1"/>
  <c r="H12" i="15"/>
  <c r="G12" i="15"/>
  <c r="F12" i="15"/>
  <c r="E12" i="15"/>
  <c r="D12" i="15"/>
  <c r="H11" i="15"/>
  <c r="G11" i="15"/>
  <c r="F11" i="15"/>
  <c r="E11" i="15"/>
  <c r="D11" i="15"/>
  <c r="D13" i="15" s="1"/>
  <c r="D16" i="15" s="1"/>
  <c r="H21" i="17"/>
  <c r="H20" i="17"/>
  <c r="H19" i="17"/>
  <c r="D43" i="23"/>
  <c r="D41" i="23"/>
  <c r="D32" i="23"/>
  <c r="E31" i="23"/>
  <c r="D31" i="23"/>
  <c r="D30" i="23"/>
  <c r="F24" i="23"/>
  <c r="E22" i="23"/>
  <c r="D22" i="23"/>
  <c r="I34" i="22"/>
  <c r="I24" i="23" s="1"/>
  <c r="H34" i="22"/>
  <c r="G34" i="22"/>
  <c r="G24" i="23" s="1"/>
  <c r="F34" i="22"/>
  <c r="E34" i="22"/>
  <c r="D34" i="22"/>
  <c r="D24" i="23" s="1"/>
  <c r="I15" i="22"/>
  <c r="H15" i="22"/>
  <c r="I22" i="23" s="1"/>
  <c r="G15" i="22"/>
  <c r="H22" i="23" s="1"/>
  <c r="F15" i="22"/>
  <c r="G22" i="23" s="1"/>
  <c r="E15" i="22"/>
  <c r="D15" i="22"/>
  <c r="I205" i="20"/>
  <c r="H205" i="20"/>
  <c r="F205" i="20"/>
  <c r="E205" i="20"/>
  <c r="D205" i="20"/>
  <c r="I204" i="20"/>
  <c r="H204" i="20"/>
  <c r="G204" i="20"/>
  <c r="F204" i="20"/>
  <c r="E204" i="20"/>
  <c r="D204" i="20"/>
  <c r="I201" i="20"/>
  <c r="I31" i="23" s="1"/>
  <c r="H201" i="20"/>
  <c r="H31" i="23" s="1"/>
  <c r="G201" i="20"/>
  <c r="G31" i="23" s="1"/>
  <c r="F201" i="20"/>
  <c r="F31" i="23" s="1"/>
  <c r="E201" i="20"/>
  <c r="D201" i="20"/>
  <c r="D200" i="20"/>
  <c r="I199" i="20"/>
  <c r="I30" i="23" s="1"/>
  <c r="G199" i="20"/>
  <c r="G30" i="23" s="1"/>
  <c r="D198" i="20"/>
  <c r="D42" i="23" s="1"/>
  <c r="I197" i="20"/>
  <c r="I41" i="23" s="1"/>
  <c r="H197" i="20"/>
  <c r="H41" i="23" s="1"/>
  <c r="G197" i="20"/>
  <c r="G41" i="23" s="1"/>
  <c r="F197" i="20"/>
  <c r="F41" i="23" s="1"/>
  <c r="E197" i="20"/>
  <c r="E41" i="23" s="1"/>
  <c r="D197" i="20"/>
  <c r="D196" i="20"/>
  <c r="G183" i="20"/>
  <c r="G205" i="20" s="1"/>
  <c r="H164" i="20"/>
  <c r="D164" i="20"/>
  <c r="I163" i="20"/>
  <c r="I200" i="20" s="1"/>
  <c r="I32" i="23" s="1"/>
  <c r="H163" i="20"/>
  <c r="H200" i="20" s="1"/>
  <c r="G163" i="20"/>
  <c r="G200" i="20" s="1"/>
  <c r="G32" i="23" s="1"/>
  <c r="F163" i="20"/>
  <c r="F200" i="20" s="1"/>
  <c r="F32" i="23" s="1"/>
  <c r="E163" i="20"/>
  <c r="E200" i="20" s="1"/>
  <c r="E32" i="23" s="1"/>
  <c r="D163" i="20"/>
  <c r="I160" i="20"/>
  <c r="I164" i="20" s="1"/>
  <c r="H160" i="20"/>
  <c r="G160" i="20"/>
  <c r="G164" i="20" s="1"/>
  <c r="F160" i="20"/>
  <c r="F164" i="20" s="1"/>
  <c r="E160" i="20"/>
  <c r="E164" i="20" s="1"/>
  <c r="E165" i="20" s="1"/>
  <c r="E49" i="20" s="1"/>
  <c r="E17" i="23" s="1"/>
  <c r="E34" i="23" s="1"/>
  <c r="D160" i="20"/>
  <c r="I159" i="20"/>
  <c r="H159" i="20"/>
  <c r="H199" i="20" s="1"/>
  <c r="H30" i="23" s="1"/>
  <c r="G159" i="20"/>
  <c r="D159" i="20"/>
  <c r="D199" i="20" s="1"/>
  <c r="F155" i="20"/>
  <c r="F159" i="20" s="1"/>
  <c r="F199" i="20" s="1"/>
  <c r="F30" i="23" s="1"/>
  <c r="E155" i="20"/>
  <c r="E159" i="20" s="1"/>
  <c r="E199" i="20" s="1"/>
  <c r="E30" i="23" s="1"/>
  <c r="D154" i="20"/>
  <c r="E144" i="20"/>
  <c r="F144" i="20" s="1"/>
  <c r="G144" i="20" s="1"/>
  <c r="H144" i="20" s="1"/>
  <c r="I144" i="20" s="1"/>
  <c r="D141" i="20"/>
  <c r="D143" i="20" s="1"/>
  <c r="D23" i="22" s="1"/>
  <c r="I140" i="20"/>
  <c r="H140" i="20"/>
  <c r="G140" i="20"/>
  <c r="F140" i="20"/>
  <c r="E140" i="20"/>
  <c r="D139" i="20"/>
  <c r="F133" i="20"/>
  <c r="G133" i="20" s="1"/>
  <c r="H133" i="20" s="1"/>
  <c r="I133" i="20" s="1"/>
  <c r="E133" i="20"/>
  <c r="D125" i="20"/>
  <c r="D126" i="20" s="1"/>
  <c r="D119" i="20"/>
  <c r="D128" i="20" s="1"/>
  <c r="D21" i="20" s="1"/>
  <c r="D118" i="20"/>
  <c r="E115" i="20" s="1"/>
  <c r="E117" i="20"/>
  <c r="E198" i="20" s="1"/>
  <c r="E42" i="23" s="1"/>
  <c r="D107" i="20"/>
  <c r="D108" i="20" s="1"/>
  <c r="D99" i="20"/>
  <c r="D98" i="20"/>
  <c r="D85" i="20"/>
  <c r="D87" i="20" s="1"/>
  <c r="E80" i="20"/>
  <c r="D80" i="20"/>
  <c r="D79" i="20"/>
  <c r="E78" i="20"/>
  <c r="D78" i="20"/>
  <c r="D77" i="20"/>
  <c r="E71" i="20"/>
  <c r="D71" i="20"/>
  <c r="D70" i="20"/>
  <c r="D72" i="20" s="1"/>
  <c r="E69" i="20"/>
  <c r="D69" i="20"/>
  <c r="D68" i="20"/>
  <c r="E67" i="20"/>
  <c r="E70" i="20" s="1"/>
  <c r="D67" i="20"/>
  <c r="E62" i="20"/>
  <c r="D62" i="20"/>
  <c r="F61" i="20"/>
  <c r="G61" i="20" s="1"/>
  <c r="E61" i="20"/>
  <c r="E60" i="20"/>
  <c r="F60" i="20" s="1"/>
  <c r="C59" i="20"/>
  <c r="C75" i="20" s="1"/>
  <c r="C86" i="20" s="1"/>
  <c r="E57" i="20"/>
  <c r="D57" i="20"/>
  <c r="E56" i="20"/>
  <c r="F56" i="20" s="1"/>
  <c r="G56" i="20" s="1"/>
  <c r="G71" i="20" s="1"/>
  <c r="F55" i="20"/>
  <c r="E55" i="20"/>
  <c r="E68" i="20" s="1"/>
  <c r="C54" i="20"/>
  <c r="C66" i="20" s="1"/>
  <c r="C85" i="20" s="1"/>
  <c r="F46" i="20"/>
  <c r="G46" i="20" s="1"/>
  <c r="H46" i="20" s="1"/>
  <c r="I46" i="20" s="1"/>
  <c r="E46" i="20"/>
  <c r="E40" i="20"/>
  <c r="D40" i="20"/>
  <c r="D86" i="20" s="1"/>
  <c r="F39" i="20"/>
  <c r="G39" i="20" s="1"/>
  <c r="H39" i="20" s="1"/>
  <c r="I39" i="20" s="1"/>
  <c r="E39" i="20"/>
  <c r="E38" i="20"/>
  <c r="F38" i="20" s="1"/>
  <c r="F35" i="20"/>
  <c r="F5" i="20" s="1"/>
  <c r="D35" i="20"/>
  <c r="E34" i="20"/>
  <c r="F34" i="20" s="1"/>
  <c r="G34" i="20" s="1"/>
  <c r="H34" i="20" s="1"/>
  <c r="I34" i="20" s="1"/>
  <c r="E33" i="20"/>
  <c r="F33" i="20" s="1"/>
  <c r="D20" i="20"/>
  <c r="D13" i="21" s="1"/>
  <c r="D12" i="23" s="1"/>
  <c r="E12" i="20"/>
  <c r="E170" i="20" s="1"/>
  <c r="D12" i="20"/>
  <c r="D170" i="20" s="1"/>
  <c r="D7" i="20"/>
  <c r="D6" i="21" s="1"/>
  <c r="D6" i="20"/>
  <c r="D5" i="20"/>
  <c r="I55" i="19"/>
  <c r="G55" i="19"/>
  <c r="F55" i="19"/>
  <c r="E55" i="19"/>
  <c r="D55" i="19"/>
  <c r="I54" i="19"/>
  <c r="H54" i="19"/>
  <c r="G54" i="19"/>
  <c r="E54" i="19"/>
  <c r="D54" i="19"/>
  <c r="I48" i="19"/>
  <c r="H48" i="19"/>
  <c r="G48" i="19"/>
  <c r="F48" i="19"/>
  <c r="E48" i="19"/>
  <c r="D48" i="19"/>
  <c r="I47" i="19"/>
  <c r="H47" i="19"/>
  <c r="G47" i="19"/>
  <c r="F47" i="19"/>
  <c r="E47" i="19"/>
  <c r="D47" i="19"/>
  <c r="D79" i="18"/>
  <c r="D78" i="18"/>
  <c r="D77" i="18"/>
  <c r="D76" i="18"/>
  <c r="D75" i="18"/>
  <c r="D74" i="18"/>
  <c r="D73" i="18"/>
  <c r="D72" i="18"/>
  <c r="D71" i="18"/>
  <c r="C71" i="18"/>
  <c r="C72" i="18" s="1"/>
  <c r="C73" i="18" s="1"/>
  <c r="C74" i="18" s="1"/>
  <c r="C75" i="18" s="1"/>
  <c r="C76" i="18" s="1"/>
  <c r="C77" i="18" s="1"/>
  <c r="C78" i="18" s="1"/>
  <c r="C79" i="18" s="1"/>
  <c r="D70" i="18"/>
  <c r="H46" i="18"/>
  <c r="H36" i="18"/>
  <c r="G36" i="18"/>
  <c r="J35" i="18"/>
  <c r="K35" i="18" s="1"/>
  <c r="L35" i="18" s="1"/>
  <c r="M35" i="18" s="1"/>
  <c r="N35" i="18" s="1"/>
  <c r="O35" i="18" s="1"/>
  <c r="P35" i="18" s="1"/>
  <c r="Q35" i="18" s="1"/>
  <c r="I35" i="18"/>
  <c r="R35" i="18" s="1"/>
  <c r="H34" i="18"/>
  <c r="G34" i="18"/>
  <c r="H33" i="18"/>
  <c r="I33" i="18" s="1"/>
  <c r="G29" i="18"/>
  <c r="J28" i="18"/>
  <c r="K28" i="18" s="1"/>
  <c r="I28" i="18"/>
  <c r="G27" i="18"/>
  <c r="J26" i="18"/>
  <c r="J27" i="18" s="1"/>
  <c r="J29" i="18" s="1"/>
  <c r="I26" i="18"/>
  <c r="I27" i="18" s="1"/>
  <c r="I29" i="18" s="1"/>
  <c r="H26" i="18"/>
  <c r="H27" i="18" s="1"/>
  <c r="H29" i="18" s="1"/>
  <c r="L20" i="18"/>
  <c r="L19" i="18"/>
  <c r="K19" i="18"/>
  <c r="F53" i="6" l="1"/>
  <c r="F34" i="6"/>
  <c r="E34" i="6"/>
  <c r="E17" i="11"/>
  <c r="E18" i="11"/>
  <c r="D17" i="11"/>
  <c r="D18" i="11" s="1"/>
  <c r="F7" i="11"/>
  <c r="D17" i="15"/>
  <c r="D18" i="15" s="1"/>
  <c r="D20" i="15" s="1"/>
  <c r="H17" i="15"/>
  <c r="H18" i="15" s="1"/>
  <c r="H20" i="15" s="1"/>
  <c r="E17" i="15"/>
  <c r="E18" i="15"/>
  <c r="E20" i="15" s="1"/>
  <c r="G17" i="15"/>
  <c r="G18" i="15" s="1"/>
  <c r="G20" i="15" s="1"/>
  <c r="F17" i="15"/>
  <c r="F18" i="15"/>
  <c r="F20" i="15" s="1"/>
  <c r="H61" i="20"/>
  <c r="G80" i="20"/>
  <c r="D14" i="21"/>
  <c r="D15" i="23" s="1"/>
  <c r="D39" i="23" s="1"/>
  <c r="D210" i="20"/>
  <c r="E86" i="20"/>
  <c r="E6" i="20"/>
  <c r="F69" i="20"/>
  <c r="G33" i="20"/>
  <c r="F68" i="20"/>
  <c r="G55" i="20"/>
  <c r="F57" i="20"/>
  <c r="D171" i="20"/>
  <c r="D203" i="20" s="1"/>
  <c r="D172" i="20"/>
  <c r="D182" i="20" s="1"/>
  <c r="D184" i="20" s="1"/>
  <c r="F85" i="20"/>
  <c r="E72" i="20"/>
  <c r="F67" i="20"/>
  <c r="E76" i="20"/>
  <c r="E79" i="20" s="1"/>
  <c r="D81" i="20"/>
  <c r="D13" i="20" s="1"/>
  <c r="F40" i="20"/>
  <c r="F78" i="20"/>
  <c r="G38" i="20"/>
  <c r="F80" i="20"/>
  <c r="F165" i="20"/>
  <c r="F49" i="20" s="1"/>
  <c r="F17" i="23" s="1"/>
  <c r="F34" i="23" s="1"/>
  <c r="E24" i="23"/>
  <c r="D109" i="20"/>
  <c r="E104" i="20" s="1"/>
  <c r="E107" i="20" s="1"/>
  <c r="D145" i="20"/>
  <c r="D26" i="20" s="1"/>
  <c r="F54" i="19"/>
  <c r="H56" i="20"/>
  <c r="F71" i="20"/>
  <c r="D161" i="20"/>
  <c r="G165" i="20"/>
  <c r="G49" i="20" s="1"/>
  <c r="G17" i="23" s="1"/>
  <c r="G34" i="23" s="1"/>
  <c r="D28" i="22"/>
  <c r="D29" i="22" s="1"/>
  <c r="E35" i="20"/>
  <c r="D100" i="20"/>
  <c r="E122" i="20"/>
  <c r="E125" i="20" s="1"/>
  <c r="E139" i="20"/>
  <c r="E141" i="20" s="1"/>
  <c r="H165" i="20"/>
  <c r="H49" i="20" s="1"/>
  <c r="H17" i="23" s="1"/>
  <c r="H34" i="23" s="1"/>
  <c r="H32" i="23" s="1"/>
  <c r="D165" i="20"/>
  <c r="D49" i="20" s="1"/>
  <c r="D17" i="23" s="1"/>
  <c r="D34" i="23" s="1"/>
  <c r="I165" i="20"/>
  <c r="I49" i="20" s="1"/>
  <c r="I17" i="23" s="1"/>
  <c r="I34" i="23" s="1"/>
  <c r="H55" i="19"/>
  <c r="H24" i="23"/>
  <c r="G60" i="20"/>
  <c r="F77" i="20"/>
  <c r="F62" i="20"/>
  <c r="D176" i="20"/>
  <c r="D90" i="20"/>
  <c r="D17" i="20" s="1"/>
  <c r="E151" i="20"/>
  <c r="E154" i="20" s="1"/>
  <c r="D45" i="20"/>
  <c r="D47" i="20" s="1"/>
  <c r="F117" i="20"/>
  <c r="E171" i="20"/>
  <c r="E203" i="20" s="1"/>
  <c r="F22" i="23"/>
  <c r="E118" i="20"/>
  <c r="E77" i="20"/>
  <c r="J33" i="18"/>
  <c r="I34" i="18"/>
  <c r="I36" i="18" s="1"/>
  <c r="L28" i="18"/>
  <c r="M28" i="18" s="1"/>
  <c r="N28" i="18" s="1"/>
  <c r="O28" i="18" s="1"/>
  <c r="P28" i="18" s="1"/>
  <c r="Q28" i="18" s="1"/>
  <c r="R28" i="18"/>
  <c r="K26" i="18"/>
  <c r="F9" i="11" l="1"/>
  <c r="F10" i="11"/>
  <c r="G7" i="11"/>
  <c r="D12" i="22"/>
  <c r="E11" i="20"/>
  <c r="D14" i="20"/>
  <c r="D9" i="21" s="1"/>
  <c r="D209" i="20"/>
  <c r="D11" i="21"/>
  <c r="D206" i="20"/>
  <c r="D50" i="20"/>
  <c r="D8" i="20" s="1"/>
  <c r="D16" i="23"/>
  <c r="D33" i="23" s="1"/>
  <c r="D36" i="23" s="1"/>
  <c r="E81" i="20"/>
  <c r="E13" i="20" s="1"/>
  <c r="F76" i="20"/>
  <c r="F79" i="20" s="1"/>
  <c r="E45" i="20"/>
  <c r="E47" i="20" s="1"/>
  <c r="F151" i="20"/>
  <c r="F154" i="20" s="1"/>
  <c r="D207" i="20"/>
  <c r="D18" i="21"/>
  <c r="D40" i="23" s="1"/>
  <c r="E172" i="20"/>
  <c r="E182" i="20" s="1"/>
  <c r="E85" i="20"/>
  <c r="E87" i="20" s="1"/>
  <c r="E5" i="20"/>
  <c r="E7" i="20" s="1"/>
  <c r="D45" i="23"/>
  <c r="I61" i="20"/>
  <c r="I80" i="20" s="1"/>
  <c r="H80" i="20"/>
  <c r="I56" i="20"/>
  <c r="I71" i="20" s="1"/>
  <c r="H71" i="20"/>
  <c r="E109" i="20"/>
  <c r="F104" i="20" s="1"/>
  <c r="F107" i="20" s="1"/>
  <c r="E108" i="20"/>
  <c r="F122" i="20"/>
  <c r="F125" i="20" s="1"/>
  <c r="E126" i="20"/>
  <c r="E95" i="20"/>
  <c r="E98" i="20" s="1"/>
  <c r="D7" i="22"/>
  <c r="D177" i="20"/>
  <c r="D202" i="20" s="1"/>
  <c r="D33" i="22"/>
  <c r="E181" i="20"/>
  <c r="E184" i="20" s="1"/>
  <c r="E28" i="22"/>
  <c r="E29" i="22" s="1"/>
  <c r="F115" i="20"/>
  <c r="F118" i="20" s="1"/>
  <c r="E119" i="20"/>
  <c r="E128" i="20" s="1"/>
  <c r="E21" i="20" s="1"/>
  <c r="G78" i="20"/>
  <c r="H38" i="20"/>
  <c r="G40" i="20"/>
  <c r="G77" i="20"/>
  <c r="G62" i="20"/>
  <c r="H60" i="20"/>
  <c r="F12" i="20"/>
  <c r="F170" i="20" s="1"/>
  <c r="F198" i="20"/>
  <c r="F42" i="23" s="1"/>
  <c r="G117" i="20"/>
  <c r="G69" i="20"/>
  <c r="G35" i="20"/>
  <c r="H33" i="20"/>
  <c r="F70" i="20"/>
  <c r="E143" i="20"/>
  <c r="E145" i="20"/>
  <c r="E26" i="20" s="1"/>
  <c r="F139" i="20"/>
  <c r="F141" i="20" s="1"/>
  <c r="D8" i="22"/>
  <c r="E158" i="20"/>
  <c r="E161" i="20" s="1"/>
  <c r="F6" i="20"/>
  <c r="F7" i="20" s="1"/>
  <c r="F86" i="20"/>
  <c r="F87" i="20" s="1"/>
  <c r="G68" i="20"/>
  <c r="G57" i="20"/>
  <c r="G12" i="20" s="1"/>
  <c r="G170" i="20" s="1"/>
  <c r="H55" i="20"/>
  <c r="K27" i="18"/>
  <c r="K29" i="18" s="1"/>
  <c r="L26" i="18"/>
  <c r="J34" i="18"/>
  <c r="J36" i="18" s="1"/>
  <c r="K33" i="18"/>
  <c r="G9" i="11" l="1"/>
  <c r="G10" i="11"/>
  <c r="H7" i="11"/>
  <c r="F11" i="11"/>
  <c r="F13" i="11" s="1"/>
  <c r="F16" i="11" s="1"/>
  <c r="E12" i="22"/>
  <c r="F11" i="20"/>
  <c r="E50" i="20"/>
  <c r="E8" i="20" s="1"/>
  <c r="E7" i="21" s="1"/>
  <c r="E206" i="20"/>
  <c r="E16" i="23"/>
  <c r="E33" i="23" s="1"/>
  <c r="E36" i="23" s="1"/>
  <c r="F108" i="20"/>
  <c r="F109" i="20" s="1"/>
  <c r="G104" i="20" s="1"/>
  <c r="G107" i="20" s="1"/>
  <c r="G5" i="20"/>
  <c r="G7" i="20" s="1"/>
  <c r="G85" i="20"/>
  <c r="F171" i="20"/>
  <c r="F203" i="20" s="1"/>
  <c r="H69" i="20"/>
  <c r="H35" i="20"/>
  <c r="I33" i="20"/>
  <c r="F28" i="22"/>
  <c r="F29" i="22" s="1"/>
  <c r="G115" i="20"/>
  <c r="G118" i="20" s="1"/>
  <c r="F119" i="20"/>
  <c r="G198" i="20"/>
  <c r="G42" i="23" s="1"/>
  <c r="H117" i="20"/>
  <c r="D7" i="21"/>
  <c r="D8" i="21" s="1"/>
  <c r="D10" i="21" s="1"/>
  <c r="D12" i="21" s="1"/>
  <c r="D15" i="21" s="1"/>
  <c r="D9" i="20"/>
  <c r="D16" i="20" s="1"/>
  <c r="D18" i="20" s="1"/>
  <c r="D23" i="20" s="1"/>
  <c r="I60" i="20"/>
  <c r="H62" i="20"/>
  <c r="H77" i="20"/>
  <c r="E90" i="20"/>
  <c r="E6" i="21"/>
  <c r="E8" i="21" s="1"/>
  <c r="E176" i="20"/>
  <c r="E9" i="20"/>
  <c r="E17" i="20"/>
  <c r="E14" i="21"/>
  <c r="E15" i="23" s="1"/>
  <c r="E39" i="23" s="1"/>
  <c r="E210" i="20"/>
  <c r="D23" i="23"/>
  <c r="D35" i="22"/>
  <c r="E8" i="22"/>
  <c r="F158" i="20"/>
  <c r="F161" i="20" s="1"/>
  <c r="D178" i="20"/>
  <c r="D189" i="20" s="1"/>
  <c r="D191" i="20" s="1"/>
  <c r="D9" i="22"/>
  <c r="F143" i="20"/>
  <c r="F145" i="20"/>
  <c r="F26" i="20" s="1"/>
  <c r="G139" i="20"/>
  <c r="G141" i="20" s="1"/>
  <c r="E99" i="20"/>
  <c r="E20" i="20" s="1"/>
  <c r="E13" i="21" s="1"/>
  <c r="E12" i="23" s="1"/>
  <c r="H57" i="20"/>
  <c r="H12" i="20" s="1"/>
  <c r="H170" i="20" s="1"/>
  <c r="H68" i="20"/>
  <c r="I55" i="20"/>
  <c r="G172" i="20"/>
  <c r="G182" i="20" s="1"/>
  <c r="G171" i="20"/>
  <c r="G203" i="20" s="1"/>
  <c r="F81" i="20"/>
  <c r="G76" i="20"/>
  <c r="G79" i="20" s="1"/>
  <c r="F181" i="20"/>
  <c r="E33" i="22"/>
  <c r="F90" i="20"/>
  <c r="F17" i="20" s="1"/>
  <c r="F6" i="21"/>
  <c r="F176" i="20"/>
  <c r="E207" i="20"/>
  <c r="E18" i="21"/>
  <c r="E40" i="23" s="1"/>
  <c r="G86" i="20"/>
  <c r="G6" i="20"/>
  <c r="E23" i="22"/>
  <c r="E196" i="20"/>
  <c r="I38" i="20"/>
  <c r="H78" i="20"/>
  <c r="H40" i="20"/>
  <c r="G122" i="20"/>
  <c r="G125" i="20" s="1"/>
  <c r="F126" i="20"/>
  <c r="F72" i="20"/>
  <c r="F13" i="20" s="1"/>
  <c r="G67" i="20"/>
  <c r="G70" i="20" s="1"/>
  <c r="E14" i="20"/>
  <c r="E9" i="21" s="1"/>
  <c r="G151" i="20"/>
  <c r="G154" i="20" s="1"/>
  <c r="F45" i="20"/>
  <c r="F47" i="20" s="1"/>
  <c r="E21" i="23"/>
  <c r="D21" i="23"/>
  <c r="K34" i="18"/>
  <c r="K36" i="18" s="1"/>
  <c r="L33" i="18"/>
  <c r="M26" i="18"/>
  <c r="L27" i="18"/>
  <c r="L29" i="18" s="1"/>
  <c r="F17" i="11" l="1"/>
  <c r="F18" i="11" s="1"/>
  <c r="H10" i="11"/>
  <c r="I7" i="11"/>
  <c r="H9" i="11"/>
  <c r="G11" i="11"/>
  <c r="G13" i="11" s="1"/>
  <c r="G16" i="11" s="1"/>
  <c r="F11" i="21"/>
  <c r="F209" i="20"/>
  <c r="G108" i="20"/>
  <c r="G109" i="20" s="1"/>
  <c r="H104" i="20" s="1"/>
  <c r="H107" i="20" s="1"/>
  <c r="G87" i="20"/>
  <c r="G17" i="20" s="1"/>
  <c r="I68" i="20"/>
  <c r="I57" i="20"/>
  <c r="G72" i="20"/>
  <c r="H67" i="20"/>
  <c r="H70" i="20" s="1"/>
  <c r="D9" i="23"/>
  <c r="E45" i="23"/>
  <c r="H198" i="20"/>
  <c r="H42" i="23" s="1"/>
  <c r="I117" i="20"/>
  <c r="I198" i="20" s="1"/>
  <c r="I42" i="23" s="1"/>
  <c r="G126" i="20"/>
  <c r="H122" i="20"/>
  <c r="H125" i="20" s="1"/>
  <c r="E100" i="20"/>
  <c r="E209" i="20"/>
  <c r="E11" i="21"/>
  <c r="H86" i="20"/>
  <c r="H6" i="20"/>
  <c r="G145" i="20"/>
  <c r="G26" i="20" s="1"/>
  <c r="G143" i="20"/>
  <c r="H139" i="20"/>
  <c r="H141" i="20" s="1"/>
  <c r="E16" i="20"/>
  <c r="E18" i="20" s="1"/>
  <c r="E23" i="20" s="1"/>
  <c r="F128" i="20"/>
  <c r="F21" i="20" s="1"/>
  <c r="G45" i="20"/>
  <c r="G47" i="20" s="1"/>
  <c r="H151" i="20"/>
  <c r="H154" i="20" s="1"/>
  <c r="I35" i="20"/>
  <c r="I69" i="20"/>
  <c r="E188" i="20"/>
  <c r="D13" i="22"/>
  <c r="H5" i="20"/>
  <c r="H7" i="20" s="1"/>
  <c r="H85" i="20"/>
  <c r="H87" i="20" s="1"/>
  <c r="F14" i="20"/>
  <c r="F9" i="21" s="1"/>
  <c r="I77" i="20"/>
  <c r="I62" i="20"/>
  <c r="D132" i="20"/>
  <c r="D134" i="20" s="1"/>
  <c r="D24" i="20" s="1"/>
  <c r="F172" i="20"/>
  <c r="F182" i="20" s="1"/>
  <c r="F184" i="20" s="1"/>
  <c r="F12" i="22"/>
  <c r="G11" i="20"/>
  <c r="H171" i="20"/>
  <c r="H203" i="20" s="1"/>
  <c r="H172" i="20"/>
  <c r="H182" i="20" s="1"/>
  <c r="G90" i="20"/>
  <c r="G6" i="21"/>
  <c r="G176" i="20"/>
  <c r="F177" i="20"/>
  <c r="F202" i="20" s="1"/>
  <c r="F178" i="20"/>
  <c r="F189" i="20" s="1"/>
  <c r="E23" i="23"/>
  <c r="E35" i="22"/>
  <c r="F207" i="20"/>
  <c r="F18" i="21"/>
  <c r="F40" i="23" s="1"/>
  <c r="E177" i="20"/>
  <c r="E202" i="20" s="1"/>
  <c r="E178" i="20"/>
  <c r="E189" i="20" s="1"/>
  <c r="G28" i="22"/>
  <c r="G29" i="22" s="1"/>
  <c r="G119" i="20"/>
  <c r="H115" i="20"/>
  <c r="H118" i="20" s="1"/>
  <c r="I78" i="20"/>
  <c r="I40" i="20"/>
  <c r="F23" i="22"/>
  <c r="F196" i="20"/>
  <c r="E10" i="21"/>
  <c r="E43" i="23"/>
  <c r="G81" i="20"/>
  <c r="H76" i="20"/>
  <c r="H79" i="20" s="1"/>
  <c r="F50" i="20"/>
  <c r="F8" i="20" s="1"/>
  <c r="F206" i="20"/>
  <c r="F16" i="23"/>
  <c r="F33" i="23" s="1"/>
  <c r="F36" i="23" s="1"/>
  <c r="F8" i="22"/>
  <c r="G158" i="20"/>
  <c r="G161" i="20" s="1"/>
  <c r="F21" i="23"/>
  <c r="N26" i="18"/>
  <c r="M27" i="18"/>
  <c r="M29" i="18" s="1"/>
  <c r="M33" i="18"/>
  <c r="L34" i="18"/>
  <c r="L36" i="18" s="1"/>
  <c r="I10" i="11" l="1"/>
  <c r="J7" i="11"/>
  <c r="I9" i="11"/>
  <c r="I11" i="11" s="1"/>
  <c r="I13" i="11" s="1"/>
  <c r="I16" i="11" s="1"/>
  <c r="G18" i="11"/>
  <c r="G17" i="11"/>
  <c r="H11" i="11"/>
  <c r="H13" i="11" s="1"/>
  <c r="H16" i="11" s="1"/>
  <c r="H108" i="20"/>
  <c r="H109" i="20"/>
  <c r="I104" i="20" s="1"/>
  <c r="I107" i="20" s="1"/>
  <c r="G181" i="20"/>
  <c r="G184" i="20" s="1"/>
  <c r="F33" i="22"/>
  <c r="F95" i="20"/>
  <c r="F98" i="20" s="1"/>
  <c r="E7" i="22"/>
  <c r="E9" i="22" s="1"/>
  <c r="D16" i="21"/>
  <c r="D208" i="20"/>
  <c r="D212" i="20" s="1"/>
  <c r="D14" i="22" s="1"/>
  <c r="I86" i="20"/>
  <c r="I6" i="20"/>
  <c r="F210" i="20"/>
  <c r="F14" i="21"/>
  <c r="F15" i="23" s="1"/>
  <c r="F39" i="23" s="1"/>
  <c r="G177" i="20"/>
  <c r="G202" i="20" s="1"/>
  <c r="G178" i="20"/>
  <c r="G189" i="20" s="1"/>
  <c r="E132" i="20"/>
  <c r="E134" i="20" s="1"/>
  <c r="E24" i="20" s="1"/>
  <c r="F7" i="21"/>
  <c r="F8" i="21" s="1"/>
  <c r="F10" i="21" s="1"/>
  <c r="F12" i="21" s="1"/>
  <c r="F9" i="20"/>
  <c r="F16" i="20" s="1"/>
  <c r="F18" i="20" s="1"/>
  <c r="H28" i="22"/>
  <c r="H29" i="22" s="1"/>
  <c r="H119" i="20"/>
  <c r="I115" i="20"/>
  <c r="I118" i="20" s="1"/>
  <c r="H143" i="20"/>
  <c r="I139" i="20"/>
  <c r="I141" i="20" s="1"/>
  <c r="H145" i="20"/>
  <c r="H26" i="20" s="1"/>
  <c r="G128" i="20"/>
  <c r="G21" i="20" s="1"/>
  <c r="H17" i="20"/>
  <c r="G196" i="20"/>
  <c r="G23" i="22"/>
  <c r="H81" i="20"/>
  <c r="I76" i="20"/>
  <c r="I79" i="20" s="1"/>
  <c r="I81" i="20" s="1"/>
  <c r="H90" i="20"/>
  <c r="H6" i="21"/>
  <c r="H176" i="20"/>
  <c r="G18" i="21"/>
  <c r="G40" i="23" s="1"/>
  <c r="G207" i="20"/>
  <c r="D20" i="23"/>
  <c r="H72" i="20"/>
  <c r="I67" i="20"/>
  <c r="I70" i="20" s="1"/>
  <c r="I72" i="20" s="1"/>
  <c r="E191" i="20"/>
  <c r="G13" i="20"/>
  <c r="G14" i="20"/>
  <c r="G9" i="21" s="1"/>
  <c r="I12" i="20"/>
  <c r="I170" i="20" s="1"/>
  <c r="E12" i="21"/>
  <c r="E15" i="21" s="1"/>
  <c r="I5" i="20"/>
  <c r="I7" i="20" s="1"/>
  <c r="I85" i="20"/>
  <c r="I87" i="20" s="1"/>
  <c r="D25" i="20"/>
  <c r="D27" i="20" s="1"/>
  <c r="H45" i="20"/>
  <c r="H47" i="20" s="1"/>
  <c r="I151" i="20"/>
  <c r="I154" i="20" s="1"/>
  <c r="I45" i="20" s="1"/>
  <c r="I47" i="20" s="1"/>
  <c r="I122" i="20"/>
  <c r="I125" i="20" s="1"/>
  <c r="I126" i="20" s="1"/>
  <c r="H126" i="20"/>
  <c r="G209" i="20"/>
  <c r="G11" i="21"/>
  <c r="F43" i="23"/>
  <c r="G206" i="20"/>
  <c r="G16" i="23"/>
  <c r="G33" i="23" s="1"/>
  <c r="G36" i="23" s="1"/>
  <c r="G50" i="20"/>
  <c r="G8" i="20" s="1"/>
  <c r="G8" i="22"/>
  <c r="H158" i="20"/>
  <c r="H161" i="20" s="1"/>
  <c r="N33" i="18"/>
  <c r="M34" i="18"/>
  <c r="M36" i="18" s="1"/>
  <c r="O26" i="18"/>
  <c r="N27" i="18"/>
  <c r="N29" i="18" s="1"/>
  <c r="H17" i="11" l="1"/>
  <c r="H18" i="11"/>
  <c r="I17" i="11"/>
  <c r="I18" i="11" s="1"/>
  <c r="J10" i="11"/>
  <c r="J9" i="11"/>
  <c r="J11" i="11" s="1"/>
  <c r="J13" i="11" s="1"/>
  <c r="J16" i="11" s="1"/>
  <c r="D27" i="23"/>
  <c r="D46" i="23" s="1"/>
  <c r="D48" i="23" s="1"/>
  <c r="G7" i="21"/>
  <c r="G8" i="21" s="1"/>
  <c r="G10" i="21" s="1"/>
  <c r="G12" i="21" s="1"/>
  <c r="G9" i="20"/>
  <c r="G16" i="20" s="1"/>
  <c r="G18" i="20" s="1"/>
  <c r="G43" i="23"/>
  <c r="F100" i="20"/>
  <c r="F99" i="20"/>
  <c r="F20" i="20" s="1"/>
  <c r="F13" i="21" s="1"/>
  <c r="F12" i="23" s="1"/>
  <c r="H209" i="20"/>
  <c r="H11" i="21"/>
  <c r="F23" i="23"/>
  <c r="F35" i="22"/>
  <c r="E9" i="23"/>
  <c r="E17" i="21"/>
  <c r="E19" i="21" s="1"/>
  <c r="I171" i="20"/>
  <c r="I203" i="20" s="1"/>
  <c r="I143" i="20"/>
  <c r="I145" i="20"/>
  <c r="I26" i="20" s="1"/>
  <c r="I28" i="22"/>
  <c r="I29" i="22" s="1"/>
  <c r="I119" i="20"/>
  <c r="I128" i="20" s="1"/>
  <c r="I21" i="20" s="1"/>
  <c r="D53" i="19"/>
  <c r="D50" i="23"/>
  <c r="I13" i="20"/>
  <c r="I12" i="22" s="1"/>
  <c r="D26" i="23"/>
  <c r="D17" i="21"/>
  <c r="D19" i="21" s="1"/>
  <c r="H8" i="22"/>
  <c r="I158" i="20"/>
  <c r="I161" i="20" s="1"/>
  <c r="I8" i="22" s="1"/>
  <c r="H50" i="20"/>
  <c r="H8" i="20" s="1"/>
  <c r="H206" i="20"/>
  <c r="H16" i="23"/>
  <c r="H33" i="23" s="1"/>
  <c r="H36" i="23" s="1"/>
  <c r="H13" i="20"/>
  <c r="F23" i="20"/>
  <c r="E16" i="21"/>
  <c r="E26" i="23" s="1"/>
  <c r="E208" i="20"/>
  <c r="E212" i="20" s="1"/>
  <c r="E14" i="22" s="1"/>
  <c r="E25" i="20"/>
  <c r="E27" i="20" s="1"/>
  <c r="G210" i="20"/>
  <c r="G14" i="21"/>
  <c r="G15" i="23" s="1"/>
  <c r="G39" i="23" s="1"/>
  <c r="I108" i="20"/>
  <c r="I109" i="20" s="1"/>
  <c r="H18" i="21"/>
  <c r="H40" i="23" s="1"/>
  <c r="H207" i="20"/>
  <c r="F45" i="23"/>
  <c r="H177" i="20"/>
  <c r="H202" i="20" s="1"/>
  <c r="H178" i="20"/>
  <c r="H189" i="20" s="1"/>
  <c r="H196" i="20"/>
  <c r="H23" i="22"/>
  <c r="G12" i="22"/>
  <c r="H11" i="20"/>
  <c r="H14" i="20" s="1"/>
  <c r="H9" i="21" s="1"/>
  <c r="E13" i="22"/>
  <c r="F188" i="20"/>
  <c r="F191" i="20" s="1"/>
  <c r="H128" i="20"/>
  <c r="H21" i="20" s="1"/>
  <c r="I50" i="20"/>
  <c r="I8" i="20" s="1"/>
  <c r="I7" i="21" s="1"/>
  <c r="I16" i="23"/>
  <c r="I33" i="23" s="1"/>
  <c r="I36" i="23" s="1"/>
  <c r="I206" i="20"/>
  <c r="D218" i="20"/>
  <c r="D220" i="20" s="1"/>
  <c r="D29" i="20"/>
  <c r="D16" i="22"/>
  <c r="D18" i="22" s="1"/>
  <c r="F15" i="21"/>
  <c r="I6" i="21"/>
  <c r="I8" i="21" s="1"/>
  <c r="I176" i="20"/>
  <c r="I9" i="20"/>
  <c r="I90" i="20"/>
  <c r="I17" i="20" s="1"/>
  <c r="H181" i="20"/>
  <c r="H184" i="20" s="1"/>
  <c r="G33" i="22"/>
  <c r="O27" i="18"/>
  <c r="O29" i="18" s="1"/>
  <c r="P26" i="18"/>
  <c r="N34" i="18"/>
  <c r="N36" i="18" s="1"/>
  <c r="O33" i="18"/>
  <c r="J17" i="11" l="1"/>
  <c r="J18" i="11"/>
  <c r="I209" i="20"/>
  <c r="I11" i="21"/>
  <c r="H7" i="21"/>
  <c r="H8" i="21" s="1"/>
  <c r="H10" i="21" s="1"/>
  <c r="H12" i="21" s="1"/>
  <c r="H9" i="20"/>
  <c r="H16" i="20" s="1"/>
  <c r="H18" i="20" s="1"/>
  <c r="G45" i="23"/>
  <c r="G21" i="23"/>
  <c r="H43" i="23"/>
  <c r="H210" i="20"/>
  <c r="H14" i="21"/>
  <c r="H15" i="23" s="1"/>
  <c r="H39" i="23" s="1"/>
  <c r="H45" i="23" s="1"/>
  <c r="F13" i="22"/>
  <c r="G188" i="20"/>
  <c r="G191" i="20" s="1"/>
  <c r="E218" i="20"/>
  <c r="E29" i="20"/>
  <c r="D24" i="22"/>
  <c r="D25" i="22" s="1"/>
  <c r="D37" i="22" s="1"/>
  <c r="E217" i="20"/>
  <c r="F132" i="20"/>
  <c r="F134" i="20" s="1"/>
  <c r="F24" i="20" s="1"/>
  <c r="F25" i="20" s="1"/>
  <c r="F27" i="20" s="1"/>
  <c r="I14" i="21"/>
  <c r="I15" i="23" s="1"/>
  <c r="I39" i="23" s="1"/>
  <c r="I210" i="20"/>
  <c r="I23" i="22"/>
  <c r="I196" i="20"/>
  <c r="F20" i="23"/>
  <c r="E16" i="22"/>
  <c r="E18" i="22" s="1"/>
  <c r="E20" i="23"/>
  <c r="I172" i="20"/>
  <c r="I182" i="20" s="1"/>
  <c r="F9" i="23"/>
  <c r="E53" i="19"/>
  <c r="E50" i="23"/>
  <c r="D39" i="22"/>
  <c r="D222" i="20" s="1"/>
  <c r="G35" i="22"/>
  <c r="G23" i="23"/>
  <c r="I11" i="20"/>
  <c r="I14" i="20" s="1"/>
  <c r="I9" i="21" s="1"/>
  <c r="I10" i="21" s="1"/>
  <c r="I12" i="21" s="1"/>
  <c r="H12" i="22"/>
  <c r="H33" i="22"/>
  <c r="I181" i="20"/>
  <c r="F7" i="22"/>
  <c r="F9" i="22" s="1"/>
  <c r="G95" i="20"/>
  <c r="G98" i="20" s="1"/>
  <c r="I177" i="20"/>
  <c r="I202" i="20" s="1"/>
  <c r="I178" i="20"/>
  <c r="I189" i="20" s="1"/>
  <c r="D51" i="23"/>
  <c r="E47" i="23"/>
  <c r="E27" i="23"/>
  <c r="E46" i="23" s="1"/>
  <c r="E48" i="23" s="1"/>
  <c r="I18" i="21"/>
  <c r="I40" i="23" s="1"/>
  <c r="I207" i="20"/>
  <c r="P33" i="18"/>
  <c r="O34" i="18"/>
  <c r="O36" i="18" s="1"/>
  <c r="Q26" i="18"/>
  <c r="Q27" i="18" s="1"/>
  <c r="Q29" i="18" s="1"/>
  <c r="P27" i="18"/>
  <c r="P29" i="18" s="1"/>
  <c r="F218" i="20" l="1"/>
  <c r="F29" i="20"/>
  <c r="H35" i="22"/>
  <c r="H23" i="23"/>
  <c r="I43" i="23"/>
  <c r="G13" i="22"/>
  <c r="H188" i="20"/>
  <c r="H191" i="20" s="1"/>
  <c r="G20" i="23"/>
  <c r="F16" i="22"/>
  <c r="G99" i="20"/>
  <c r="G20" i="20" s="1"/>
  <c r="G100" i="20"/>
  <c r="E220" i="20"/>
  <c r="E51" i="23"/>
  <c r="F47" i="23"/>
  <c r="I16" i="20"/>
  <c r="I18" i="20" s="1"/>
  <c r="F208" i="20"/>
  <c r="F212" i="20" s="1"/>
  <c r="F14" i="22" s="1"/>
  <c r="F16" i="21"/>
  <c r="I21" i="23"/>
  <c r="I45" i="23"/>
  <c r="F18" i="22"/>
  <c r="I184" i="20"/>
  <c r="I33" i="22" s="1"/>
  <c r="H21" i="23"/>
  <c r="R29" i="18"/>
  <c r="P34" i="18"/>
  <c r="P36" i="18" s="1"/>
  <c r="Q33" i="18"/>
  <c r="Q34" i="18" s="1"/>
  <c r="Q36" i="18" s="1"/>
  <c r="R36" i="18" s="1"/>
  <c r="E24" i="22" l="1"/>
  <c r="E25" i="22" s="1"/>
  <c r="E37" i="22" s="1"/>
  <c r="E39" i="22" s="1"/>
  <c r="E222" i="20" s="1"/>
  <c r="F217" i="20"/>
  <c r="F220" i="20" s="1"/>
  <c r="G7" i="22"/>
  <c r="G9" i="22" s="1"/>
  <c r="H95" i="20"/>
  <c r="H98" i="20" s="1"/>
  <c r="F26" i="23"/>
  <c r="F27" i="23" s="1"/>
  <c r="F46" i="23" s="1"/>
  <c r="F48" i="23" s="1"/>
  <c r="F17" i="21"/>
  <c r="F19" i="21" s="1"/>
  <c r="I35" i="22"/>
  <c r="I23" i="23"/>
  <c r="G13" i="21"/>
  <c r="G23" i="20"/>
  <c r="H13" i="22"/>
  <c r="I188" i="20"/>
  <c r="I191" i="20" s="1"/>
  <c r="I13" i="22" s="1"/>
  <c r="F53" i="19"/>
  <c r="F50" i="23"/>
  <c r="F51" i="23" l="1"/>
  <c r="G47" i="23"/>
  <c r="G132" i="20"/>
  <c r="G134" i="20" s="1"/>
  <c r="G24" i="20" s="1"/>
  <c r="G25" i="20" s="1"/>
  <c r="G27" i="20" s="1"/>
  <c r="H99" i="20"/>
  <c r="H20" i="20" s="1"/>
  <c r="I20" i="23"/>
  <c r="G12" i="23"/>
  <c r="G15" i="21"/>
  <c r="H20" i="23"/>
  <c r="G217" i="20"/>
  <c r="F24" i="22"/>
  <c r="F25" i="22" s="1"/>
  <c r="F37" i="22" s="1"/>
  <c r="F39" i="22" s="1"/>
  <c r="F222" i="20" s="1"/>
  <c r="G29" i="20" l="1"/>
  <c r="G218" i="20"/>
  <c r="H100" i="20"/>
  <c r="G220" i="20"/>
  <c r="G208" i="20"/>
  <c r="G212" i="20" s="1"/>
  <c r="G14" i="22" s="1"/>
  <c r="G16" i="21"/>
  <c r="G26" i="23" s="1"/>
  <c r="G17" i="21"/>
  <c r="G19" i="21" s="1"/>
  <c r="G9" i="23"/>
  <c r="G27" i="23" s="1"/>
  <c r="G46" i="23" s="1"/>
  <c r="G48" i="23" s="1"/>
  <c r="H13" i="21"/>
  <c r="H23" i="20"/>
  <c r="G51" i="23" l="1"/>
  <c r="H47" i="23"/>
  <c r="G50" i="23"/>
  <c r="G53" i="19"/>
  <c r="G16" i="22"/>
  <c r="G18" i="22" s="1"/>
  <c r="H7" i="22"/>
  <c r="H9" i="22" s="1"/>
  <c r="I95" i="20"/>
  <c r="I98" i="20" s="1"/>
  <c r="H132" i="20"/>
  <c r="H134" i="20" s="1"/>
  <c r="H24" i="20" s="1"/>
  <c r="H12" i="23"/>
  <c r="H15" i="21"/>
  <c r="H217" i="20"/>
  <c r="G24" i="22"/>
  <c r="G25" i="22" s="1"/>
  <c r="G37" i="22" s="1"/>
  <c r="H208" i="20" l="1"/>
  <c r="H212" i="20" s="1"/>
  <c r="H14" i="22" s="1"/>
  <c r="H16" i="21"/>
  <c r="H26" i="23" s="1"/>
  <c r="I99" i="20"/>
  <c r="I20" i="20" s="1"/>
  <c r="H9" i="23"/>
  <c r="H25" i="20"/>
  <c r="H27" i="20" s="1"/>
  <c r="G39" i="22"/>
  <c r="G222" i="20" s="1"/>
  <c r="H17" i="21" l="1"/>
  <c r="H19" i="21" s="1"/>
  <c r="H50" i="23"/>
  <c r="H53" i="19"/>
  <c r="H16" i="22"/>
  <c r="H18" i="22" s="1"/>
  <c r="H218" i="20"/>
  <c r="H220" i="20" s="1"/>
  <c r="H29" i="20"/>
  <c r="H27" i="23"/>
  <c r="H46" i="23" s="1"/>
  <c r="H48" i="23" s="1"/>
  <c r="I13" i="21"/>
  <c r="I23" i="20"/>
  <c r="I100" i="20"/>
  <c r="I7" i="22" s="1"/>
  <c r="I9" i="22" s="1"/>
  <c r="I12" i="23" l="1"/>
  <c r="I15" i="21"/>
  <c r="I132" i="20"/>
  <c r="I134" i="20" s="1"/>
  <c r="I24" i="20" s="1"/>
  <c r="I25" i="20"/>
  <c r="I27" i="20" s="1"/>
  <c r="I47" i="23"/>
  <c r="H51" i="23"/>
  <c r="I217" i="20"/>
  <c r="H24" i="22"/>
  <c r="H25" i="22" s="1"/>
  <c r="H37" i="22" s="1"/>
  <c r="H39" i="22" s="1"/>
  <c r="H222" i="20" s="1"/>
  <c r="I9" i="23" l="1"/>
  <c r="I27" i="23" s="1"/>
  <c r="I46" i="23" s="1"/>
  <c r="I48" i="23" s="1"/>
  <c r="I17" i="21"/>
  <c r="I19" i="21" s="1"/>
  <c r="I29" i="20"/>
  <c r="I218" i="20"/>
  <c r="I220" i="20"/>
  <c r="I24" i="22" s="1"/>
  <c r="I25" i="22" s="1"/>
  <c r="I37" i="22" s="1"/>
  <c r="I16" i="21"/>
  <c r="I26" i="23" s="1"/>
  <c r="I208" i="20"/>
  <c r="I212" i="20" s="1"/>
  <c r="I14" i="22" s="1"/>
  <c r="I50" i="23" l="1"/>
  <c r="I53" i="19"/>
  <c r="I16" i="22"/>
  <c r="I18" i="22" s="1"/>
  <c r="I39" i="22" s="1"/>
  <c r="I222" i="20" s="1"/>
  <c r="I51" i="23"/>
  <c r="H13" i="7" l="1"/>
  <c r="G13" i="7"/>
  <c r="F13" i="7"/>
  <c r="E13" i="7"/>
  <c r="D13" i="7"/>
  <c r="H21" i="16"/>
  <c r="G21" i="16"/>
  <c r="F21" i="16"/>
  <c r="E21" i="16"/>
  <c r="D21" i="16"/>
  <c r="H20" i="16"/>
  <c r="G20" i="16"/>
  <c r="F20" i="16"/>
  <c r="E20" i="16"/>
  <c r="D20" i="16"/>
  <c r="H19" i="16"/>
  <c r="G19" i="16"/>
  <c r="F19" i="16"/>
  <c r="E19" i="16"/>
  <c r="D19" i="16"/>
  <c r="H24" i="17"/>
  <c r="H26" i="17" s="1"/>
  <c r="D35" i="17"/>
  <c r="D33" i="17" s="1"/>
  <c r="D24" i="17"/>
  <c r="D26" i="17" s="1"/>
  <c r="F42" i="15"/>
  <c r="F43" i="15" s="1"/>
  <c r="E42" i="15"/>
  <c r="D52" i="15"/>
  <c r="E43" i="15"/>
  <c r="F41" i="15"/>
  <c r="E41" i="15"/>
  <c r="D43" i="15"/>
  <c r="D42" i="15"/>
  <c r="D41" i="15"/>
  <c r="H32" i="15"/>
  <c r="G32" i="15"/>
  <c r="G34" i="15" s="1"/>
  <c r="F32" i="15"/>
  <c r="E32" i="15"/>
  <c r="H31" i="15"/>
  <c r="G31" i="15"/>
  <c r="F31" i="15"/>
  <c r="E31" i="15"/>
  <c r="D31" i="15"/>
  <c r="D32" i="15"/>
  <c r="F85" i="11"/>
  <c r="G85" i="11" s="1"/>
  <c r="H85" i="11" s="1"/>
  <c r="I85" i="11" s="1"/>
  <c r="J85" i="11" s="1"/>
  <c r="E78" i="11"/>
  <c r="D79" i="11"/>
  <c r="D78" i="11"/>
  <c r="D69" i="11"/>
  <c r="E61" i="11"/>
  <c r="E60" i="11"/>
  <c r="D62" i="11"/>
  <c r="C70" i="6"/>
  <c r="C71" i="6" s="1"/>
  <c r="C72" i="6" s="1"/>
  <c r="C73" i="6" s="1"/>
  <c r="C74" i="6" s="1"/>
  <c r="C75" i="6" s="1"/>
  <c r="C76" i="6" s="1"/>
  <c r="C77" i="6" s="1"/>
  <c r="C78" i="6" s="1"/>
  <c r="C79" i="6" s="1"/>
  <c r="D79" i="6"/>
  <c r="D78" i="6"/>
  <c r="D77" i="6"/>
  <c r="D76" i="6"/>
  <c r="D75" i="6"/>
  <c r="D74" i="6"/>
  <c r="D73" i="6"/>
  <c r="D72" i="6"/>
  <c r="D71" i="6"/>
  <c r="D70" i="6"/>
  <c r="D69" i="6"/>
  <c r="E42" i="6"/>
  <c r="E44" i="6"/>
  <c r="E25" i="7"/>
  <c r="F25" i="7" s="1"/>
  <c r="G25" i="7" s="1"/>
  <c r="H25" i="7" s="1"/>
  <c r="E29" i="7"/>
  <c r="F29" i="7" s="1"/>
  <c r="G29" i="7" s="1"/>
  <c r="H29" i="7" s="1"/>
  <c r="E26" i="7"/>
  <c r="F26" i="7" s="1"/>
  <c r="G26" i="7" s="1"/>
  <c r="H26" i="7" s="1"/>
  <c r="E23" i="7"/>
  <c r="F23" i="7" s="1"/>
  <c r="G23" i="7" s="1"/>
  <c r="H23" i="7" s="1"/>
  <c r="H10" i="7"/>
  <c r="G10" i="7"/>
  <c r="F10" i="7"/>
  <c r="E10" i="7"/>
  <c r="D10" i="7"/>
  <c r="D56" i="10"/>
  <c r="D55" i="10"/>
  <c r="D54" i="10"/>
  <c r="D39" i="10"/>
  <c r="D62" i="10" s="1"/>
  <c r="D38" i="10"/>
  <c r="D61" i="10" s="1"/>
  <c r="D37" i="10"/>
  <c r="D60" i="10" s="1"/>
  <c r="D36" i="10"/>
  <c r="D59" i="10" s="1"/>
  <c r="D35" i="10"/>
  <c r="D58" i="10" s="1"/>
  <c r="D33" i="10"/>
  <c r="D32" i="10"/>
  <c r="D31" i="10"/>
  <c r="D30" i="10"/>
  <c r="D53" i="10" s="1"/>
  <c r="E29" i="10"/>
  <c r="D34" i="10"/>
  <c r="D57" i="10" s="1"/>
  <c r="E42" i="13"/>
  <c r="C36" i="13"/>
  <c r="E36" i="13" s="1"/>
  <c r="E40" i="13" s="1"/>
  <c r="H28" i="13"/>
  <c r="H27" i="13"/>
  <c r="M27" i="13" s="1"/>
  <c r="H26" i="13"/>
  <c r="H25" i="13"/>
  <c r="H24" i="13"/>
  <c r="H23" i="13"/>
  <c r="F28" i="13"/>
  <c r="E28" i="13"/>
  <c r="D28" i="13"/>
  <c r="C28" i="13"/>
  <c r="F27" i="13"/>
  <c r="E27" i="13"/>
  <c r="C27" i="13"/>
  <c r="F26" i="13"/>
  <c r="E26" i="13"/>
  <c r="E62" i="13" s="1"/>
  <c r="C26" i="13"/>
  <c r="F25" i="13"/>
  <c r="E25" i="13"/>
  <c r="C25" i="13"/>
  <c r="F24" i="13"/>
  <c r="E24" i="13"/>
  <c r="D24" i="13"/>
  <c r="C24" i="13"/>
  <c r="F23" i="13"/>
  <c r="E23" i="13"/>
  <c r="D23" i="13"/>
  <c r="C23" i="13"/>
  <c r="D25" i="13"/>
  <c r="F67" i="11"/>
  <c r="G67" i="11" s="1"/>
  <c r="H67" i="11" s="1"/>
  <c r="F51" i="11"/>
  <c r="G51" i="11" s="1"/>
  <c r="H51" i="11" s="1"/>
  <c r="I51" i="11" s="1"/>
  <c r="J51" i="11" s="1"/>
  <c r="K51" i="11" s="1"/>
  <c r="H53" i="10"/>
  <c r="H52" i="10"/>
  <c r="F53" i="10"/>
  <c r="F52" i="10"/>
  <c r="C54" i="10"/>
  <c r="C55" i="10" s="1"/>
  <c r="C56" i="10" s="1"/>
  <c r="C57" i="10" s="1"/>
  <c r="C58" i="10" s="1"/>
  <c r="C59" i="10" s="1"/>
  <c r="C60" i="10" s="1"/>
  <c r="C61" i="10" s="1"/>
  <c r="C62" i="10" s="1"/>
  <c r="F62" i="10" s="1"/>
  <c r="C31" i="10"/>
  <c r="C32" i="10" s="1"/>
  <c r="C33" i="10" s="1"/>
  <c r="C34" i="10" s="1"/>
  <c r="C35" i="10" s="1"/>
  <c r="C36" i="10" s="1"/>
  <c r="C37" i="10" s="1"/>
  <c r="C38" i="10" s="1"/>
  <c r="C39" i="10" s="1"/>
  <c r="C8" i="10"/>
  <c r="C9" i="10" s="1"/>
  <c r="C10" i="10" s="1"/>
  <c r="C11" i="10" s="1"/>
  <c r="C12" i="10" s="1"/>
  <c r="C13" i="10" s="1"/>
  <c r="C14" i="10" s="1"/>
  <c r="C15" i="10" s="1"/>
  <c r="C16" i="10" s="1"/>
  <c r="E39" i="13" l="1"/>
  <c r="E61" i="13" s="1"/>
  <c r="C39" i="13"/>
  <c r="C40" i="13"/>
  <c r="E64" i="13"/>
  <c r="E41" i="13"/>
  <c r="F63" i="13" s="1"/>
  <c r="C42" i="13"/>
  <c r="C64" i="13"/>
  <c r="F34" i="15"/>
  <c r="E34" i="15"/>
  <c r="H34" i="15"/>
  <c r="E22" i="16"/>
  <c r="G22" i="16"/>
  <c r="F22" i="16"/>
  <c r="H22" i="16"/>
  <c r="D22" i="16"/>
  <c r="I53" i="10"/>
  <c r="D52" i="10"/>
  <c r="E52" i="10" s="1"/>
  <c r="E53" i="10" s="1"/>
  <c r="E54" i="10" s="1"/>
  <c r="E55" i="10" s="1"/>
  <c r="E56" i="10" s="1"/>
  <c r="E57" i="10" s="1"/>
  <c r="E58" i="10" s="1"/>
  <c r="E59" i="10" s="1"/>
  <c r="E60" i="10" s="1"/>
  <c r="E61" i="10" s="1"/>
  <c r="E62" i="10" s="1"/>
  <c r="H61" i="10"/>
  <c r="D34" i="15"/>
  <c r="G53" i="10"/>
  <c r="F59" i="10"/>
  <c r="G59" i="10" s="1"/>
  <c r="F60" i="10"/>
  <c r="G60" i="10" s="1"/>
  <c r="I61" i="10"/>
  <c r="G78" i="11"/>
  <c r="D60" i="11"/>
  <c r="F78" i="11"/>
  <c r="D61" i="11"/>
  <c r="E43" i="6"/>
  <c r="F43" i="6" s="1"/>
  <c r="F42" i="6"/>
  <c r="E45" i="6"/>
  <c r="F44" i="6"/>
  <c r="K23" i="13"/>
  <c r="E37" i="13"/>
  <c r="D59" i="13" s="1"/>
  <c r="F62" i="13"/>
  <c r="C38" i="13"/>
  <c r="D64" i="13"/>
  <c r="E38" i="13"/>
  <c r="G62" i="10"/>
  <c r="E30" i="10"/>
  <c r="E31" i="10" s="1"/>
  <c r="E32" i="10" s="1"/>
  <c r="E33" i="10" s="1"/>
  <c r="E34" i="10" s="1"/>
  <c r="E35" i="10" s="1"/>
  <c r="E36" i="10" s="1"/>
  <c r="E37" i="10" s="1"/>
  <c r="E38" i="10" s="1"/>
  <c r="E39" i="10" s="1"/>
  <c r="H60" i="10"/>
  <c r="I60" i="10" s="1"/>
  <c r="F61" i="10"/>
  <c r="G61" i="10" s="1"/>
  <c r="F55" i="10"/>
  <c r="G55" i="10" s="1"/>
  <c r="H56" i="10"/>
  <c r="I56" i="10" s="1"/>
  <c r="H62" i="10"/>
  <c r="I62" i="10" s="1"/>
  <c r="F54" i="10"/>
  <c r="G54" i="10" s="1"/>
  <c r="H55" i="10"/>
  <c r="I55" i="10" s="1"/>
  <c r="F56" i="10"/>
  <c r="G56" i="10" s="1"/>
  <c r="H57" i="10"/>
  <c r="I57" i="10" s="1"/>
  <c r="F57" i="10"/>
  <c r="G57" i="10" s="1"/>
  <c r="H58" i="10"/>
  <c r="I58" i="10" s="1"/>
  <c r="H54" i="10"/>
  <c r="I54" i="10" s="1"/>
  <c r="F58" i="10"/>
  <c r="G58" i="10" s="1"/>
  <c r="H59" i="10"/>
  <c r="I59" i="10" s="1"/>
  <c r="M24" i="13"/>
  <c r="C62" i="13"/>
  <c r="M28" i="13"/>
  <c r="C37" i="13"/>
  <c r="C41" i="13"/>
  <c r="F64" i="13"/>
  <c r="M25" i="13"/>
  <c r="D36" i="13"/>
  <c r="L25" i="13"/>
  <c r="L26" i="13"/>
  <c r="M26" i="13"/>
  <c r="J24" i="13"/>
  <c r="L23" i="13"/>
  <c r="M23" i="13"/>
  <c r="J27" i="13"/>
  <c r="K24" i="13"/>
  <c r="L24" i="13"/>
  <c r="L27" i="13"/>
  <c r="J25" i="13"/>
  <c r="J28" i="13"/>
  <c r="K25" i="13"/>
  <c r="K28" i="13"/>
  <c r="L28" i="13"/>
  <c r="J23" i="13"/>
  <c r="J26" i="13"/>
  <c r="I67" i="11"/>
  <c r="D63" i="11" l="1"/>
  <c r="C63" i="13"/>
  <c r="C61" i="13"/>
  <c r="E63" i="13"/>
  <c r="F61" i="13"/>
  <c r="D61" i="13"/>
  <c r="G52" i="10"/>
  <c r="G63" i="10" s="1"/>
  <c r="I52" i="10"/>
  <c r="I63" i="10" s="1"/>
  <c r="D44" i="11"/>
  <c r="F60" i="11" s="1"/>
  <c r="G60" i="11" s="1"/>
  <c r="H78" i="11"/>
  <c r="E79" i="11"/>
  <c r="E46" i="6"/>
  <c r="C60" i="13"/>
  <c r="D60" i="13"/>
  <c r="E60" i="13"/>
  <c r="F59" i="13"/>
  <c r="E59" i="13"/>
  <c r="F60" i="13"/>
  <c r="C59" i="13"/>
  <c r="D39" i="13"/>
  <c r="D42" i="13"/>
  <c r="D41" i="13"/>
  <c r="D37" i="13"/>
  <c r="D40" i="13"/>
  <c r="D38" i="13"/>
  <c r="M29" i="13"/>
  <c r="L29" i="13"/>
  <c r="J29" i="13"/>
  <c r="D27" i="13"/>
  <c r="D26" i="13"/>
  <c r="J67" i="11"/>
  <c r="D65" i="10" l="1"/>
  <c r="J49" i="10" s="1"/>
  <c r="J61" i="10" s="1"/>
  <c r="K61" i="10" s="1"/>
  <c r="F53" i="11"/>
  <c r="E77" i="11"/>
  <c r="E80" i="11" s="1"/>
  <c r="E84" i="11" s="1"/>
  <c r="E86" i="11" s="1"/>
  <c r="F62" i="11"/>
  <c r="G62" i="11" s="1"/>
  <c r="F61" i="11"/>
  <c r="G61" i="11" s="1"/>
  <c r="F41" i="11"/>
  <c r="G41" i="11" s="1"/>
  <c r="F79" i="11"/>
  <c r="F42" i="11"/>
  <c r="G42" i="11" s="1"/>
  <c r="F43" i="11"/>
  <c r="G43" i="11" s="1"/>
  <c r="J78" i="11"/>
  <c r="I78" i="11"/>
  <c r="D77" i="11"/>
  <c r="D80" i="11" s="1"/>
  <c r="D84" i="11" s="1"/>
  <c r="D86" i="11" s="1"/>
  <c r="F77" i="11"/>
  <c r="E53" i="11"/>
  <c r="F45" i="6"/>
  <c r="E47" i="6"/>
  <c r="F46" i="6"/>
  <c r="C65" i="13"/>
  <c r="E65" i="13"/>
  <c r="F65" i="13"/>
  <c r="D51" i="13"/>
  <c r="D62" i="13"/>
  <c r="K26" i="13"/>
  <c r="D63" i="13"/>
  <c r="D52" i="13"/>
  <c r="K27" i="13"/>
  <c r="C49" i="13"/>
  <c r="D49" i="13"/>
  <c r="E49" i="13"/>
  <c r="F49" i="13"/>
  <c r="E51" i="13"/>
  <c r="C51" i="13"/>
  <c r="F51" i="13"/>
  <c r="C48" i="13"/>
  <c r="F48" i="13"/>
  <c r="E48" i="13"/>
  <c r="D48" i="13"/>
  <c r="F52" i="13"/>
  <c r="E52" i="13"/>
  <c r="C52" i="13"/>
  <c r="D53" i="13"/>
  <c r="C53" i="13"/>
  <c r="F53" i="13"/>
  <c r="E53" i="13"/>
  <c r="D50" i="13"/>
  <c r="C50" i="13"/>
  <c r="F50" i="13"/>
  <c r="E50" i="13"/>
  <c r="K67" i="11"/>
  <c r="G63" i="11" l="1"/>
  <c r="D65" i="11" s="1"/>
  <c r="J68" i="11" s="1"/>
  <c r="G44" i="11"/>
  <c r="J52" i="11" s="1"/>
  <c r="F80" i="11"/>
  <c r="F84" i="11" s="1"/>
  <c r="F86" i="11" s="1"/>
  <c r="F68" i="11"/>
  <c r="E68" i="11"/>
  <c r="G77" i="11"/>
  <c r="G80" i="11" s="1"/>
  <c r="G84" i="11" s="1"/>
  <c r="G86" i="11" s="1"/>
  <c r="G79" i="11"/>
  <c r="G53" i="11"/>
  <c r="F69" i="11"/>
  <c r="E69" i="11"/>
  <c r="H53" i="11"/>
  <c r="E48" i="6"/>
  <c r="F47" i="6"/>
  <c r="D65" i="13"/>
  <c r="J58" i="10"/>
  <c r="K58" i="10" s="1"/>
  <c r="J55" i="10"/>
  <c r="K55" i="10" s="1"/>
  <c r="J60" i="10"/>
  <c r="K60" i="10" s="1"/>
  <c r="J51" i="10"/>
  <c r="J53" i="10"/>
  <c r="K53" i="10" s="1"/>
  <c r="J59" i="10"/>
  <c r="K59" i="10" s="1"/>
  <c r="J52" i="10"/>
  <c r="K52" i="10" s="1"/>
  <c r="J62" i="10"/>
  <c r="K62" i="10" s="1"/>
  <c r="J54" i="10"/>
  <c r="K54" i="10" s="1"/>
  <c r="J56" i="10"/>
  <c r="K56" i="10" s="1"/>
  <c r="J57" i="10"/>
  <c r="K57" i="10" s="1"/>
  <c r="D54" i="13"/>
  <c r="E54" i="13"/>
  <c r="F54" i="13"/>
  <c r="K29" i="13"/>
  <c r="C54" i="13"/>
  <c r="H68" i="11" l="1"/>
  <c r="G52" i="11"/>
  <c r="I52" i="11"/>
  <c r="D52" i="11"/>
  <c r="D54" i="11" s="1"/>
  <c r="E52" i="11"/>
  <c r="E54" i="11" s="1"/>
  <c r="F52" i="11"/>
  <c r="F54" i="11" s="1"/>
  <c r="G68" i="11"/>
  <c r="K68" i="11"/>
  <c r="D68" i="11"/>
  <c r="D70" i="11" s="1"/>
  <c r="H52" i="11"/>
  <c r="H54" i="11" s="1"/>
  <c r="K52" i="11"/>
  <c r="I68" i="11"/>
  <c r="H77" i="11"/>
  <c r="G54" i="11"/>
  <c r="E70" i="11"/>
  <c r="H79" i="11"/>
  <c r="F70" i="11"/>
  <c r="G69" i="11"/>
  <c r="H69" i="11"/>
  <c r="E49" i="6"/>
  <c r="K63" i="10"/>
  <c r="G70" i="11" l="1"/>
  <c r="H70" i="11"/>
  <c r="I53" i="11"/>
  <c r="I54" i="11" s="1"/>
  <c r="H80" i="11"/>
  <c r="H84" i="11" s="1"/>
  <c r="H86" i="11" s="1"/>
  <c r="J79" i="11"/>
  <c r="I79" i="11"/>
  <c r="I69" i="11"/>
  <c r="I70" i="11" s="1"/>
  <c r="F48" i="6"/>
  <c r="E50" i="6"/>
  <c r="F49" i="6"/>
  <c r="J53" i="11" l="1"/>
  <c r="I77" i="11"/>
  <c r="I80" i="11" s="1"/>
  <c r="I84" i="11" s="1"/>
  <c r="I86" i="11" s="1"/>
  <c r="J77" i="11"/>
  <c r="J80" i="11" s="1"/>
  <c r="J84" i="11" s="1"/>
  <c r="J86" i="11" s="1"/>
  <c r="F50" i="6"/>
  <c r="E51" i="6"/>
  <c r="J69" i="11" l="1"/>
  <c r="J70" i="11" s="1"/>
  <c r="J54" i="11"/>
  <c r="K53" i="11"/>
  <c r="K69" i="11" l="1"/>
  <c r="K70" i="11" s="1"/>
  <c r="L70" i="11" s="1"/>
  <c r="K54" i="11"/>
  <c r="L54" i="11" s="1"/>
  <c r="E52" i="6"/>
  <c r="E54" i="6" s="1"/>
  <c r="F51" i="6"/>
  <c r="F52" i="6" l="1"/>
  <c r="F54" i="6" s="1"/>
  <c r="E69" i="6" l="1"/>
  <c r="E70" i="6" s="1"/>
  <c r="E71" i="6" s="1"/>
  <c r="E72" i="6" s="1"/>
  <c r="E73" i="6" s="1"/>
  <c r="E74" i="6" s="1"/>
  <c r="E75" i="6" s="1"/>
  <c r="E76" i="6" s="1"/>
  <c r="H77" i="7"/>
  <c r="G77" i="7"/>
  <c r="F77" i="7"/>
  <c r="E77" i="7"/>
  <c r="D79" i="7"/>
  <c r="D77" i="7"/>
  <c r="D71" i="7"/>
  <c r="D70" i="7"/>
  <c r="H60" i="7"/>
  <c r="G60" i="7"/>
  <c r="F60" i="7"/>
  <c r="E60" i="7"/>
  <c r="D60" i="7"/>
  <c r="D59" i="7"/>
  <c r="D65" i="7" s="1"/>
  <c r="D55" i="7"/>
  <c r="E77" i="6" l="1"/>
  <c r="E78" i="6" s="1"/>
  <c r="E79" i="6" s="1"/>
  <c r="D72" i="7"/>
  <c r="D49" i="7" s="1"/>
  <c r="D62" i="6"/>
  <c r="D61" i="7"/>
  <c r="D47" i="7" s="1"/>
  <c r="E30" i="7" l="1"/>
  <c r="E17" i="7"/>
  <c r="G9" i="7"/>
  <c r="G11" i="7" s="1"/>
  <c r="F9" i="7"/>
  <c r="F11" i="7" s="1"/>
  <c r="E9" i="7"/>
  <c r="E11" i="7" s="1"/>
  <c r="D9" i="7"/>
  <c r="D11" i="7" s="1"/>
  <c r="H9" i="7"/>
  <c r="H11" i="7" s="1"/>
  <c r="E71" i="7" l="1"/>
  <c r="E79" i="7"/>
  <c r="F17" i="7"/>
  <c r="E70" i="7"/>
  <c r="H14" i="7"/>
  <c r="H15" i="7" s="1"/>
  <c r="H66" i="7"/>
  <c r="E14" i="7"/>
  <c r="E15" i="7" s="1"/>
  <c r="E66" i="7"/>
  <c r="D14" i="7"/>
  <c r="D15" i="7" s="1"/>
  <c r="D66" i="7"/>
  <c r="D67" i="7" s="1"/>
  <c r="D48" i="7" s="1"/>
  <c r="G14" i="7"/>
  <c r="G15" i="7" s="1"/>
  <c r="G66" i="7"/>
  <c r="F14" i="7"/>
  <c r="F15" i="7" s="1"/>
  <c r="F66" i="7"/>
  <c r="F30" i="7"/>
  <c r="E55" i="7"/>
  <c r="E59" i="7"/>
  <c r="D16" i="7" l="1"/>
  <c r="D54" i="7" s="1"/>
  <c r="D56" i="7" s="1"/>
  <c r="D46" i="7" s="1"/>
  <c r="E16" i="7"/>
  <c r="E54" i="7" s="1"/>
  <c r="E56" i="7" s="1"/>
  <c r="E46" i="7" s="1"/>
  <c r="H16" i="7"/>
  <c r="H54" i="7" s="1"/>
  <c r="G16" i="7"/>
  <c r="G54" i="7" s="1"/>
  <c r="F16" i="7"/>
  <c r="F54" i="7" s="1"/>
  <c r="E72" i="7"/>
  <c r="E49" i="7" s="1"/>
  <c r="F71" i="7"/>
  <c r="F79" i="7"/>
  <c r="G17" i="7"/>
  <c r="F70" i="7"/>
  <c r="G30" i="7"/>
  <c r="F55" i="7"/>
  <c r="F59" i="7"/>
  <c r="E61" i="7"/>
  <c r="E47" i="7" s="1"/>
  <c r="E65" i="7"/>
  <c r="E67" i="7" s="1"/>
  <c r="E48" i="7" s="1"/>
  <c r="F56" i="7" l="1"/>
  <c r="F46" i="7" s="1"/>
  <c r="G18" i="7"/>
  <c r="F18" i="7"/>
  <c r="E18" i="7"/>
  <c r="F72" i="7"/>
  <c r="F49" i="7" s="1"/>
  <c r="G71" i="7"/>
  <c r="G79" i="7"/>
  <c r="D18" i="7"/>
  <c r="D24" i="7" s="1"/>
  <c r="H17" i="7"/>
  <c r="G70" i="7"/>
  <c r="G72" i="7" s="1"/>
  <c r="G49" i="7" s="1"/>
  <c r="F61" i="7"/>
  <c r="F47" i="7" s="1"/>
  <c r="F65" i="7"/>
  <c r="F67" i="7" s="1"/>
  <c r="F48" i="7" s="1"/>
  <c r="H30" i="7"/>
  <c r="G55" i="7"/>
  <c r="G56" i="7" s="1"/>
  <c r="G46" i="7" s="1"/>
  <c r="G59" i="7"/>
  <c r="E24" i="7" l="1"/>
  <c r="D76" i="7"/>
  <c r="D78" i="7" s="1"/>
  <c r="D80" i="7" s="1"/>
  <c r="D50" i="7" s="1"/>
  <c r="H71" i="7"/>
  <c r="H79" i="7"/>
  <c r="H70" i="7"/>
  <c r="H18" i="7"/>
  <c r="H55" i="7"/>
  <c r="H56" i="7" s="1"/>
  <c r="H46" i="7" s="1"/>
  <c r="H59" i="7"/>
  <c r="G61" i="7"/>
  <c r="G47" i="7" s="1"/>
  <c r="G65" i="7"/>
  <c r="G67" i="7" s="1"/>
  <c r="G48" i="7" s="1"/>
  <c r="F24" i="7" l="1"/>
  <c r="E76" i="7"/>
  <c r="E78" i="7" s="1"/>
  <c r="E80" i="7" s="1"/>
  <c r="E50" i="7" s="1"/>
  <c r="H72" i="7"/>
  <c r="H49" i="7" s="1"/>
  <c r="H65" i="7"/>
  <c r="H67" i="7" s="1"/>
  <c r="H48" i="7" s="1"/>
  <c r="H61" i="7"/>
  <c r="H47" i="7" s="1"/>
  <c r="G24" i="7" l="1"/>
  <c r="F76" i="7"/>
  <c r="F78" i="7" s="1"/>
  <c r="F80" i="7" s="1"/>
  <c r="F50" i="7" s="1"/>
  <c r="H24" i="7" l="1"/>
  <c r="H76" i="7" s="1"/>
  <c r="H78" i="7" s="1"/>
  <c r="H80" i="7" s="1"/>
  <c r="H50" i="7" s="1"/>
  <c r="G76" i="7"/>
  <c r="G78" i="7" s="1"/>
  <c r="G80" i="7" s="1"/>
  <c r="G50" i="7" s="1"/>
</calcChain>
</file>

<file path=xl/sharedStrings.xml><?xml version="1.0" encoding="utf-8"?>
<sst xmlns="http://schemas.openxmlformats.org/spreadsheetml/2006/main" count="774" uniqueCount="450">
  <si>
    <t>Sales</t>
  </si>
  <si>
    <t>Other Income</t>
  </si>
  <si>
    <t>Revenue from Operations</t>
  </si>
  <si>
    <t>Total Income</t>
  </si>
  <si>
    <t>Particulars</t>
  </si>
  <si>
    <t>Revenue</t>
  </si>
  <si>
    <t>Total</t>
  </si>
  <si>
    <t>Less: COGS</t>
  </si>
  <si>
    <t>Gross Profit</t>
  </si>
  <si>
    <t>Less: SG&amp;A</t>
  </si>
  <si>
    <t>EBIDTA</t>
  </si>
  <si>
    <t>Less: Depreciation</t>
  </si>
  <si>
    <t>Less: Interest</t>
  </si>
  <si>
    <t>EBT</t>
  </si>
  <si>
    <t>Less : Tax</t>
  </si>
  <si>
    <t>Profit after Tax</t>
  </si>
  <si>
    <t>Less : Dividend Paid</t>
  </si>
  <si>
    <t>Net Income</t>
  </si>
  <si>
    <t>Unit</t>
  </si>
  <si>
    <t>Price</t>
  </si>
  <si>
    <t>Amount</t>
  </si>
  <si>
    <t>Total Revenue from Operation</t>
  </si>
  <si>
    <t>Dividend Income</t>
  </si>
  <si>
    <t xml:space="preserve">Dividend Income </t>
  </si>
  <si>
    <t>No. of Shares of A Ltd</t>
  </si>
  <si>
    <t>Dividend Per Share</t>
  </si>
  <si>
    <t>COGS</t>
  </si>
  <si>
    <t>Purchase</t>
  </si>
  <si>
    <t>Opening Stock</t>
  </si>
  <si>
    <t>Add: Purchases</t>
  </si>
  <si>
    <t>Less: Closing Stock</t>
  </si>
  <si>
    <t>Closing Stock</t>
  </si>
  <si>
    <t>Opening Unit</t>
  </si>
  <si>
    <t>Less: Sales Unit</t>
  </si>
  <si>
    <t>Closing Unit</t>
  </si>
  <si>
    <t>Purchase price</t>
  </si>
  <si>
    <t>Closing Stock value</t>
  </si>
  <si>
    <t>Add: Purchase Unit</t>
  </si>
  <si>
    <t>Sales Commission</t>
  </si>
  <si>
    <t>Other Operating Expenses</t>
  </si>
  <si>
    <t>Variable</t>
  </si>
  <si>
    <t>Properties Plants &amp; Equipments</t>
  </si>
  <si>
    <t>Opening</t>
  </si>
  <si>
    <t>Closing</t>
  </si>
  <si>
    <t>WDV</t>
  </si>
  <si>
    <t>Machinery</t>
  </si>
  <si>
    <t>Depreciation @ 10%</t>
  </si>
  <si>
    <t>Borrowing</t>
  </si>
  <si>
    <t>HDFC Loan @8%</t>
  </si>
  <si>
    <t>Addition</t>
  </si>
  <si>
    <t>Payment</t>
  </si>
  <si>
    <t>Interest</t>
  </si>
  <si>
    <t>Total Interest</t>
  </si>
  <si>
    <t>Tax</t>
  </si>
  <si>
    <t>Tax Rate</t>
  </si>
  <si>
    <t>Tax Expenses</t>
  </si>
  <si>
    <t>Round</t>
  </si>
  <si>
    <t>Commitment</t>
  </si>
  <si>
    <t>Dividend Payment</t>
  </si>
  <si>
    <t>Retained Earnings</t>
  </si>
  <si>
    <t>FCFE</t>
  </si>
  <si>
    <t>Share Capital</t>
  </si>
  <si>
    <t xml:space="preserve">Shares Outstanding </t>
  </si>
  <si>
    <t>Issued</t>
  </si>
  <si>
    <t>FV</t>
  </si>
  <si>
    <t>Dividend Amount</t>
  </si>
  <si>
    <t>FY 25</t>
  </si>
  <si>
    <t>FY 26</t>
  </si>
  <si>
    <t>FY 27</t>
  </si>
  <si>
    <t>FY 28</t>
  </si>
  <si>
    <t>FY 29</t>
  </si>
  <si>
    <t>FY 30</t>
  </si>
  <si>
    <t>I. ASSETS</t>
  </si>
  <si>
    <t>A. Non Current Assets</t>
  </si>
  <si>
    <t>a. Properties,Plants &amp; Equipments</t>
  </si>
  <si>
    <t>b. Long Term Investments</t>
  </si>
  <si>
    <t>Total Non - Current Assets</t>
  </si>
  <si>
    <t>B. Current Assets</t>
  </si>
  <si>
    <t>a. Inventory</t>
  </si>
  <si>
    <t>b. Trade Receivables</t>
  </si>
  <si>
    <t>c. Cash &amp; Bank Balances</t>
  </si>
  <si>
    <t>d. Other Current Assets</t>
  </si>
  <si>
    <t>Total Current Assets</t>
  </si>
  <si>
    <t>Total Assets</t>
  </si>
  <si>
    <t>II. EQUITIES &amp; LIABILITIES</t>
  </si>
  <si>
    <t>A. Equity</t>
  </si>
  <si>
    <t>a. Share Capital</t>
  </si>
  <si>
    <t>b. Reserves &amp; Surplus</t>
  </si>
  <si>
    <t>Total Equities</t>
  </si>
  <si>
    <t>B. Non Current Liabilities</t>
  </si>
  <si>
    <t>a. Long Term Loan</t>
  </si>
  <si>
    <t>Total Non Current Liabilities</t>
  </si>
  <si>
    <t>C. Current Liabilities</t>
  </si>
  <si>
    <t>a. Trade Payables</t>
  </si>
  <si>
    <t>b. Other Current Liabilities</t>
  </si>
  <si>
    <t>Total Current Liabilities</t>
  </si>
  <si>
    <t>Total Equities &amp; Liabilities</t>
  </si>
  <si>
    <t>Check</t>
  </si>
  <si>
    <t>Investments</t>
  </si>
  <si>
    <t>In X Ltd</t>
  </si>
  <si>
    <t>No. of Shares</t>
  </si>
  <si>
    <t>Investment Amount</t>
  </si>
  <si>
    <t>Sales Amount</t>
  </si>
  <si>
    <t>Closing Amount</t>
  </si>
  <si>
    <t>Opening Units</t>
  </si>
  <si>
    <t>Addition Units</t>
  </si>
  <si>
    <t>Sales Units</t>
  </si>
  <si>
    <t>Closing Units</t>
  </si>
  <si>
    <t>Opening Amount</t>
  </si>
  <si>
    <t>Addition Amount</t>
  </si>
  <si>
    <t>Market Value</t>
  </si>
  <si>
    <t>Cost of Sales</t>
  </si>
  <si>
    <t>Profit/Loss</t>
  </si>
  <si>
    <t>Capital Gain</t>
  </si>
  <si>
    <t>Total Other Income</t>
  </si>
  <si>
    <t>Trade Payables</t>
  </si>
  <si>
    <t>Total Purchase</t>
  </si>
  <si>
    <t>Trade Receivables</t>
  </si>
  <si>
    <t>Total Sales</t>
  </si>
  <si>
    <t>Breakup of Purchases into Cash &amp; Credit</t>
  </si>
  <si>
    <t>Breakup of Sales into Cash &amp; Credit</t>
  </si>
  <si>
    <t>Additions</t>
  </si>
  <si>
    <t>Receipt</t>
  </si>
  <si>
    <t>Cash Balances</t>
  </si>
  <si>
    <t>PPE Purchase</t>
  </si>
  <si>
    <t>Revenue proceeds</t>
  </si>
  <si>
    <t>Purchase payment</t>
  </si>
  <si>
    <t>Debtor Recovery</t>
  </si>
  <si>
    <t>Creditors Payment</t>
  </si>
  <si>
    <t>Investment Purchase</t>
  </si>
  <si>
    <t>Investment Sales</t>
  </si>
  <si>
    <t>Dividend income</t>
  </si>
  <si>
    <t>Closing Balance</t>
  </si>
  <si>
    <t>Reserves &amp; Surplus</t>
  </si>
  <si>
    <t xml:space="preserve">Utilisation </t>
  </si>
  <si>
    <t>Tax Payment</t>
  </si>
  <si>
    <t>SG&amp;A Payment</t>
  </si>
  <si>
    <t>Interest Payment</t>
  </si>
  <si>
    <t>Cash (98%)</t>
  </si>
  <si>
    <t>Other Current Assets</t>
  </si>
  <si>
    <t>Other Current Liabilities</t>
  </si>
  <si>
    <t>Axis Loan @8%</t>
  </si>
  <si>
    <t>Cash (90%)</t>
  </si>
  <si>
    <t>Credit(10%)</t>
  </si>
  <si>
    <t>Cash Flow from Operating Activities</t>
  </si>
  <si>
    <t>I</t>
  </si>
  <si>
    <t>Net profit before tax and changes in Working Capital</t>
  </si>
  <si>
    <t>Add : Non Cash Items included in P&amp;L</t>
  </si>
  <si>
    <t>Depreciation</t>
  </si>
  <si>
    <t>Add/(Less):Items in Op Activities pertaining to other heads</t>
  </si>
  <si>
    <t>Finance Cost</t>
  </si>
  <si>
    <t>Adjustment for changes in Working capital</t>
  </si>
  <si>
    <t>(Increase)/Decrease in Trade Receivables</t>
  </si>
  <si>
    <t>(Increase)/Decrease in Inventory</t>
  </si>
  <si>
    <t>Increase/(Decrease) in Trade Payables</t>
  </si>
  <si>
    <t>Increase/(Decrease) in Other Current Liabilities</t>
  </si>
  <si>
    <t>Less : Taxes Paid</t>
  </si>
  <si>
    <t>Total of Operating Activity</t>
  </si>
  <si>
    <t>II.</t>
  </si>
  <si>
    <t>Cash Flow from Investing Activities</t>
  </si>
  <si>
    <t>Purchase of investment</t>
  </si>
  <si>
    <t>Purchase of PPE &amp; Intangible Assets</t>
  </si>
  <si>
    <t>Redemption of investment</t>
  </si>
  <si>
    <t>Total of Investing Activity</t>
  </si>
  <si>
    <t>III.</t>
  </si>
  <si>
    <t>Cash Flow from Financing Activities</t>
  </si>
  <si>
    <t>Interest Paid</t>
  </si>
  <si>
    <t>Dividend Paid</t>
  </si>
  <si>
    <t>Loan Availed</t>
  </si>
  <si>
    <t>Loan Repaid</t>
  </si>
  <si>
    <t>Issue of equity shares</t>
  </si>
  <si>
    <t>Total of Financing Activity</t>
  </si>
  <si>
    <t>IV.</t>
  </si>
  <si>
    <t>Total cash flow from all activities</t>
  </si>
  <si>
    <t>V.</t>
  </si>
  <si>
    <t>Add: Opening Cash &amp; Cash Equivalent</t>
  </si>
  <si>
    <t>VI.</t>
  </si>
  <si>
    <t>Cash &amp; Cash Equivalent at end of period</t>
  </si>
  <si>
    <t>Gain from Sale of Shares</t>
  </si>
  <si>
    <t>(Increase)/Decrease in Other Current Assets</t>
  </si>
  <si>
    <t>Profit from sale of investment</t>
  </si>
  <si>
    <t>Borrowing availed</t>
  </si>
  <si>
    <t>Borrowing repaid</t>
  </si>
  <si>
    <t>Closing as per Balance Sheet</t>
  </si>
  <si>
    <t>Properties, Plants &amp; Equipments</t>
  </si>
  <si>
    <t>Borrowings</t>
  </si>
  <si>
    <t>Investment in Shares of X Ltd</t>
  </si>
  <si>
    <t>The shares were purchased/sold at start of relevant FY. The shares were sold on FIFO basis</t>
  </si>
  <si>
    <t>The dividend on shares were realised in cash and to be recorded in Other Income. Also, the gain/loss on sale to be appropriately recognised in P&amp;L.</t>
  </si>
  <si>
    <t>Closing unit to be valued at current years purchase price</t>
  </si>
  <si>
    <t>Share Capital &amp; Reserves &amp; Surplus</t>
  </si>
  <si>
    <t>The Reserves would be accumulated for all years.</t>
  </si>
  <si>
    <t>Income &amp; Expenses Related Inputs</t>
  </si>
  <si>
    <t>Other Working Capital</t>
  </si>
  <si>
    <t>Basis above and also on the basis of  %age of  total sales/purchase on credit, closing balances can be ascertained for Trade Receivables and Trade Payables</t>
  </si>
  <si>
    <t>Following are the schedule of recoveries from and payments to outstanding creditors and trade receivables (Please note that this is not the closing balance):</t>
  </si>
  <si>
    <t>Cash &amp; Bank Balances</t>
  </si>
  <si>
    <t>Other Closing Balances are as follows :</t>
  </si>
  <si>
    <t>Initial Investment</t>
  </si>
  <si>
    <t>Year 1</t>
  </si>
  <si>
    <t>Year 2</t>
  </si>
  <si>
    <t>Year 3</t>
  </si>
  <si>
    <t>Year 4</t>
  </si>
  <si>
    <t>Year 5</t>
  </si>
  <si>
    <t>Project A</t>
  </si>
  <si>
    <t>Project B</t>
  </si>
  <si>
    <t>Project C</t>
  </si>
  <si>
    <t>Project D</t>
  </si>
  <si>
    <t>c) CALCULATE its internal rate of return.</t>
  </si>
  <si>
    <t>EPS</t>
  </si>
  <si>
    <t>MPS</t>
  </si>
  <si>
    <t>Total Equity</t>
  </si>
  <si>
    <t>Cash Bank</t>
  </si>
  <si>
    <t>Equity Share Capital</t>
  </si>
  <si>
    <t>Extract of Balance Sheet</t>
  </si>
  <si>
    <t>Other Information</t>
  </si>
  <si>
    <t>Calculate the following:</t>
  </si>
  <si>
    <t>FY 24</t>
  </si>
  <si>
    <t>P/E Ratio</t>
  </si>
  <si>
    <t>P/S Ratio</t>
  </si>
  <si>
    <t>EV/EBIDTA</t>
  </si>
  <si>
    <t>Dividend Yield</t>
  </si>
  <si>
    <t>Price to Book Value</t>
  </si>
  <si>
    <t>a) P/E Ratio</t>
  </si>
  <si>
    <t>b) Price to Sales Ratio</t>
  </si>
  <si>
    <t>c) EV/EBIDTA</t>
  </si>
  <si>
    <t>d) Dividend Yield</t>
  </si>
  <si>
    <t>e) Price to Book Value</t>
  </si>
  <si>
    <t>Solution</t>
  </si>
  <si>
    <t>PE Ratio</t>
  </si>
  <si>
    <t>MarketCap</t>
  </si>
  <si>
    <t>Note 1</t>
  </si>
  <si>
    <t>Note 2</t>
  </si>
  <si>
    <t>Note 3</t>
  </si>
  <si>
    <t>EV = Market Cap + Cash- Borrowings</t>
  </si>
  <si>
    <t>Note 4</t>
  </si>
  <si>
    <t>DPS</t>
  </si>
  <si>
    <t>Note 5</t>
  </si>
  <si>
    <t>BVPS</t>
  </si>
  <si>
    <t>Price to Book Value = MPS/BVPS</t>
  </si>
  <si>
    <t>Year</t>
  </si>
  <si>
    <t>Cash Flow</t>
  </si>
  <si>
    <t>Present Value</t>
  </si>
  <si>
    <t>Since NPV is negative , project is not acceptable.</t>
  </si>
  <si>
    <t>c) IRR Calculation</t>
  </si>
  <si>
    <t>IRR=</t>
  </si>
  <si>
    <t>d) Payback period</t>
  </si>
  <si>
    <t>Cumulative Cash Flow</t>
  </si>
  <si>
    <t>Inflow</t>
  </si>
  <si>
    <t>Solution 1 A)</t>
  </si>
  <si>
    <t>Sensitivity Analysis at 0.5%</t>
  </si>
  <si>
    <t>Rate</t>
  </si>
  <si>
    <t>Cost of Equity</t>
  </si>
  <si>
    <t>Rf</t>
  </si>
  <si>
    <t>Beta</t>
  </si>
  <si>
    <t>Rm</t>
  </si>
  <si>
    <t>WACC</t>
  </si>
  <si>
    <t>Source</t>
  </si>
  <si>
    <t>Equity</t>
  </si>
  <si>
    <t>Debt</t>
  </si>
  <si>
    <t>Cost of Capital</t>
  </si>
  <si>
    <t>PBT</t>
  </si>
  <si>
    <t>Add: Non Cash Charges</t>
  </si>
  <si>
    <t>Add: Interest Net of Taxes</t>
  </si>
  <si>
    <t>FCFF</t>
  </si>
  <si>
    <t>For a company for which the going-concern assumption is not valid, the most appropriate valuation approach would be to calculate its:</t>
  </si>
  <si>
    <t>B. dividend discount model value.</t>
  </si>
  <si>
    <t>C. liquidation value.</t>
  </si>
  <si>
    <t>Which of the following is not one of the five elements of industry structure as developed by Professor Michael Porter</t>
  </si>
  <si>
    <t>A. 17.50%</t>
  </si>
  <si>
    <t>C. Cost of Debentures</t>
  </si>
  <si>
    <t>A. Operating Activities</t>
  </si>
  <si>
    <t>B. Financing Activities</t>
  </si>
  <si>
    <t>C. Investing Activities</t>
  </si>
  <si>
    <t>D. None of the above</t>
  </si>
  <si>
    <t>What is the Internal rate of return for a project having cash flows of Rs 40,000 per year for 10 years and a cost of Rs 2,26,009?</t>
  </si>
  <si>
    <t>A. 9%</t>
  </si>
  <si>
    <t>B. 10%</t>
  </si>
  <si>
    <t>C. 11%</t>
  </si>
  <si>
    <t>D. 12%</t>
  </si>
  <si>
    <t>Net Cash Inflow</t>
  </si>
  <si>
    <t>i. Calculate Payback Period of the project</t>
  </si>
  <si>
    <t>iii. Calculate Internal Rate of Return</t>
  </si>
  <si>
    <t>i. Payback Period</t>
  </si>
  <si>
    <t>Cumulative</t>
  </si>
  <si>
    <t>Payback period</t>
  </si>
  <si>
    <t>PV</t>
  </si>
  <si>
    <t>iii. IRR</t>
  </si>
  <si>
    <t>Other Information:</t>
  </si>
  <si>
    <t>E</t>
  </si>
  <si>
    <t>D1</t>
  </si>
  <si>
    <t>D2</t>
  </si>
  <si>
    <t>Weights</t>
  </si>
  <si>
    <t>Required:</t>
  </si>
  <si>
    <t>a. Calculate WACC based on information given</t>
  </si>
  <si>
    <t>b. Calculate NPV of the total income using WACC</t>
  </si>
  <si>
    <t>a. WACC</t>
  </si>
  <si>
    <t>b. NPV using WACC</t>
  </si>
  <si>
    <t>PVF@ 11.44%</t>
  </si>
  <si>
    <t>FY 23</t>
  </si>
  <si>
    <t>PV Amount</t>
  </si>
  <si>
    <t>Casdh Flow</t>
  </si>
  <si>
    <t>c. If Market Return is reduces by 1% and beta is 0.45, NPV:</t>
  </si>
  <si>
    <t>c. If market return on equity reduces by 1% and risk free rate of return reduces by 0.5% and beta revised to 0.45, what will be the net NPV of the project?</t>
  </si>
  <si>
    <t>Since all projects are negative, none is viable.</t>
  </si>
  <si>
    <t>If increase by 0.5%</t>
  </si>
  <si>
    <t>If decrease by 0.5%</t>
  </si>
  <si>
    <t>Q1B</t>
  </si>
  <si>
    <t>FY 20</t>
  </si>
  <si>
    <t>FY 21</t>
  </si>
  <si>
    <t>FY 22</t>
  </si>
  <si>
    <t>B. 16.88%</t>
  </si>
  <si>
    <t>C. 11.25%</t>
  </si>
  <si>
    <t>D</t>
  </si>
  <si>
    <t>B. Bargaining power of Customers</t>
  </si>
  <si>
    <t>C. Competitors rivalry</t>
  </si>
  <si>
    <t>D. 10.92%</t>
  </si>
  <si>
    <t>A. Cost of Borrowings from Banks</t>
  </si>
  <si>
    <t>D. Cost of Related Party Loan</t>
  </si>
  <si>
    <t>Which of the following cost of capital does not requires to adjust taxes?</t>
  </si>
  <si>
    <t>Solutions</t>
  </si>
  <si>
    <t>Credit(2%)</t>
  </si>
  <si>
    <t>All purchases made on 1st day of respective year. (Round off depreciation to -2 in formula)</t>
  </si>
  <si>
    <t xml:space="preserve">Dividend Income on investment will be Rs 25 in year 1 and will increase by 10% thereafter. </t>
  </si>
  <si>
    <t>Sales from Office Bag</t>
  </si>
  <si>
    <t>Sales from School Bag</t>
  </si>
  <si>
    <t>Round off Unit for Sale and Purchase of items to 2 decimal (i.e. put -2 in roundoff formula) and Price for Sale and Purchase of items to 1 decimal (i.e. put -1 in roundoff formula)</t>
  </si>
  <si>
    <t>A. residual income model value</t>
  </si>
  <si>
    <t>Less : Tax (20%)</t>
  </si>
  <si>
    <t>Since NPV is positive, project is acceptable.</t>
  </si>
  <si>
    <t>Since Break Even is at 6th Year , Payback Period is 6</t>
  </si>
  <si>
    <t>a) NPV at 8% discount rate</t>
  </si>
  <si>
    <t>PVF @8%</t>
  </si>
  <si>
    <t>FY 19</t>
  </si>
  <si>
    <t>d. FCFF</t>
  </si>
  <si>
    <t>e. If there are capital commitment in FY 21 to FY 26 of Rs 20 lac each year , what will be FCFF?</t>
  </si>
  <si>
    <t>e. FCFF if capital commitment</t>
  </si>
  <si>
    <t>Less: Capital Commitment</t>
  </si>
  <si>
    <t>FCFF beforer commitment</t>
  </si>
  <si>
    <t>PVF @12%</t>
  </si>
  <si>
    <t>PVF @18%</t>
  </si>
  <si>
    <t>A) Following is the income statement of Remco Ltd:</t>
  </si>
  <si>
    <t>Q1</t>
  </si>
  <si>
    <t>Q1 A)</t>
  </si>
  <si>
    <t>Q1C</t>
  </si>
  <si>
    <t>5 Marks</t>
  </si>
  <si>
    <t>Q2 C)</t>
  </si>
  <si>
    <t>Income Statement</t>
  </si>
  <si>
    <t>(i) Calculate Free Cash Flow to Equity (FCFF) for all years using Profit Before Tax as base (assuming no working capital and fixed investment and  Depreciation is the only non cash item and Interest is paid to borrowers , so consider interest net of tax while calculating FCFF)</t>
  </si>
  <si>
    <t>(ii)</t>
  </si>
  <si>
    <t xml:space="preserve">(ii) Compute WACC from above Income Statement assuming there are two sources- Debt and Equity and Debt quity structure is 1:2. (Risk Free Rate 7.5%, Beta – 0.75 and Market Return is 15%)	</t>
  </si>
  <si>
    <t>(i) FCFF</t>
  </si>
  <si>
    <t>(ii) WACC</t>
  </si>
  <si>
    <t>Mix</t>
  </si>
  <si>
    <t>Q2 B)</t>
  </si>
  <si>
    <t>Q2A)</t>
  </si>
  <si>
    <t>3 Marks</t>
  </si>
  <si>
    <t>2 Marks</t>
  </si>
  <si>
    <t>Compute the Current Value of Company's Share using Gordon Growth Model</t>
  </si>
  <si>
    <t>D0</t>
  </si>
  <si>
    <t>g</t>
  </si>
  <si>
    <t>r</t>
  </si>
  <si>
    <t>Value</t>
  </si>
  <si>
    <t>(i)</t>
  </si>
  <si>
    <t>V0</t>
  </si>
  <si>
    <t>(iii)</t>
  </si>
  <si>
    <t>If in sub question (i) above, growth rate is revised to 7% and beta is revised to 0.8, what will be the value of shares?</t>
  </si>
  <si>
    <t>1 Marks</t>
  </si>
  <si>
    <t>Q4 C)</t>
  </si>
  <si>
    <t>Compute the value of stock for the following years using given inputs</t>
  </si>
  <si>
    <t>Company A</t>
  </si>
  <si>
    <t>Company B</t>
  </si>
  <si>
    <t>Company C</t>
  </si>
  <si>
    <t>Company D</t>
  </si>
  <si>
    <t>Company E</t>
  </si>
  <si>
    <t>Risk Free Rate</t>
  </si>
  <si>
    <t>Risk Premium</t>
  </si>
  <si>
    <t>Dividend Growth</t>
  </si>
  <si>
    <t>Dividend Current</t>
  </si>
  <si>
    <t>Less: Interest (10%)</t>
  </si>
  <si>
    <t>If the risk-free rate of return equals 7.5%. The firm’s beta equals 0.50 and the return on the market portfolio equals to 15%. What is Cost of Equity?</t>
  </si>
  <si>
    <t>D. 15.00%</t>
  </si>
  <si>
    <t>Given: risk-free rate of return = 6.5%; market return = 15%; cost of equity = 13.30%; value of beta (β) is:</t>
  </si>
  <si>
    <t>A. 0.9</t>
  </si>
  <si>
    <t>B. 0.8</t>
  </si>
  <si>
    <t>C. 1.1</t>
  </si>
  <si>
    <t>D. 0.85</t>
  </si>
  <si>
    <t>A company has a financial structure where equity is 60% of its total debt plus equity. Its cost of equity is 9.5% and gross loan interest is 8%. Corporation tax is paid at 25%. What is the company’s weighted average cost of capital (WACC)?</t>
  </si>
  <si>
    <t>A. 8.20%</t>
  </si>
  <si>
    <t>B. 8.00%</t>
  </si>
  <si>
    <t>C. 8.10%</t>
  </si>
  <si>
    <t>D. 8.15%</t>
  </si>
  <si>
    <t>Assume cash outflow equals Rs 1,60,000 followed by cash inflows of Rs 45,000 per year for 10 years and a cost of capital of 14%. What is the Net present value?</t>
  </si>
  <si>
    <t>A. Rs 74,725</t>
  </si>
  <si>
    <t>B. Rs 91,653</t>
  </si>
  <si>
    <t>C. Rs 28,653</t>
  </si>
  <si>
    <t>D. Rs (74,725)</t>
  </si>
  <si>
    <t>A. Bargaining power of Suppliers</t>
  </si>
  <si>
    <t>D. Threats of New Regulation</t>
  </si>
  <si>
    <t>A Company has 10,000 debenture issued at 15% rate having face value of Rs 100 issued at Rs 103. If tax rate is 25%. What is Cost of Debt (Kd)?</t>
  </si>
  <si>
    <t>A. 10.50%</t>
  </si>
  <si>
    <t>B. 15.00%</t>
  </si>
  <si>
    <t>B. Cost of Preference Shares,</t>
  </si>
  <si>
    <t>Interest paid on Loan from group company will be recorded under which activity of Cash Flow Statement?</t>
  </si>
  <si>
    <t>Q4 B) For Remco Ltd , compute the required ratio, FCFE and Cost of Capital as specified in following sub questions :</t>
  </si>
  <si>
    <t>4 B)</t>
  </si>
  <si>
    <t>Peter started a business of Bags- Office Bags and School Bags . Using following information, please fill the missing values for the projected financials statements</t>
  </si>
  <si>
    <t>Office Bag sale will be 2,000 unit at Rs 2,500 in year 1. The unit will increase at 15% and sale price will increase at 8% thereafter</t>
  </si>
  <si>
    <t>School Bag sale will be 1,500 unit at Rs 800 in year 1. The unit will increase at 12% and sale price will increase at 8% thereafter</t>
  </si>
  <si>
    <t>Office Bag purchase will be 3,000 unit at Rs 1,500 in year 1. The unit will increase at 11% year on year. The sale price will increase at 8% year on year</t>
  </si>
  <si>
    <t>School Bag purchase will be 1,800 unit at Rs 500 in year 1. The unit will increase at 13% and sale price will increase at 8% thereafter</t>
  </si>
  <si>
    <t>Out of total Sales of Bags, 98% will be in cash and 2% will be on Credit.</t>
  </si>
  <si>
    <t>Out of total purchases of Bags, 90% will be in cash and 10% will be on Credit.</t>
  </si>
  <si>
    <t>Sales Commission on Office Bag is 2% of Sale from Office Bag and on School Bag it is 1% on sales from School Bag</t>
  </si>
  <si>
    <t>Other Operating Expenses are 1% of total revenue from Sale of both Bags</t>
  </si>
  <si>
    <t>Tax Rate is 22% for all year</t>
  </si>
  <si>
    <t>Machinery worth Rs 25 lac was purchased in year 1 - Depreciated at 10% pa as per WDV Method</t>
  </si>
  <si>
    <t>Furniture worth Rs 8 lac purchased in Year 1 and additional of Rs 2 lac in Year 3- Depreciated at 10% wdv method.</t>
  </si>
  <si>
    <t>The Company purchased 6,000 shares of X Ltd in year 1 at Rs 60 per share. The Company further purchased 1,200 shares in FY 28 at Rs 135 per share.</t>
  </si>
  <si>
    <t>The Company further sold 4,000 shares at Rs 175 in FY 29.</t>
  </si>
  <si>
    <t>Company availed loan from HDFC @ 8% interest rate for Rs 40 lac. The loan will be paid in 5 equal annual instalment from start of year 2.</t>
  </si>
  <si>
    <t>Company also availed loan from Axis Bank @ 8% interest rate for Rs 10 lac in FY 26 which was fully repaid on 1st day of in FY 29</t>
  </si>
  <si>
    <t>Company issued 3 lac equity shares at rs 10 each fully paid up. No further shares issued.</t>
  </si>
  <si>
    <t>The dividend declared in year 1 is Rs 0.5 per share and is expected to increase by 10%.</t>
  </si>
  <si>
    <t>Office Bag</t>
  </si>
  <si>
    <t>School Bag</t>
  </si>
  <si>
    <t>Furniture</t>
  </si>
  <si>
    <t>Q4A</t>
  </si>
  <si>
    <t>Q4</t>
  </si>
  <si>
    <t>Arman Ltd recently paid dividend of Rs 35. The dividend rate is expected to grow at constant rate of 8%. The Risk Free rate is considered to be 7.5% and Market Return to be 18% and the beta of the firm to be 0.65.</t>
  </si>
  <si>
    <t>Compute the implied growth rate if Current price is Rs 530 and latest dividend paid is Rs 50 and required rate of return is Rs 16%.</t>
  </si>
  <si>
    <t>Less : Tax (25%)</t>
  </si>
  <si>
    <t>Aroma Ltd. is a company situated in Gujarat that is currently analyzing capital expenditure proposals for the purchase of machinery; the company uses the net present value technique to evaluate projects. The capital budget is limited to Rs 15,00,000 which Aroma Ltd. believes is the maximum capital it can raise. The initial investment and projected net cash flows for each project are shown below. The cost of capital of Aroma Ltd is 13.5%. Compute the NPV of the different projects. Also perform sensitivity analysis if discount rate moves by 0.5%.</t>
  </si>
  <si>
    <t>PVF@13.5%</t>
  </si>
  <si>
    <t>X Limited is considering purchasing of new plant worth Rs 75,00,000. The expected net cash flows after taxes and before depreciation are as follows:</t>
  </si>
  <si>
    <t>ii. Calculated net present value at 11% discounting factor</t>
  </si>
  <si>
    <t>Total outflow is Rs 75,00,000</t>
  </si>
  <si>
    <t>In 6 year - BerakEven</t>
  </si>
  <si>
    <t>ii. NPV at 11%</t>
  </si>
  <si>
    <t>a. The Company has availed 2 loan - one at 8% interest and other at 12% interest. These two debts are in ratio of 1:5</t>
  </si>
  <si>
    <t>b. The debt to equity ratio is 2:1. And total equity share capital is Rs 24,00,000</t>
  </si>
  <si>
    <t>c. Tax rate is 25%</t>
  </si>
  <si>
    <t>d. The risk free interest rate is 8.5% and risk premium is 8% and the beta factor is 0.75</t>
  </si>
  <si>
    <t>e. Consider FY20 as Year 1 and FY 19 as year 0 in which Rs 450 lakhs were invested in the project</t>
  </si>
  <si>
    <t>ABC Company is considering a new product line to supplement its range of products. It is anticipated that the new product line will involve cash investments of Rs 13,00,000 at time 0, Rs 17,00,000 in year 1 and Rs 20,00,000 in year 2. After-tax cash inflows of Rs 4,50,000 are expected in year 2, Rs 9,00,000 in year 3, Rs 10,50,000 in year 4 and Rs 11,50,000 each year thereafter through year 10. Although the product line might be viable even after year 10, the company prefers to be conservative and end all calculations at that time.</t>
  </si>
  <si>
    <t>a) If the required rate of return is 14 per cent, COMPUTE net present value of the project. Is it acceptable?</t>
  </si>
  <si>
    <t>b) ANALYSE what would be the case if the required rate of return were 9 per cent.</t>
  </si>
  <si>
    <t>b) NPV at 9% discount rate</t>
  </si>
  <si>
    <t>PVF @9%</t>
  </si>
  <si>
    <t>Following table depicts the projected income statement of Cartel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</si>
</sst>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 #,##0_ ;_ * \-#,##0_ ;_ * &quot;-&quot;??_ ;_ @_ "/>
    <numFmt numFmtId="165" formatCode="0.0%"/>
    <numFmt numFmtId="166" formatCode="_ * #,##0.0000_ ;_ * \-#,##0.0000_ ;_ * &quot;-&quot;??_ ;_ @_ "/>
    <numFmt numFmtId="167" formatCode="0.0000"/>
    <numFmt numFmtId="168" formatCode="0.0000%"/>
    <numFmt numFmtId="169" formatCode="0.000%"/>
  </numFmts>
  <fonts count="15" x14ac:knownFonts="1">
    <font>
      <sz val="11"/>
      <color theme="1"/>
      <name val="Calibri"/>
      <family val="2"/>
      <scheme val="minor"/>
    </font>
    <font>
      <sz val="11"/>
      <color theme="1"/>
      <name val="Calibri"/>
      <family val="2"/>
      <scheme val="minor"/>
    </font>
    <font>
      <sz val="9"/>
      <color theme="1"/>
      <name val="Tahoma"/>
      <family val="2"/>
    </font>
    <font>
      <sz val="8"/>
      <name val="Calibri"/>
      <family val="2"/>
      <scheme val="minor"/>
    </font>
    <font>
      <b/>
      <sz val="9"/>
      <color theme="1"/>
      <name val="Tahoma"/>
      <family val="2"/>
    </font>
    <font>
      <b/>
      <u/>
      <sz val="9"/>
      <color theme="1"/>
      <name val="Tahoma"/>
      <family val="2"/>
    </font>
    <font>
      <u/>
      <sz val="11"/>
      <color theme="10"/>
      <name val="Calibri"/>
      <family val="2"/>
      <scheme val="minor"/>
    </font>
    <font>
      <i/>
      <sz val="9"/>
      <color theme="1"/>
      <name val="Tahoma"/>
      <family val="2"/>
    </font>
    <font>
      <u/>
      <sz val="9"/>
      <color theme="1"/>
      <name val="Tahoma"/>
      <family val="2"/>
    </font>
    <font>
      <i/>
      <u/>
      <sz val="9"/>
      <color theme="1"/>
      <name val="Tahoma"/>
      <family val="2"/>
    </font>
    <font>
      <b/>
      <i/>
      <sz val="9"/>
      <color theme="1"/>
      <name val="Tahoma"/>
      <family val="2"/>
    </font>
    <font>
      <u/>
      <sz val="9"/>
      <color theme="10"/>
      <name val="Tahoma"/>
      <family val="2"/>
    </font>
    <font>
      <u val="singleAccounting"/>
      <sz val="9"/>
      <color theme="1"/>
      <name val="Tahoma"/>
      <family val="2"/>
    </font>
    <font>
      <sz val="9"/>
      <color theme="1"/>
      <name val="Arial"/>
      <family val="2"/>
    </font>
    <font>
      <b/>
      <sz val="9"/>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148">
    <xf numFmtId="0" fontId="0" fillId="0" borderId="0" xfId="0"/>
    <xf numFmtId="0" fontId="2" fillId="0" borderId="0" xfId="0" applyFont="1" applyAlignment="1">
      <alignment vertical="top"/>
    </xf>
    <xf numFmtId="164" fontId="2" fillId="0" borderId="0" xfId="1" applyNumberFormat="1" applyFont="1" applyAlignment="1">
      <alignment vertical="top"/>
    </xf>
    <xf numFmtId="164" fontId="2" fillId="0" borderId="1" xfId="1" applyNumberFormat="1" applyFont="1" applyBorder="1" applyAlignment="1">
      <alignment vertical="top"/>
    </xf>
    <xf numFmtId="164" fontId="2" fillId="0" borderId="4" xfId="1" applyNumberFormat="1" applyFont="1" applyBorder="1" applyAlignment="1">
      <alignment vertical="top"/>
    </xf>
    <xf numFmtId="164" fontId="2" fillId="0" borderId="6" xfId="1" applyNumberFormat="1" applyFont="1" applyBorder="1" applyAlignment="1">
      <alignment vertical="top"/>
    </xf>
    <xf numFmtId="164" fontId="4" fillId="0" borderId="6" xfId="1" applyNumberFormat="1" applyFont="1" applyBorder="1" applyAlignment="1">
      <alignment vertical="top"/>
    </xf>
    <xf numFmtId="164" fontId="4" fillId="0" borderId="9" xfId="1" applyNumberFormat="1" applyFont="1" applyBorder="1" applyAlignment="1">
      <alignment vertical="top"/>
    </xf>
    <xf numFmtId="164" fontId="2" fillId="0" borderId="11" xfId="1" applyNumberFormat="1" applyFont="1" applyBorder="1" applyAlignment="1">
      <alignment vertical="top"/>
    </xf>
    <xf numFmtId="164" fontId="2" fillId="0" borderId="12" xfId="1" applyNumberFormat="1" applyFont="1" applyBorder="1" applyAlignment="1">
      <alignment vertical="top"/>
    </xf>
    <xf numFmtId="164" fontId="2" fillId="0" borderId="13" xfId="1" applyNumberFormat="1" applyFont="1" applyBorder="1" applyAlignment="1">
      <alignment vertical="top"/>
    </xf>
    <xf numFmtId="164" fontId="4" fillId="0" borderId="12" xfId="1" applyNumberFormat="1" applyFont="1" applyBorder="1" applyAlignment="1">
      <alignment vertical="top"/>
    </xf>
    <xf numFmtId="164" fontId="4" fillId="0" borderId="13" xfId="1" applyNumberFormat="1" applyFont="1" applyBorder="1" applyAlignment="1">
      <alignment vertical="top"/>
    </xf>
    <xf numFmtId="0" fontId="4" fillId="0" borderId="0" xfId="0" applyFont="1" applyAlignment="1">
      <alignment vertical="top"/>
    </xf>
    <xf numFmtId="0" fontId="2" fillId="0" borderId="1" xfId="0" applyFont="1" applyBorder="1" applyAlignment="1">
      <alignment vertical="top"/>
    </xf>
    <xf numFmtId="3" fontId="2" fillId="0" borderId="0" xfId="0" applyNumberFormat="1" applyFont="1" applyAlignment="1">
      <alignment vertical="top"/>
    </xf>
    <xf numFmtId="166" fontId="2" fillId="0" borderId="1" xfId="1" applyNumberFormat="1" applyFont="1" applyBorder="1" applyAlignment="1">
      <alignment vertical="top"/>
    </xf>
    <xf numFmtId="3" fontId="2" fillId="0" borderId="1" xfId="0" applyNumberFormat="1" applyFont="1" applyBorder="1" applyAlignment="1">
      <alignment vertical="top"/>
    </xf>
    <xf numFmtId="0" fontId="4" fillId="0" borderId="1" xfId="0" applyFont="1" applyBorder="1" applyAlignment="1">
      <alignment vertical="top"/>
    </xf>
    <xf numFmtId="164" fontId="4" fillId="0" borderId="1" xfId="1" applyNumberFormat="1" applyFont="1" applyBorder="1" applyAlignment="1">
      <alignment vertical="top"/>
    </xf>
    <xf numFmtId="3" fontId="4" fillId="0" borderId="1" xfId="0" applyNumberFormat="1" applyFont="1" applyBorder="1" applyAlignment="1">
      <alignment horizontal="center" vertical="top"/>
    </xf>
    <xf numFmtId="0" fontId="4" fillId="0" borderId="1" xfId="0" applyFont="1" applyBorder="1" applyAlignment="1">
      <alignment horizontal="center" vertical="top"/>
    </xf>
    <xf numFmtId="10" fontId="2" fillId="0" borderId="0" xfId="2" applyNumberFormat="1" applyFont="1" applyAlignment="1">
      <alignment vertical="top"/>
    </xf>
    <xf numFmtId="164" fontId="2" fillId="0" borderId="1" xfId="0" applyNumberFormat="1" applyFont="1" applyBorder="1" applyAlignment="1">
      <alignment vertical="top"/>
    </xf>
    <xf numFmtId="3" fontId="4" fillId="0" borderId="0" xfId="0" applyNumberFormat="1" applyFont="1" applyAlignment="1">
      <alignment vertical="top"/>
    </xf>
    <xf numFmtId="167" fontId="2" fillId="0" borderId="0" xfId="0" applyNumberFormat="1" applyFont="1" applyAlignment="1">
      <alignment vertical="top"/>
    </xf>
    <xf numFmtId="0" fontId="5" fillId="0" borderId="0" xfId="0" applyFont="1" applyAlignment="1">
      <alignment vertical="top"/>
    </xf>
    <xf numFmtId="10" fontId="2" fillId="0" borderId="1" xfId="0" applyNumberFormat="1" applyFont="1" applyBorder="1" applyAlignment="1">
      <alignment vertical="top"/>
    </xf>
    <xf numFmtId="164" fontId="4" fillId="0" borderId="0" xfId="1" applyNumberFormat="1" applyFont="1" applyBorder="1" applyAlignment="1">
      <alignment vertical="top"/>
    </xf>
    <xf numFmtId="164" fontId="2" fillId="0" borderId="0" xfId="1" applyNumberFormat="1" applyFont="1" applyBorder="1" applyAlignment="1">
      <alignment vertical="top"/>
    </xf>
    <xf numFmtId="164" fontId="2" fillId="0" borderId="0" xfId="0" applyNumberFormat="1" applyFont="1" applyAlignment="1">
      <alignment vertical="top"/>
    </xf>
    <xf numFmtId="43" fontId="2" fillId="0" borderId="0" xfId="0" applyNumberFormat="1" applyFont="1" applyAlignment="1">
      <alignment vertical="top"/>
    </xf>
    <xf numFmtId="0" fontId="4" fillId="2" borderId="1" xfId="0" applyFont="1" applyFill="1" applyBorder="1" applyAlignment="1">
      <alignment horizontal="center" vertical="top"/>
    </xf>
    <xf numFmtId="164" fontId="4" fillId="2" borderId="1" xfId="1" applyNumberFormat="1" applyFont="1" applyFill="1" applyBorder="1" applyAlignment="1">
      <alignment horizontal="center" vertical="top"/>
    </xf>
    <xf numFmtId="164" fontId="4" fillId="2" borderId="10" xfId="1" applyNumberFormat="1" applyFont="1" applyFill="1" applyBorder="1" applyAlignment="1">
      <alignment horizontal="center" vertical="top"/>
    </xf>
    <xf numFmtId="0" fontId="4" fillId="0" borderId="11" xfId="0" applyFont="1" applyBorder="1" applyAlignment="1">
      <alignment vertical="top"/>
    </xf>
    <xf numFmtId="0" fontId="4" fillId="0" borderId="12" xfId="0" applyFont="1" applyBorder="1" applyAlignment="1">
      <alignment vertical="top"/>
    </xf>
    <xf numFmtId="0" fontId="2" fillId="0" borderId="12" xfId="0" applyFont="1" applyBorder="1" applyAlignment="1">
      <alignment vertical="top"/>
    </xf>
    <xf numFmtId="0" fontId="7" fillId="0" borderId="13" xfId="0" applyFont="1" applyBorder="1" applyAlignment="1">
      <alignment vertical="top"/>
    </xf>
    <xf numFmtId="164" fontId="2" fillId="0" borderId="7" xfId="1" applyNumberFormat="1" applyFont="1" applyBorder="1" applyAlignment="1">
      <alignment vertical="top"/>
    </xf>
    <xf numFmtId="164" fontId="2" fillId="0" borderId="9" xfId="1" applyNumberFormat="1" applyFont="1" applyBorder="1" applyAlignment="1">
      <alignment vertical="top"/>
    </xf>
    <xf numFmtId="0" fontId="2" fillId="0" borderId="11" xfId="0" applyFont="1" applyBorder="1" applyAlignment="1">
      <alignment vertical="top"/>
    </xf>
    <xf numFmtId="164" fontId="4" fillId="0" borderId="10" xfId="1" applyNumberFormat="1" applyFont="1" applyBorder="1" applyAlignment="1">
      <alignment vertical="top"/>
    </xf>
    <xf numFmtId="0" fontId="4" fillId="2" borderId="1" xfId="0" applyFont="1" applyFill="1" applyBorder="1" applyAlignment="1">
      <alignment horizontal="center" vertical="top" wrapText="1"/>
    </xf>
    <xf numFmtId="0" fontId="4" fillId="0" borderId="12" xfId="0" applyFont="1" applyBorder="1" applyAlignment="1">
      <alignment horizontal="right" vertical="top"/>
    </xf>
    <xf numFmtId="0" fontId="2" fillId="0" borderId="12" xfId="0" applyFont="1" applyBorder="1" applyAlignment="1">
      <alignment horizontal="right" vertical="top"/>
    </xf>
    <xf numFmtId="0" fontId="2" fillId="0" borderId="0" xfId="0" applyFont="1" applyAlignment="1">
      <alignment vertical="top" wrapText="1"/>
    </xf>
    <xf numFmtId="0" fontId="8" fillId="0" borderId="0" xfId="0" applyFont="1" applyAlignment="1">
      <alignment vertical="top"/>
    </xf>
    <xf numFmtId="0" fontId="9" fillId="0" borderId="0" xfId="0" applyFont="1" applyAlignment="1">
      <alignment vertical="top"/>
    </xf>
    <xf numFmtId="0" fontId="10" fillId="0" borderId="13" xfId="0" applyFont="1" applyBorder="1" applyAlignment="1">
      <alignment horizontal="right" vertical="top"/>
    </xf>
    <xf numFmtId="0" fontId="10" fillId="0" borderId="8" xfId="0" applyFont="1" applyBorder="1" applyAlignment="1">
      <alignment vertical="top"/>
    </xf>
    <xf numFmtId="0" fontId="4" fillId="0" borderId="1" xfId="0" applyFont="1" applyBorder="1" applyAlignment="1">
      <alignment horizontal="right" vertical="top"/>
    </xf>
    <xf numFmtId="0" fontId="4" fillId="0" borderId="15" xfId="0" applyFont="1" applyBorder="1" applyAlignment="1">
      <alignment vertical="top"/>
    </xf>
    <xf numFmtId="0" fontId="2" fillId="0" borderId="2" xfId="0" applyFont="1" applyBorder="1" applyAlignment="1">
      <alignment horizontal="right" vertical="top"/>
    </xf>
    <xf numFmtId="0" fontId="2" fillId="0" borderId="2" xfId="0" applyFont="1" applyBorder="1" applyAlignment="1">
      <alignment vertical="top"/>
    </xf>
    <xf numFmtId="0" fontId="2" fillId="0" borderId="5" xfId="0" applyFont="1" applyBorder="1" applyAlignment="1">
      <alignment horizontal="right" vertical="top"/>
    </xf>
    <xf numFmtId="0" fontId="2" fillId="0" borderId="5" xfId="0" applyFont="1" applyBorder="1" applyAlignment="1">
      <alignment vertical="top"/>
    </xf>
    <xf numFmtId="0" fontId="10" fillId="0" borderId="5" xfId="0" applyFont="1" applyBorder="1" applyAlignment="1">
      <alignment horizontal="right" vertical="top"/>
    </xf>
    <xf numFmtId="0" fontId="10" fillId="0" borderId="5" xfId="0" applyFont="1" applyBorder="1" applyAlignment="1">
      <alignment vertical="top"/>
    </xf>
    <xf numFmtId="0" fontId="4" fillId="0" borderId="14" xfId="0" applyFont="1" applyBorder="1" applyAlignment="1">
      <alignment vertical="top"/>
    </xf>
    <xf numFmtId="0" fontId="2" fillId="0" borderId="11" xfId="0" applyFont="1" applyBorder="1" applyAlignment="1">
      <alignment horizontal="right" vertical="top"/>
    </xf>
    <xf numFmtId="0" fontId="2" fillId="0" borderId="3" xfId="0" applyFont="1" applyBorder="1" applyAlignment="1">
      <alignment vertical="top"/>
    </xf>
    <xf numFmtId="0" fontId="2" fillId="0" borderId="1" xfId="0" applyFont="1" applyBorder="1" applyAlignment="1">
      <alignment horizontal="right" vertical="top"/>
    </xf>
    <xf numFmtId="0" fontId="2" fillId="0" borderId="15" xfId="0" applyFont="1" applyBorder="1" applyAlignment="1">
      <alignment vertical="top"/>
    </xf>
    <xf numFmtId="0" fontId="2" fillId="0" borderId="0" xfId="0" applyFont="1" applyAlignment="1">
      <alignment horizontal="right" vertical="top"/>
    </xf>
    <xf numFmtId="164" fontId="2" fillId="0" borderId="1" xfId="1" applyNumberFormat="1" applyFont="1" applyFill="1" applyBorder="1" applyAlignment="1">
      <alignment vertical="top"/>
    </xf>
    <xf numFmtId="164" fontId="2" fillId="0" borderId="0" xfId="1" applyNumberFormat="1" applyFont="1" applyFill="1" applyAlignment="1">
      <alignment vertical="top"/>
    </xf>
    <xf numFmtId="164" fontId="4" fillId="0" borderId="0" xfId="1" applyNumberFormat="1" applyFont="1" applyFill="1" applyAlignment="1">
      <alignment vertical="top"/>
    </xf>
    <xf numFmtId="9" fontId="2" fillId="0" borderId="0" xfId="0" applyNumberFormat="1" applyFont="1" applyAlignment="1">
      <alignment vertical="top"/>
    </xf>
    <xf numFmtId="0" fontId="4" fillId="3" borderId="1" xfId="0" applyFont="1" applyFill="1" applyBorder="1" applyAlignment="1">
      <alignment horizontal="left" vertical="top"/>
    </xf>
    <xf numFmtId="164" fontId="4" fillId="3" borderId="1" xfId="1" applyNumberFormat="1" applyFont="1" applyFill="1" applyBorder="1" applyAlignment="1">
      <alignment horizontal="left" vertical="top"/>
    </xf>
    <xf numFmtId="0" fontId="2" fillId="0" borderId="1" xfId="0" applyFont="1" applyBorder="1" applyAlignment="1">
      <alignment horizontal="left" vertical="top"/>
    </xf>
    <xf numFmtId="164" fontId="2" fillId="0" borderId="1" xfId="1" applyNumberFormat="1" applyFont="1" applyBorder="1" applyAlignment="1">
      <alignment horizontal="left" vertical="top"/>
    </xf>
    <xf numFmtId="164" fontId="2" fillId="0" borderId="1" xfId="1" applyNumberFormat="1" applyFont="1" applyFill="1" applyBorder="1" applyAlignment="1">
      <alignment horizontal="left" vertical="top"/>
    </xf>
    <xf numFmtId="0" fontId="4" fillId="0" borderId="1" xfId="0" applyFont="1" applyBorder="1" applyAlignment="1">
      <alignment horizontal="left" vertical="top"/>
    </xf>
    <xf numFmtId="164" fontId="4" fillId="0" borderId="1" xfId="1" applyNumberFormat="1" applyFont="1" applyBorder="1" applyAlignment="1">
      <alignment horizontal="left" vertical="top"/>
    </xf>
    <xf numFmtId="164" fontId="4" fillId="0" borderId="1" xfId="0" applyNumberFormat="1" applyFont="1" applyBorder="1" applyAlignment="1">
      <alignment vertical="top"/>
    </xf>
    <xf numFmtId="9" fontId="2" fillId="0" borderId="0" xfId="2" applyFont="1" applyAlignment="1">
      <alignment vertical="top"/>
    </xf>
    <xf numFmtId="43" fontId="2" fillId="0" borderId="0" xfId="1" applyFont="1" applyAlignment="1">
      <alignment vertical="top"/>
    </xf>
    <xf numFmtId="165" fontId="2" fillId="0" borderId="0" xfId="2" applyNumberFormat="1" applyFont="1" applyAlignment="1">
      <alignment vertical="top"/>
    </xf>
    <xf numFmtId="10" fontId="2" fillId="0" borderId="0" xfId="0" applyNumberFormat="1" applyFont="1" applyAlignment="1">
      <alignment vertical="top"/>
    </xf>
    <xf numFmtId="168" fontId="2" fillId="0" borderId="0" xfId="0" applyNumberFormat="1" applyFont="1" applyAlignment="1">
      <alignment vertical="top"/>
    </xf>
    <xf numFmtId="169" fontId="2" fillId="0" borderId="0" xfId="0" applyNumberFormat="1" applyFont="1" applyAlignment="1">
      <alignment vertical="top"/>
    </xf>
    <xf numFmtId="10" fontId="4" fillId="0" borderId="0" xfId="0" applyNumberFormat="1" applyFont="1" applyAlignment="1">
      <alignment vertical="top"/>
    </xf>
    <xf numFmtId="2" fontId="2" fillId="0" borderId="0" xfId="0" applyNumberFormat="1" applyFont="1" applyAlignment="1">
      <alignment vertical="top"/>
    </xf>
    <xf numFmtId="0" fontId="2" fillId="4" borderId="0" xfId="0" applyFont="1" applyFill="1" applyAlignment="1">
      <alignment vertical="top"/>
    </xf>
    <xf numFmtId="0" fontId="11" fillId="0" borderId="0" xfId="3" quotePrefix="1" applyFont="1" applyAlignment="1">
      <alignment vertical="top"/>
    </xf>
    <xf numFmtId="164" fontId="4" fillId="0" borderId="1" xfId="1" applyNumberFormat="1" applyFont="1" applyBorder="1" applyAlignment="1">
      <alignment horizontal="center" vertical="top"/>
    </xf>
    <xf numFmtId="167" fontId="2" fillId="0" borderId="1" xfId="0" applyNumberFormat="1" applyFont="1" applyBorder="1" applyAlignment="1">
      <alignment vertical="top"/>
    </xf>
    <xf numFmtId="0" fontId="2" fillId="0" borderId="1" xfId="0" applyFont="1" applyBorder="1" applyAlignment="1">
      <alignment horizontal="center" vertical="top"/>
    </xf>
    <xf numFmtId="164" fontId="2" fillId="0" borderId="1" xfId="1" applyNumberFormat="1" applyFont="1" applyBorder="1" applyAlignment="1">
      <alignment horizontal="center" vertical="top"/>
    </xf>
    <xf numFmtId="0" fontId="4" fillId="0" borderId="1" xfId="0" applyFont="1" applyBorder="1" applyAlignment="1">
      <alignment horizontal="center" vertical="top" wrapText="1"/>
    </xf>
    <xf numFmtId="169" fontId="2" fillId="0" borderId="1" xfId="0" applyNumberFormat="1" applyFont="1" applyBorder="1" applyAlignment="1">
      <alignment vertical="top"/>
    </xf>
    <xf numFmtId="9" fontId="2" fillId="0" borderId="1" xfId="2" applyFont="1" applyBorder="1" applyAlignment="1">
      <alignment vertical="top"/>
    </xf>
    <xf numFmtId="10" fontId="2" fillId="0" borderId="1" xfId="2" applyNumberFormat="1" applyFont="1" applyBorder="1" applyAlignment="1">
      <alignment vertical="top"/>
    </xf>
    <xf numFmtId="10" fontId="4" fillId="0" borderId="1" xfId="0" applyNumberFormat="1" applyFont="1" applyBorder="1" applyAlignment="1">
      <alignment vertical="top"/>
    </xf>
    <xf numFmtId="9" fontId="2" fillId="0" borderId="0" xfId="1" applyNumberFormat="1" applyFont="1" applyAlignment="1">
      <alignment vertical="top"/>
    </xf>
    <xf numFmtId="0" fontId="4" fillId="2" borderId="11" xfId="0" applyFont="1" applyFill="1" applyBorder="1" applyAlignment="1">
      <alignment horizontal="center" vertical="top"/>
    </xf>
    <xf numFmtId="164" fontId="4" fillId="2" borderId="11" xfId="1" applyNumberFormat="1" applyFont="1" applyFill="1" applyBorder="1" applyAlignment="1">
      <alignment horizontal="center" vertical="top"/>
    </xf>
    <xf numFmtId="0" fontId="4" fillId="0" borderId="13" xfId="0" applyFont="1" applyBorder="1" applyAlignment="1">
      <alignment vertical="top"/>
    </xf>
    <xf numFmtId="0" fontId="5" fillId="0" borderId="12" xfId="0" applyFont="1" applyBorder="1" applyAlignment="1">
      <alignment vertical="top"/>
    </xf>
    <xf numFmtId="0" fontId="4" fillId="0" borderId="2" xfId="0" applyFont="1" applyBorder="1" applyAlignment="1">
      <alignment vertical="top"/>
    </xf>
    <xf numFmtId="164" fontId="2" fillId="0" borderId="3" xfId="1" applyNumberFormat="1" applyFont="1" applyBorder="1" applyAlignment="1">
      <alignment vertical="top"/>
    </xf>
    <xf numFmtId="0" fontId="8" fillId="0" borderId="5" xfId="0" applyFont="1" applyBorder="1" applyAlignment="1">
      <alignment vertical="top"/>
    </xf>
    <xf numFmtId="164" fontId="2" fillId="0" borderId="5" xfId="1" applyNumberFormat="1" applyFont="1" applyFill="1" applyBorder="1" applyAlignment="1">
      <alignment vertical="top"/>
    </xf>
    <xf numFmtId="164" fontId="12" fillId="0" borderId="5" xfId="1" applyNumberFormat="1" applyFont="1" applyFill="1" applyBorder="1" applyAlignment="1">
      <alignment vertical="top"/>
    </xf>
    <xf numFmtId="164" fontId="2" fillId="0" borderId="8" xfId="1" applyNumberFormat="1" applyFont="1" applyBorder="1" applyAlignment="1">
      <alignment vertical="top"/>
    </xf>
    <xf numFmtId="164" fontId="4" fillId="0" borderId="2" xfId="1" applyNumberFormat="1" applyFont="1" applyFill="1" applyBorder="1" applyAlignment="1">
      <alignment vertical="top"/>
    </xf>
    <xf numFmtId="164" fontId="2" fillId="0" borderId="3" xfId="1" applyNumberFormat="1" applyFont="1" applyFill="1" applyBorder="1" applyAlignment="1">
      <alignment vertical="top"/>
    </xf>
    <xf numFmtId="164" fontId="2" fillId="0" borderId="4" xfId="1" applyNumberFormat="1" applyFont="1" applyFill="1" applyBorder="1" applyAlignment="1">
      <alignment vertical="top"/>
    </xf>
    <xf numFmtId="164" fontId="2" fillId="0" borderId="0" xfId="1" applyNumberFormat="1" applyFont="1" applyFill="1" applyBorder="1" applyAlignment="1">
      <alignment vertical="top"/>
    </xf>
    <xf numFmtId="164" fontId="2" fillId="0" borderId="6" xfId="1" applyNumberFormat="1" applyFont="1" applyFill="1" applyBorder="1" applyAlignment="1">
      <alignment vertical="top"/>
    </xf>
    <xf numFmtId="164" fontId="4" fillId="0" borderId="7" xfId="1" applyNumberFormat="1" applyFont="1" applyFill="1" applyBorder="1" applyAlignment="1">
      <alignment vertical="top"/>
    </xf>
    <xf numFmtId="164" fontId="2" fillId="0" borderId="8" xfId="1" applyNumberFormat="1" applyFont="1" applyFill="1" applyBorder="1" applyAlignment="1">
      <alignment vertical="top"/>
    </xf>
    <xf numFmtId="164" fontId="2" fillId="0" borderId="9" xfId="1" applyNumberFormat="1" applyFont="1" applyFill="1" applyBorder="1" applyAlignment="1">
      <alignment vertical="top"/>
    </xf>
    <xf numFmtId="0" fontId="2" fillId="0" borderId="7" xfId="0" applyFont="1" applyBorder="1" applyAlignment="1">
      <alignment vertical="top"/>
    </xf>
    <xf numFmtId="164" fontId="4" fillId="0" borderId="0" xfId="1" applyNumberFormat="1" applyFont="1" applyAlignment="1">
      <alignment vertical="top"/>
    </xf>
    <xf numFmtId="9" fontId="2" fillId="0" borderId="0" xfId="2" applyFont="1" applyBorder="1" applyAlignment="1">
      <alignment vertical="top"/>
    </xf>
    <xf numFmtId="9" fontId="2" fillId="0" borderId="6" xfId="2" applyFont="1" applyBorder="1" applyAlignment="1">
      <alignment vertical="top"/>
    </xf>
    <xf numFmtId="43" fontId="2" fillId="0" borderId="0" xfId="1" applyFont="1" applyBorder="1" applyAlignment="1">
      <alignment vertical="top"/>
    </xf>
    <xf numFmtId="43" fontId="2" fillId="0" borderId="6" xfId="1" applyFont="1" applyBorder="1" applyAlignment="1">
      <alignment vertical="top"/>
    </xf>
    <xf numFmtId="0" fontId="8" fillId="0" borderId="2" xfId="0" applyFont="1" applyBorder="1" applyAlignment="1">
      <alignment vertical="top"/>
    </xf>
    <xf numFmtId="0" fontId="4" fillId="0" borderId="7" xfId="0" applyFont="1" applyBorder="1" applyAlignment="1">
      <alignment vertical="top"/>
    </xf>
    <xf numFmtId="164" fontId="4" fillId="0" borderId="8" xfId="1" applyNumberFormat="1" applyFont="1" applyBorder="1" applyAlignment="1">
      <alignment vertical="top"/>
    </xf>
    <xf numFmtId="0" fontId="4" fillId="3" borderId="1" xfId="0" applyFont="1" applyFill="1" applyBorder="1" applyAlignment="1">
      <alignment horizontal="center" vertical="top"/>
    </xf>
    <xf numFmtId="164" fontId="4" fillId="3" borderId="1" xfId="1" applyNumberFormat="1" applyFont="1" applyFill="1" applyBorder="1" applyAlignment="1">
      <alignment horizontal="center" vertical="top"/>
    </xf>
    <xf numFmtId="43" fontId="4" fillId="2" borderId="1" xfId="1" applyFont="1" applyFill="1" applyBorder="1" applyAlignment="1">
      <alignment horizontal="center" vertical="top"/>
    </xf>
    <xf numFmtId="43" fontId="2" fillId="0" borderId="1" xfId="1" applyFont="1" applyBorder="1" applyAlignment="1">
      <alignment vertical="top"/>
    </xf>
    <xf numFmtId="43" fontId="2" fillId="0" borderId="8" xfId="1" applyFont="1" applyBorder="1" applyAlignment="1">
      <alignment vertical="top"/>
    </xf>
    <xf numFmtId="43" fontId="2" fillId="0" borderId="9" xfId="1" applyFont="1" applyBorder="1" applyAlignment="1">
      <alignment vertical="top"/>
    </xf>
    <xf numFmtId="10" fontId="2" fillId="0" borderId="8" xfId="2" applyNumberFormat="1" applyFont="1" applyBorder="1" applyAlignment="1">
      <alignment vertical="top"/>
    </xf>
    <xf numFmtId="10" fontId="2" fillId="0" borderId="9" xfId="2" applyNumberFormat="1" applyFont="1" applyBorder="1" applyAlignment="1">
      <alignment vertical="top"/>
    </xf>
    <xf numFmtId="0" fontId="11" fillId="0" borderId="1" xfId="3" applyFont="1" applyBorder="1" applyAlignment="1">
      <alignment vertical="top"/>
    </xf>
    <xf numFmtId="9" fontId="2" fillId="0" borderId="1" xfId="0" applyNumberFormat="1" applyFont="1" applyBorder="1" applyAlignment="1">
      <alignment vertical="top"/>
    </xf>
    <xf numFmtId="164" fontId="4" fillId="0" borderId="1" xfId="1" applyNumberFormat="1" applyFont="1" applyFill="1" applyBorder="1" applyAlignment="1">
      <alignment horizontal="center" vertical="top"/>
    </xf>
    <xf numFmtId="164" fontId="2" fillId="0" borderId="5" xfId="1" applyNumberFormat="1" applyFont="1" applyBorder="1" applyAlignment="1">
      <alignment vertical="top"/>
    </xf>
    <xf numFmtId="164" fontId="12" fillId="0" borderId="5" xfId="1" applyNumberFormat="1" applyFont="1" applyBorder="1" applyAlignment="1">
      <alignment vertical="top"/>
    </xf>
    <xf numFmtId="164" fontId="4" fillId="0" borderId="2" xfId="1" applyNumberFormat="1" applyFont="1" applyBorder="1" applyAlignment="1">
      <alignment vertical="top"/>
    </xf>
    <xf numFmtId="0" fontId="14" fillId="2" borderId="1" xfId="0" applyFont="1" applyFill="1" applyBorder="1" applyAlignment="1">
      <alignment horizontal="center" vertical="top"/>
    </xf>
    <xf numFmtId="0" fontId="13" fillId="0" borderId="5" xfId="0" applyFont="1" applyBorder="1" applyAlignment="1">
      <alignment vertical="top"/>
    </xf>
    <xf numFmtId="164" fontId="13" fillId="0" borderId="0" xfId="1" applyNumberFormat="1" applyFont="1" applyBorder="1" applyAlignment="1">
      <alignment vertical="top"/>
    </xf>
    <xf numFmtId="164" fontId="13" fillId="0" borderId="6" xfId="1" applyNumberFormat="1" applyFont="1" applyBorder="1" applyAlignment="1">
      <alignment vertical="top"/>
    </xf>
    <xf numFmtId="0" fontId="14" fillId="0" borderId="7" xfId="0" applyFont="1" applyBorder="1" applyAlignment="1">
      <alignment vertical="top"/>
    </xf>
    <xf numFmtId="164" fontId="14" fillId="0" borderId="8" xfId="1" applyNumberFormat="1" applyFont="1" applyBorder="1" applyAlignment="1">
      <alignment vertical="top"/>
    </xf>
    <xf numFmtId="164" fontId="14" fillId="0" borderId="9" xfId="1" applyNumberFormat="1" applyFont="1" applyBorder="1" applyAlignment="1">
      <alignment vertical="top"/>
    </xf>
    <xf numFmtId="0" fontId="13" fillId="0" borderId="2" xfId="0" applyFont="1" applyBorder="1" applyAlignment="1">
      <alignment vertical="top"/>
    </xf>
    <xf numFmtId="164" fontId="13" fillId="0" borderId="3" xfId="1" applyNumberFormat="1" applyFont="1" applyBorder="1" applyAlignment="1">
      <alignment vertical="top"/>
    </xf>
    <xf numFmtId="0" fontId="2" fillId="0" borderId="0" xfId="0" applyFont="1" applyAlignment="1">
      <alignment horizontal="left" vertical="top"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mailto:PVF@%2011.44%25" TargetMode="External"/><Relationship Id="rId2" Type="http://schemas.openxmlformats.org/officeDocument/2006/relationships/hyperlink" Target="mailto:PVF@%2011.44%25" TargetMode="External"/><Relationship Id="rId1" Type="http://schemas.openxmlformats.org/officeDocument/2006/relationships/hyperlink" Target="mailto:PVF@%2011.44%25" TargetMode="External"/><Relationship Id="rId6" Type="http://schemas.openxmlformats.org/officeDocument/2006/relationships/printerSettings" Target="../printerSettings/printerSettings1.bin"/><Relationship Id="rId5" Type="http://schemas.openxmlformats.org/officeDocument/2006/relationships/hyperlink" Target="mailto:PVF@%2011.44%25" TargetMode="External"/><Relationship Id="rId4" Type="http://schemas.openxmlformats.org/officeDocument/2006/relationships/hyperlink" Target="mailto:PVF@%2011.44%25"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PVF@13.5%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67C77-593D-4C00-A7EF-1D1830273CEE}">
  <sheetPr>
    <tabColor rgb="FF92D050"/>
  </sheetPr>
  <dimension ref="A5:J83"/>
  <sheetViews>
    <sheetView showGridLines="0" zoomScale="80" zoomScaleNormal="80" workbookViewId="0">
      <selection activeCell="C8" sqref="C8:H9"/>
    </sheetView>
  </sheetViews>
  <sheetFormatPr defaultColWidth="8.90625" defaultRowHeight="11.5" x14ac:dyDescent="0.35"/>
  <cols>
    <col min="1" max="2" width="8.90625" style="1"/>
    <col min="3" max="3" width="13.54296875" style="1" bestFit="1" customWidth="1"/>
    <col min="4" max="4" width="19.08984375" style="1" bestFit="1" customWidth="1"/>
    <col min="5" max="5" width="19.453125" style="1" bestFit="1" customWidth="1"/>
    <col min="6" max="6" width="12.54296875" style="1" customWidth="1"/>
    <col min="7" max="7" width="11.36328125" style="1" bestFit="1" customWidth="1"/>
    <col min="8" max="8" width="8.90625" style="1"/>
    <col min="9" max="9" width="14.453125" style="1" bestFit="1" customWidth="1"/>
    <col min="10" max="11" width="8.90625" style="1"/>
    <col min="12" max="12" width="13.08984375" style="1" bestFit="1" customWidth="1"/>
    <col min="13" max="13" width="11.36328125" style="1" customWidth="1"/>
    <col min="14" max="14" width="10.81640625" style="1" customWidth="1"/>
    <col min="15" max="15" width="9.1796875" style="1" bestFit="1" customWidth="1"/>
    <col min="16" max="16384" width="8.90625" style="1"/>
  </cols>
  <sheetData>
    <row r="5" spans="1:10" x14ac:dyDescent="0.35">
      <c r="A5" s="1" t="s">
        <v>342</v>
      </c>
    </row>
    <row r="6" spans="1:10" x14ac:dyDescent="0.35">
      <c r="C6" s="1" t="s">
        <v>343</v>
      </c>
    </row>
    <row r="8" spans="1:10" ht="48" customHeight="1" x14ac:dyDescent="0.35">
      <c r="C8" s="147" t="s">
        <v>444</v>
      </c>
      <c r="D8" s="147"/>
      <c r="E8" s="147"/>
      <c r="F8" s="147"/>
      <c r="G8" s="147"/>
      <c r="H8" s="147"/>
    </row>
    <row r="9" spans="1:10" ht="18.649999999999999" customHeight="1" x14ac:dyDescent="0.35">
      <c r="C9" s="147"/>
      <c r="D9" s="147"/>
      <c r="E9" s="147"/>
      <c r="F9" s="147"/>
      <c r="G9" s="147"/>
      <c r="H9" s="147"/>
    </row>
    <row r="10" spans="1:10" x14ac:dyDescent="0.35">
      <c r="C10" s="15"/>
    </row>
    <row r="11" spans="1:10" x14ac:dyDescent="0.35">
      <c r="C11" s="1" t="s">
        <v>445</v>
      </c>
      <c r="J11" s="1">
        <v>2</v>
      </c>
    </row>
    <row r="12" spans="1:10" x14ac:dyDescent="0.35">
      <c r="C12" s="15" t="s">
        <v>446</v>
      </c>
      <c r="J12" s="1">
        <v>1</v>
      </c>
    </row>
    <row r="13" spans="1:10" x14ac:dyDescent="0.35">
      <c r="C13" s="15" t="s">
        <v>208</v>
      </c>
      <c r="J13" s="1">
        <v>2</v>
      </c>
    </row>
    <row r="14" spans="1:10" x14ac:dyDescent="0.35">
      <c r="C14" s="15"/>
    </row>
    <row r="15" spans="1:10" x14ac:dyDescent="0.35">
      <c r="C15" s="15"/>
    </row>
    <row r="17" spans="3:6" x14ac:dyDescent="0.35">
      <c r="C17" s="24" t="s">
        <v>249</v>
      </c>
    </row>
    <row r="18" spans="3:6" x14ac:dyDescent="0.35">
      <c r="C18" s="24"/>
    </row>
    <row r="19" spans="3:6" x14ac:dyDescent="0.35">
      <c r="C19" s="24" t="s">
        <v>331</v>
      </c>
    </row>
    <row r="20" spans="3:6" x14ac:dyDescent="0.35">
      <c r="C20" s="15"/>
      <c r="E20" s="68">
        <v>0.14000000000000001</v>
      </c>
    </row>
    <row r="21" spans="3:6" x14ac:dyDescent="0.35">
      <c r="C21" s="20" t="s">
        <v>240</v>
      </c>
      <c r="D21" s="21" t="s">
        <v>241</v>
      </c>
      <c r="E21" s="21" t="s">
        <v>332</v>
      </c>
      <c r="F21" s="21" t="s">
        <v>242</v>
      </c>
    </row>
    <row r="22" spans="3:6" x14ac:dyDescent="0.35">
      <c r="C22" s="14">
        <v>0</v>
      </c>
      <c r="D22" s="3">
        <v>-1300000</v>
      </c>
      <c r="E22" s="16">
        <f>1/(POWER((1+$E$20),C22))</f>
        <v>1</v>
      </c>
      <c r="F22" s="3">
        <f>D22*E22</f>
        <v>-1300000</v>
      </c>
    </row>
    <row r="23" spans="3:6" x14ac:dyDescent="0.35">
      <c r="C23" s="17">
        <v>1</v>
      </c>
      <c r="D23" s="3">
        <v>-1700000</v>
      </c>
      <c r="E23" s="16">
        <f t="shared" ref="E23:E33" si="0">1/(POWER((1+$E$20),C23))</f>
        <v>0.8771929824561403</v>
      </c>
      <c r="F23" s="3">
        <f t="shared" ref="F23:F33" si="1">D23*E23</f>
        <v>-1491228.0701754384</v>
      </c>
    </row>
    <row r="24" spans="3:6" x14ac:dyDescent="0.35">
      <c r="C24" s="17">
        <v>2</v>
      </c>
      <c r="D24" s="3">
        <v>-2000000</v>
      </c>
      <c r="E24" s="16">
        <f t="shared" si="0"/>
        <v>0.76946752847029842</v>
      </c>
      <c r="F24" s="3">
        <f t="shared" si="1"/>
        <v>-1538935.0569405968</v>
      </c>
    </row>
    <row r="25" spans="3:6" x14ac:dyDescent="0.35">
      <c r="C25" s="17">
        <v>2</v>
      </c>
      <c r="D25" s="3">
        <v>450000</v>
      </c>
      <c r="E25" s="16">
        <f t="shared" si="0"/>
        <v>0.76946752847029842</v>
      </c>
      <c r="F25" s="3">
        <f t="shared" si="1"/>
        <v>346260.38781163428</v>
      </c>
    </row>
    <row r="26" spans="3:6" x14ac:dyDescent="0.35">
      <c r="C26" s="17">
        <v>3</v>
      </c>
      <c r="D26" s="3">
        <v>900000</v>
      </c>
      <c r="E26" s="16">
        <f t="shared" si="0"/>
        <v>0.67497151620201612</v>
      </c>
      <c r="F26" s="3">
        <f t="shared" si="1"/>
        <v>607474.3645818145</v>
      </c>
    </row>
    <row r="27" spans="3:6" x14ac:dyDescent="0.35">
      <c r="C27" s="17">
        <v>4</v>
      </c>
      <c r="D27" s="3">
        <v>1050000</v>
      </c>
      <c r="E27" s="16">
        <f t="shared" si="0"/>
        <v>0.59208027737018942</v>
      </c>
      <c r="F27" s="3">
        <f t="shared" si="1"/>
        <v>621684.29123869888</v>
      </c>
    </row>
    <row r="28" spans="3:6" x14ac:dyDescent="0.35">
      <c r="C28" s="14">
        <v>5</v>
      </c>
      <c r="D28" s="3">
        <v>1150000</v>
      </c>
      <c r="E28" s="16">
        <f t="shared" si="0"/>
        <v>0.51936866435981521</v>
      </c>
      <c r="F28" s="3">
        <f t="shared" si="1"/>
        <v>597273.96401378745</v>
      </c>
    </row>
    <row r="29" spans="3:6" x14ac:dyDescent="0.35">
      <c r="C29" s="14">
        <v>6</v>
      </c>
      <c r="D29" s="3">
        <v>1150000</v>
      </c>
      <c r="E29" s="16">
        <f t="shared" si="0"/>
        <v>0.45558654768404844</v>
      </c>
      <c r="F29" s="3">
        <f t="shared" si="1"/>
        <v>523924.52983665571</v>
      </c>
    </row>
    <row r="30" spans="3:6" x14ac:dyDescent="0.35">
      <c r="C30" s="14">
        <v>7</v>
      </c>
      <c r="D30" s="3">
        <v>1150000</v>
      </c>
      <c r="E30" s="16">
        <f t="shared" si="0"/>
        <v>0.39963732252986695</v>
      </c>
      <c r="F30" s="3">
        <f t="shared" si="1"/>
        <v>459582.92090934701</v>
      </c>
    </row>
    <row r="31" spans="3:6" x14ac:dyDescent="0.35">
      <c r="C31" s="14">
        <v>8</v>
      </c>
      <c r="D31" s="3">
        <v>1150000</v>
      </c>
      <c r="E31" s="16">
        <f t="shared" si="0"/>
        <v>0.35055905485076044</v>
      </c>
      <c r="F31" s="3">
        <f t="shared" si="1"/>
        <v>403142.91307837452</v>
      </c>
    </row>
    <row r="32" spans="3:6" x14ac:dyDescent="0.35">
      <c r="C32" s="14">
        <v>9</v>
      </c>
      <c r="D32" s="3">
        <v>1150000</v>
      </c>
      <c r="E32" s="16">
        <f t="shared" si="0"/>
        <v>0.3075079428515442</v>
      </c>
      <c r="F32" s="3">
        <f t="shared" si="1"/>
        <v>353634.13427927584</v>
      </c>
    </row>
    <row r="33" spans="3:9" x14ac:dyDescent="0.35">
      <c r="C33" s="14">
        <v>10</v>
      </c>
      <c r="D33" s="3">
        <v>1150000</v>
      </c>
      <c r="E33" s="16">
        <f t="shared" si="0"/>
        <v>0.26974380951889843</v>
      </c>
      <c r="F33" s="3">
        <f t="shared" si="1"/>
        <v>310205.38094673317</v>
      </c>
    </row>
    <row r="34" spans="3:9" x14ac:dyDescent="0.35">
      <c r="C34" s="18"/>
      <c r="D34" s="19">
        <f t="shared" ref="D34:E34" si="2">SUM(D22:D33)</f>
        <v>4300000</v>
      </c>
      <c r="E34" s="19">
        <f t="shared" si="2"/>
        <v>6.9855831747638772</v>
      </c>
      <c r="F34" s="19">
        <f>SUM(F22:F33)</f>
        <v>-106980.24041971337</v>
      </c>
    </row>
    <row r="36" spans="3:9" x14ac:dyDescent="0.35">
      <c r="C36" s="1" t="s">
        <v>329</v>
      </c>
    </row>
    <row r="39" spans="3:9" x14ac:dyDescent="0.35">
      <c r="C39" s="24" t="s">
        <v>447</v>
      </c>
    </row>
    <row r="40" spans="3:9" x14ac:dyDescent="0.35">
      <c r="C40" s="15"/>
      <c r="E40" s="68">
        <v>0.09</v>
      </c>
    </row>
    <row r="41" spans="3:9" x14ac:dyDescent="0.35">
      <c r="C41" s="20" t="s">
        <v>240</v>
      </c>
      <c r="D41" s="21" t="s">
        <v>241</v>
      </c>
      <c r="E41" s="21" t="s">
        <v>448</v>
      </c>
      <c r="F41" s="21" t="s">
        <v>242</v>
      </c>
    </row>
    <row r="42" spans="3:9" x14ac:dyDescent="0.35">
      <c r="C42" s="14">
        <f>C22</f>
        <v>0</v>
      </c>
      <c r="D42" s="3">
        <f>D22</f>
        <v>-1300000</v>
      </c>
      <c r="E42" s="16">
        <f>1/(POWER((1+$E$40),C42))</f>
        <v>1</v>
      </c>
      <c r="F42" s="3">
        <f>D42*E42</f>
        <v>-1300000</v>
      </c>
      <c r="H42" s="25"/>
      <c r="I42" s="2"/>
    </row>
    <row r="43" spans="3:9" x14ac:dyDescent="0.35">
      <c r="C43" s="14">
        <f t="shared" ref="C43:D43" si="3">C23</f>
        <v>1</v>
      </c>
      <c r="D43" s="3">
        <f t="shared" si="3"/>
        <v>-1700000</v>
      </c>
      <c r="E43" s="16">
        <f t="shared" ref="E43:E53" si="4">1/(POWER((1+$E$40),C43))</f>
        <v>0.9174311926605504</v>
      </c>
      <c r="F43" s="3">
        <f t="shared" ref="F43:F53" si="5">D43*E43</f>
        <v>-1559633.0275229358</v>
      </c>
      <c r="H43" s="25"/>
      <c r="I43" s="2"/>
    </row>
    <row r="44" spans="3:9" x14ac:dyDescent="0.35">
      <c r="C44" s="14">
        <f t="shared" ref="C44:D44" si="6">C24</f>
        <v>2</v>
      </c>
      <c r="D44" s="3">
        <f t="shared" si="6"/>
        <v>-2000000</v>
      </c>
      <c r="E44" s="16">
        <f t="shared" si="4"/>
        <v>0.84167999326655996</v>
      </c>
      <c r="F44" s="3">
        <f t="shared" si="5"/>
        <v>-1683359.9865331198</v>
      </c>
      <c r="H44" s="25"/>
      <c r="I44" s="2"/>
    </row>
    <row r="45" spans="3:9" x14ac:dyDescent="0.35">
      <c r="C45" s="14">
        <f t="shared" ref="C45:D45" si="7">C25</f>
        <v>2</v>
      </c>
      <c r="D45" s="3">
        <f t="shared" si="7"/>
        <v>450000</v>
      </c>
      <c r="E45" s="16">
        <f t="shared" si="4"/>
        <v>0.84167999326655996</v>
      </c>
      <c r="F45" s="3">
        <f t="shared" si="5"/>
        <v>378755.99696995196</v>
      </c>
      <c r="H45" s="25"/>
      <c r="I45" s="2"/>
    </row>
    <row r="46" spans="3:9" x14ac:dyDescent="0.35">
      <c r="C46" s="14">
        <f t="shared" ref="C46:D46" si="8">C26</f>
        <v>3</v>
      </c>
      <c r="D46" s="3">
        <f t="shared" si="8"/>
        <v>900000</v>
      </c>
      <c r="E46" s="16">
        <f t="shared" si="4"/>
        <v>0.77218348006106419</v>
      </c>
      <c r="F46" s="3">
        <f t="shared" si="5"/>
        <v>694965.13205495779</v>
      </c>
      <c r="H46" s="25"/>
      <c r="I46" s="2"/>
    </row>
    <row r="47" spans="3:9" x14ac:dyDescent="0.35">
      <c r="C47" s="14">
        <f t="shared" ref="C47:D47" si="9">C27</f>
        <v>4</v>
      </c>
      <c r="D47" s="3">
        <f t="shared" si="9"/>
        <v>1050000</v>
      </c>
      <c r="E47" s="16">
        <f t="shared" si="4"/>
        <v>0.7084252110651964</v>
      </c>
      <c r="F47" s="3">
        <f t="shared" si="5"/>
        <v>743846.47161845618</v>
      </c>
      <c r="H47" s="25"/>
      <c r="I47" s="2"/>
    </row>
    <row r="48" spans="3:9" x14ac:dyDescent="0.35">
      <c r="C48" s="14">
        <f t="shared" ref="C48:D48" si="10">C28</f>
        <v>5</v>
      </c>
      <c r="D48" s="3">
        <f t="shared" si="10"/>
        <v>1150000</v>
      </c>
      <c r="E48" s="16">
        <f t="shared" si="4"/>
        <v>0.64993138629834524</v>
      </c>
      <c r="F48" s="3">
        <f t="shared" si="5"/>
        <v>747421.094243097</v>
      </c>
      <c r="H48" s="25"/>
      <c r="I48" s="2"/>
    </row>
    <row r="49" spans="3:9" x14ac:dyDescent="0.35">
      <c r="C49" s="14">
        <f t="shared" ref="C49:D49" si="11">C29</f>
        <v>6</v>
      </c>
      <c r="D49" s="3">
        <f t="shared" si="11"/>
        <v>1150000</v>
      </c>
      <c r="E49" s="16">
        <f t="shared" si="4"/>
        <v>0.5962673268792158</v>
      </c>
      <c r="F49" s="3">
        <f t="shared" si="5"/>
        <v>685707.42591109814</v>
      </c>
      <c r="H49" s="25"/>
      <c r="I49" s="2"/>
    </row>
    <row r="50" spans="3:9" x14ac:dyDescent="0.35">
      <c r="C50" s="14">
        <f t="shared" ref="C50:D50" si="12">C30</f>
        <v>7</v>
      </c>
      <c r="D50" s="3">
        <f t="shared" si="12"/>
        <v>1150000</v>
      </c>
      <c r="E50" s="16">
        <f t="shared" si="4"/>
        <v>0.54703424484331731</v>
      </c>
      <c r="F50" s="3">
        <f t="shared" si="5"/>
        <v>629089.38156981487</v>
      </c>
      <c r="H50" s="25"/>
      <c r="I50" s="2"/>
    </row>
    <row r="51" spans="3:9" x14ac:dyDescent="0.35">
      <c r="C51" s="14">
        <f t="shared" ref="C51:D51" si="13">C31</f>
        <v>8</v>
      </c>
      <c r="D51" s="3">
        <f t="shared" si="13"/>
        <v>1150000</v>
      </c>
      <c r="E51" s="16">
        <f t="shared" si="4"/>
        <v>0.50186627967276809</v>
      </c>
      <c r="F51" s="3">
        <f t="shared" si="5"/>
        <v>577146.22162368335</v>
      </c>
      <c r="H51" s="25"/>
      <c r="I51" s="2"/>
    </row>
    <row r="52" spans="3:9" x14ac:dyDescent="0.35">
      <c r="C52" s="14">
        <f t="shared" ref="C52:D52" si="14">C32</f>
        <v>9</v>
      </c>
      <c r="D52" s="3">
        <f t="shared" si="14"/>
        <v>1150000</v>
      </c>
      <c r="E52" s="16">
        <f t="shared" si="4"/>
        <v>0.46042777951630098</v>
      </c>
      <c r="F52" s="3">
        <f t="shared" si="5"/>
        <v>529491.9464437461</v>
      </c>
      <c r="H52" s="25"/>
      <c r="I52" s="2"/>
    </row>
    <row r="53" spans="3:9" x14ac:dyDescent="0.35">
      <c r="C53" s="14">
        <f t="shared" ref="C53:D53" si="15">C33</f>
        <v>10</v>
      </c>
      <c r="D53" s="3">
        <f t="shared" si="15"/>
        <v>1150000</v>
      </c>
      <c r="E53" s="16">
        <f t="shared" si="4"/>
        <v>0.42241080689568894</v>
      </c>
      <c r="F53" s="3">
        <f t="shared" si="5"/>
        <v>485772.42793004226</v>
      </c>
      <c r="H53" s="25"/>
      <c r="I53" s="2"/>
    </row>
    <row r="54" spans="3:9" x14ac:dyDescent="0.35">
      <c r="C54" s="18"/>
      <c r="D54" s="19">
        <f>SUM(D42:D53)</f>
        <v>4300000</v>
      </c>
      <c r="E54" s="19">
        <f>SUM(E42:E53)</f>
        <v>8.2593376944255663</v>
      </c>
      <c r="F54" s="19">
        <f>SUM(F42:F53)</f>
        <v>929203.08430879319</v>
      </c>
    </row>
    <row r="55" spans="3:9" x14ac:dyDescent="0.35">
      <c r="C55" s="13"/>
      <c r="D55" s="28"/>
      <c r="E55" s="28"/>
      <c r="F55" s="28"/>
    </row>
    <row r="56" spans="3:9" x14ac:dyDescent="0.35">
      <c r="C56" s="13"/>
      <c r="D56" s="28"/>
      <c r="E56" s="28"/>
      <c r="F56" s="28"/>
    </row>
    <row r="57" spans="3:9" x14ac:dyDescent="0.35">
      <c r="C57" s="1" t="s">
        <v>243</v>
      </c>
    </row>
    <row r="60" spans="3:9" x14ac:dyDescent="0.35">
      <c r="C60" s="13" t="s">
        <v>244</v>
      </c>
    </row>
    <row r="62" spans="3:9" x14ac:dyDescent="0.35">
      <c r="C62" s="1" t="s">
        <v>245</v>
      </c>
      <c r="D62" s="22">
        <f>MIN(E20,E40)+((F34/(F34-F54))*(E40-E20))</f>
        <v>8.4837774461978349E-2</v>
      </c>
      <c r="E62" s="22"/>
    </row>
    <row r="66" spans="3:5" hidden="1" x14ac:dyDescent="0.35">
      <c r="C66" s="13" t="s">
        <v>246</v>
      </c>
    </row>
    <row r="67" spans="3:5" hidden="1" x14ac:dyDescent="0.35"/>
    <row r="68" spans="3:5" hidden="1" x14ac:dyDescent="0.35">
      <c r="C68" s="20" t="s">
        <v>240</v>
      </c>
      <c r="D68" s="21" t="s">
        <v>241</v>
      </c>
      <c r="E68" s="21" t="s">
        <v>247</v>
      </c>
    </row>
    <row r="69" spans="3:5" hidden="1" x14ac:dyDescent="0.35">
      <c r="C69" s="14">
        <v>0</v>
      </c>
      <c r="D69" s="3">
        <f t="shared" ref="D69:D79" si="16">D42</f>
        <v>-1300000</v>
      </c>
      <c r="E69" s="23">
        <f>D69</f>
        <v>-1300000</v>
      </c>
    </row>
    <row r="70" spans="3:5" hidden="1" x14ac:dyDescent="0.35">
      <c r="C70" s="17">
        <f>C69+1</f>
        <v>1</v>
      </c>
      <c r="D70" s="3">
        <f t="shared" si="16"/>
        <v>-1700000</v>
      </c>
      <c r="E70" s="23">
        <f t="shared" ref="E70:E75" si="17">E69+D70</f>
        <v>-3000000</v>
      </c>
    </row>
    <row r="71" spans="3:5" hidden="1" x14ac:dyDescent="0.35">
      <c r="C71" s="17">
        <f t="shared" ref="C71:C79" si="18">C70+1</f>
        <v>2</v>
      </c>
      <c r="D71" s="3">
        <f t="shared" si="16"/>
        <v>-2000000</v>
      </c>
      <c r="E71" s="23">
        <f t="shared" si="17"/>
        <v>-5000000</v>
      </c>
    </row>
    <row r="72" spans="3:5" hidden="1" x14ac:dyDescent="0.35">
      <c r="C72" s="17">
        <f t="shared" si="18"/>
        <v>3</v>
      </c>
      <c r="D72" s="3">
        <f t="shared" si="16"/>
        <v>450000</v>
      </c>
      <c r="E72" s="23">
        <f t="shared" si="17"/>
        <v>-4550000</v>
      </c>
    </row>
    <row r="73" spans="3:5" hidden="1" x14ac:dyDescent="0.35">
      <c r="C73" s="17">
        <f t="shared" si="18"/>
        <v>4</v>
      </c>
      <c r="D73" s="3">
        <f t="shared" si="16"/>
        <v>900000</v>
      </c>
      <c r="E73" s="23">
        <f t="shared" si="17"/>
        <v>-3650000</v>
      </c>
    </row>
    <row r="74" spans="3:5" hidden="1" x14ac:dyDescent="0.35">
      <c r="C74" s="17">
        <f t="shared" si="18"/>
        <v>5</v>
      </c>
      <c r="D74" s="3">
        <f t="shared" si="16"/>
        <v>1050000</v>
      </c>
      <c r="E74" s="23">
        <f t="shared" si="17"/>
        <v>-2600000</v>
      </c>
    </row>
    <row r="75" spans="3:5" hidden="1" x14ac:dyDescent="0.35">
      <c r="C75" s="17">
        <f t="shared" si="18"/>
        <v>6</v>
      </c>
      <c r="D75" s="3">
        <f t="shared" si="16"/>
        <v>1150000</v>
      </c>
      <c r="E75" s="23">
        <f t="shared" si="17"/>
        <v>-1450000</v>
      </c>
    </row>
    <row r="76" spans="3:5" hidden="1" x14ac:dyDescent="0.35">
      <c r="C76" s="17">
        <f t="shared" si="18"/>
        <v>7</v>
      </c>
      <c r="D76" s="3">
        <f t="shared" si="16"/>
        <v>1150000</v>
      </c>
      <c r="E76" s="23">
        <f t="shared" ref="E76:E79" si="19">E75+D76</f>
        <v>-300000</v>
      </c>
    </row>
    <row r="77" spans="3:5" hidden="1" x14ac:dyDescent="0.35">
      <c r="C77" s="17">
        <f t="shared" si="18"/>
        <v>8</v>
      </c>
      <c r="D77" s="3">
        <f t="shared" si="16"/>
        <v>1150000</v>
      </c>
      <c r="E77" s="23">
        <f t="shared" si="19"/>
        <v>850000</v>
      </c>
    </row>
    <row r="78" spans="3:5" hidden="1" x14ac:dyDescent="0.35">
      <c r="C78" s="17">
        <f t="shared" si="18"/>
        <v>9</v>
      </c>
      <c r="D78" s="3">
        <f t="shared" si="16"/>
        <v>1150000</v>
      </c>
      <c r="E78" s="23">
        <f t="shared" si="19"/>
        <v>2000000</v>
      </c>
    </row>
    <row r="79" spans="3:5" hidden="1" x14ac:dyDescent="0.35">
      <c r="C79" s="17">
        <f t="shared" si="18"/>
        <v>10</v>
      </c>
      <c r="D79" s="3">
        <f t="shared" si="16"/>
        <v>1150000</v>
      </c>
      <c r="E79" s="23">
        <f t="shared" si="19"/>
        <v>3150000</v>
      </c>
    </row>
    <row r="80" spans="3:5" hidden="1" x14ac:dyDescent="0.35"/>
    <row r="81" spans="3:4" hidden="1" x14ac:dyDescent="0.35">
      <c r="C81" s="1" t="s">
        <v>330</v>
      </c>
    </row>
    <row r="82" spans="3:4" hidden="1" x14ac:dyDescent="0.35"/>
    <row r="83" spans="3:4" hidden="1" x14ac:dyDescent="0.35">
      <c r="D83" s="31"/>
    </row>
  </sheetData>
  <mergeCells count="1">
    <mergeCell ref="C8:H9"/>
  </mergeCells>
  <phoneticPr fontId="3"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3F356-B1BD-489A-9471-FA26EE55C628}">
  <sheetPr>
    <tabColor rgb="FF92D050"/>
  </sheetPr>
  <dimension ref="C4:P39"/>
  <sheetViews>
    <sheetView showGridLines="0" topLeftCell="A8" zoomScale="80" zoomScaleNormal="80" workbookViewId="0">
      <selection activeCell="K13" sqref="K13"/>
    </sheetView>
  </sheetViews>
  <sheetFormatPr defaultRowHeight="11.5" x14ac:dyDescent="0.35"/>
  <cols>
    <col min="1" max="2" width="8.7265625" style="1"/>
    <col min="3" max="3" width="26.08984375" style="1" bestFit="1" customWidth="1"/>
    <col min="4" max="9" width="16.6328125" style="2" customWidth="1"/>
    <col min="10" max="10" width="8.7265625" style="1"/>
    <col min="11" max="15" width="10.453125" style="1" bestFit="1" customWidth="1"/>
    <col min="16" max="16" width="11.1796875" style="1" bestFit="1" customWidth="1"/>
    <col min="17" max="16384" width="8.7265625" style="1"/>
  </cols>
  <sheetData>
    <row r="4" spans="3:16" x14ac:dyDescent="0.35">
      <c r="C4" s="32" t="s">
        <v>4</v>
      </c>
      <c r="D4" s="33" t="s">
        <v>66</v>
      </c>
      <c r="E4" s="33" t="s">
        <v>67</v>
      </c>
      <c r="F4" s="34" t="s">
        <v>68</v>
      </c>
      <c r="G4" s="34" t="s">
        <v>69</v>
      </c>
      <c r="H4" s="34" t="s">
        <v>70</v>
      </c>
      <c r="I4" s="34" t="s">
        <v>71</v>
      </c>
    </row>
    <row r="5" spans="3:16" x14ac:dyDescent="0.35">
      <c r="C5" s="35" t="s">
        <v>72</v>
      </c>
      <c r="D5" s="29"/>
      <c r="E5" s="8"/>
      <c r="F5" s="5"/>
      <c r="G5" s="5"/>
      <c r="H5" s="5"/>
      <c r="I5" s="5"/>
    </row>
    <row r="6" spans="3:16" x14ac:dyDescent="0.35">
      <c r="C6" s="36" t="s">
        <v>73</v>
      </c>
      <c r="D6" s="29"/>
      <c r="E6" s="9"/>
      <c r="F6" s="5"/>
      <c r="G6" s="5"/>
      <c r="H6" s="5"/>
      <c r="I6" s="5"/>
    </row>
    <row r="7" spans="3:16" x14ac:dyDescent="0.35">
      <c r="C7" s="37" t="s">
        <v>74</v>
      </c>
      <c r="D7" s="29">
        <f>Q3Working!D100+Q3Working!D109</f>
        <v>2970000</v>
      </c>
      <c r="E7" s="9">
        <f>Q3Working!E100+Q3Working!E109</f>
        <v>2673000</v>
      </c>
      <c r="F7" s="5">
        <f>Q3Working!F100+Q3Working!F109</f>
        <v>2585700</v>
      </c>
      <c r="G7" s="5">
        <f>Q3Working!G100+Q3Working!G109</f>
        <v>2327100</v>
      </c>
      <c r="H7" s="5">
        <f>Q3Working!H100+Q3Working!H109</f>
        <v>2094400</v>
      </c>
      <c r="I7" s="5">
        <f>Q3Working!I100+Q3Working!I109</f>
        <v>1885000</v>
      </c>
    </row>
    <row r="8" spans="3:16" x14ac:dyDescent="0.35">
      <c r="C8" s="37" t="s">
        <v>75</v>
      </c>
      <c r="D8" s="29">
        <f>Q3Working!D161</f>
        <v>360000</v>
      </c>
      <c r="E8" s="9">
        <f>Q3Working!E161</f>
        <v>360000</v>
      </c>
      <c r="F8" s="5">
        <f>Q3Working!F161</f>
        <v>360000</v>
      </c>
      <c r="G8" s="5">
        <f>Q3Working!G161</f>
        <v>522000</v>
      </c>
      <c r="H8" s="5">
        <f>Q3Working!H161</f>
        <v>282000</v>
      </c>
      <c r="I8" s="5">
        <f>Q3Working!I161</f>
        <v>282000</v>
      </c>
    </row>
    <row r="9" spans="3:16" x14ac:dyDescent="0.35">
      <c r="C9" s="38" t="s">
        <v>76</v>
      </c>
      <c r="D9" s="39">
        <f>SUM(D7:D8)</f>
        <v>3330000</v>
      </c>
      <c r="E9" s="10">
        <f t="shared" ref="E9:I9" si="0">SUM(E7:E8)</f>
        <v>3033000</v>
      </c>
      <c r="F9" s="40">
        <f t="shared" si="0"/>
        <v>2945700</v>
      </c>
      <c r="G9" s="40">
        <f t="shared" si="0"/>
        <v>2849100</v>
      </c>
      <c r="H9" s="40">
        <f t="shared" si="0"/>
        <v>2376400</v>
      </c>
      <c r="I9" s="40">
        <f t="shared" si="0"/>
        <v>2167000</v>
      </c>
    </row>
    <row r="10" spans="3:16" x14ac:dyDescent="0.35">
      <c r="C10" s="41"/>
      <c r="D10" s="8"/>
      <c r="E10" s="4"/>
      <c r="F10" s="4"/>
      <c r="G10" s="4"/>
      <c r="H10" s="4"/>
      <c r="I10" s="4"/>
    </row>
    <row r="11" spans="3:16" x14ac:dyDescent="0.35">
      <c r="C11" s="36" t="s">
        <v>77</v>
      </c>
      <c r="D11" s="9"/>
      <c r="E11" s="5"/>
      <c r="F11" s="5"/>
      <c r="G11" s="5"/>
      <c r="H11" s="5"/>
      <c r="I11" s="5"/>
    </row>
    <row r="12" spans="3:16" x14ac:dyDescent="0.35">
      <c r="C12" s="37" t="s">
        <v>78</v>
      </c>
      <c r="D12" s="9">
        <f>Q3Working!D13</f>
        <v>1650000</v>
      </c>
      <c r="E12" s="5">
        <f>Q3Working!E13</f>
        <v>3564000</v>
      </c>
      <c r="F12" s="5">
        <f>Q3Working!F13</f>
        <v>6005000</v>
      </c>
      <c r="G12" s="5">
        <f>Q3Working!G13</f>
        <v>8883000</v>
      </c>
      <c r="H12" s="5">
        <f>Q3Working!H13</f>
        <v>12172000</v>
      </c>
      <c r="I12" s="5">
        <f>Q3Working!I13</f>
        <v>15978000</v>
      </c>
      <c r="K12" s="30"/>
      <c r="L12" s="30"/>
      <c r="M12" s="30"/>
      <c r="N12" s="30"/>
      <c r="O12" s="30"/>
      <c r="P12" s="30"/>
    </row>
    <row r="13" spans="3:16" x14ac:dyDescent="0.35">
      <c r="C13" s="37" t="s">
        <v>79</v>
      </c>
      <c r="D13" s="9">
        <f>Q3Working!D191</f>
        <v>124000</v>
      </c>
      <c r="E13" s="5">
        <f>Q3Working!E191</f>
        <v>77440</v>
      </c>
      <c r="F13" s="5">
        <f>Q3Working!F191</f>
        <v>64620</v>
      </c>
      <c r="G13" s="5">
        <f>Q3Working!G191</f>
        <v>65620</v>
      </c>
      <c r="H13" s="5">
        <f>Q3Working!H191</f>
        <v>75460</v>
      </c>
      <c r="I13" s="5">
        <f>Q3Working!I191</f>
        <v>82240</v>
      </c>
      <c r="K13" s="30"/>
      <c r="L13" s="30"/>
      <c r="M13" s="30"/>
      <c r="N13" s="30"/>
      <c r="O13" s="30"/>
      <c r="P13" s="30"/>
    </row>
    <row r="14" spans="3:16" x14ac:dyDescent="0.35">
      <c r="C14" s="37" t="s">
        <v>80</v>
      </c>
      <c r="D14" s="9">
        <f>Q3Working!D212</f>
        <v>3671300</v>
      </c>
      <c r="E14" s="5">
        <f>Q3Working!E212</f>
        <v>791120</v>
      </c>
      <c r="F14" s="5">
        <f>Q3Working!F212</f>
        <v>-274880</v>
      </c>
      <c r="G14" s="5">
        <f>Q3Working!G212</f>
        <v>111750</v>
      </c>
      <c r="H14" s="5">
        <f>Q3Working!H212</f>
        <v>65815</v>
      </c>
      <c r="I14" s="5">
        <f>Q3Working!I212</f>
        <v>848963.5</v>
      </c>
    </row>
    <row r="15" spans="3:16" x14ac:dyDescent="0.35">
      <c r="C15" s="37" t="s">
        <v>81</v>
      </c>
      <c r="D15" s="9">
        <f>Q3Working!D223</f>
        <v>0</v>
      </c>
      <c r="E15" s="9">
        <f>Q3Working!E223</f>
        <v>3950000</v>
      </c>
      <c r="F15" s="9">
        <f>Q3Working!F223</f>
        <v>4785700</v>
      </c>
      <c r="G15" s="9">
        <f>Q3Working!G223</f>
        <v>4957800</v>
      </c>
      <c r="H15" s="9">
        <f>Q3Working!H223</f>
        <v>4639840</v>
      </c>
      <c r="I15" s="9">
        <f>Q3Working!I223</f>
        <v>4875500</v>
      </c>
      <c r="K15" s="30"/>
      <c r="L15" s="30"/>
      <c r="M15" s="30"/>
      <c r="N15" s="30"/>
      <c r="O15" s="30"/>
      <c r="P15" s="30"/>
    </row>
    <row r="16" spans="3:16" x14ac:dyDescent="0.35">
      <c r="C16" s="38" t="s">
        <v>82</v>
      </c>
      <c r="D16" s="10">
        <f>SUM(D12:D15)</f>
        <v>5445300</v>
      </c>
      <c r="E16" s="40">
        <f t="shared" ref="E16:I16" si="1">SUM(E12:E15)</f>
        <v>8382560</v>
      </c>
      <c r="F16" s="40">
        <f t="shared" si="1"/>
        <v>10580440</v>
      </c>
      <c r="G16" s="40">
        <f t="shared" si="1"/>
        <v>14018170</v>
      </c>
      <c r="H16" s="40">
        <f t="shared" si="1"/>
        <v>16953115</v>
      </c>
      <c r="I16" s="40">
        <f t="shared" si="1"/>
        <v>21784703.5</v>
      </c>
    </row>
    <row r="17" spans="3:9" x14ac:dyDescent="0.35">
      <c r="C17" s="37"/>
      <c r="D17" s="29"/>
      <c r="E17" s="9"/>
      <c r="F17" s="5"/>
      <c r="G17" s="5"/>
      <c r="H17" s="5"/>
      <c r="I17" s="5"/>
    </row>
    <row r="18" spans="3:9" x14ac:dyDescent="0.35">
      <c r="C18" s="18" t="s">
        <v>83</v>
      </c>
      <c r="D18" s="19">
        <f>D9+D16</f>
        <v>8775300</v>
      </c>
      <c r="E18" s="42">
        <f t="shared" ref="E18:I18" si="2">E9+E16</f>
        <v>11415560</v>
      </c>
      <c r="F18" s="42">
        <f t="shared" si="2"/>
        <v>13526140</v>
      </c>
      <c r="G18" s="42">
        <f t="shared" si="2"/>
        <v>16867270</v>
      </c>
      <c r="H18" s="42">
        <f t="shared" si="2"/>
        <v>19329515</v>
      </c>
      <c r="I18" s="42">
        <f t="shared" si="2"/>
        <v>23951703.5</v>
      </c>
    </row>
    <row r="19" spans="3:9" x14ac:dyDescent="0.35">
      <c r="C19" s="37"/>
      <c r="D19" s="5"/>
      <c r="E19" s="5"/>
      <c r="F19" s="5"/>
      <c r="G19" s="5"/>
      <c r="H19" s="5"/>
      <c r="I19" s="5"/>
    </row>
    <row r="20" spans="3:9" x14ac:dyDescent="0.35">
      <c r="C20" s="37"/>
      <c r="D20" s="5"/>
      <c r="E20" s="5"/>
      <c r="F20" s="5"/>
      <c r="G20" s="5"/>
      <c r="H20" s="5"/>
      <c r="I20" s="5"/>
    </row>
    <row r="21" spans="3:9" x14ac:dyDescent="0.35">
      <c r="C21" s="36" t="s">
        <v>84</v>
      </c>
      <c r="D21" s="5"/>
      <c r="E21" s="5"/>
      <c r="F21" s="5"/>
      <c r="G21" s="5"/>
      <c r="H21" s="5"/>
      <c r="I21" s="5"/>
    </row>
    <row r="22" spans="3:9" x14ac:dyDescent="0.35">
      <c r="C22" s="36" t="s">
        <v>85</v>
      </c>
      <c r="D22" s="5"/>
      <c r="E22" s="5"/>
      <c r="F22" s="5"/>
      <c r="G22" s="5"/>
      <c r="H22" s="5"/>
      <c r="I22" s="5"/>
    </row>
    <row r="23" spans="3:9" x14ac:dyDescent="0.35">
      <c r="C23" s="37" t="s">
        <v>86</v>
      </c>
      <c r="D23" s="5">
        <f>Q3Working!D143</f>
        <v>3000000</v>
      </c>
      <c r="E23" s="5">
        <f>Q3Working!E143</f>
        <v>3000000</v>
      </c>
      <c r="F23" s="5">
        <f>Q3Working!F143</f>
        <v>3000000</v>
      </c>
      <c r="G23" s="5">
        <f>Q3Working!G143</f>
        <v>3000000</v>
      </c>
      <c r="H23" s="5">
        <f>Q3Working!H143</f>
        <v>3000000</v>
      </c>
      <c r="I23" s="5">
        <f>Q3Working!I143</f>
        <v>3000000</v>
      </c>
    </row>
    <row r="24" spans="3:9" x14ac:dyDescent="0.35">
      <c r="C24" s="37" t="s">
        <v>87</v>
      </c>
      <c r="D24" s="5">
        <f>Q3Working!D220</f>
        <v>1235300</v>
      </c>
      <c r="E24" s="5">
        <f>Q3Working!E220</f>
        <v>3004260</v>
      </c>
      <c r="F24" s="5">
        <f>Q3Working!F220</f>
        <v>5439360</v>
      </c>
      <c r="G24" s="5">
        <f>Q3Working!G220</f>
        <v>8744810</v>
      </c>
      <c r="H24" s="5">
        <f>Q3Working!H220</f>
        <v>13437555</v>
      </c>
      <c r="I24" s="5">
        <f>Q3Working!I220</f>
        <v>18994698.5</v>
      </c>
    </row>
    <row r="25" spans="3:9" x14ac:dyDescent="0.35">
      <c r="C25" s="38" t="s">
        <v>88</v>
      </c>
      <c r="D25" s="7">
        <f>SUM(D23:D24)</f>
        <v>4235300</v>
      </c>
      <c r="E25" s="7">
        <f t="shared" ref="E25:I25" si="3">SUM(E23:E24)</f>
        <v>6004260</v>
      </c>
      <c r="F25" s="7">
        <f t="shared" si="3"/>
        <v>8439360</v>
      </c>
      <c r="G25" s="7">
        <f t="shared" si="3"/>
        <v>11744810</v>
      </c>
      <c r="H25" s="7">
        <f t="shared" si="3"/>
        <v>16437555</v>
      </c>
      <c r="I25" s="7">
        <f t="shared" si="3"/>
        <v>21994698.5</v>
      </c>
    </row>
    <row r="26" spans="3:9" x14ac:dyDescent="0.35">
      <c r="C26" s="37"/>
      <c r="D26" s="5"/>
      <c r="E26" s="5"/>
      <c r="F26" s="5"/>
      <c r="G26" s="5"/>
      <c r="H26" s="5"/>
      <c r="I26" s="5"/>
    </row>
    <row r="27" spans="3:9" x14ac:dyDescent="0.35">
      <c r="C27" s="36" t="s">
        <v>89</v>
      </c>
      <c r="D27" s="5"/>
      <c r="E27" s="5"/>
      <c r="F27" s="5"/>
      <c r="G27" s="5"/>
      <c r="H27" s="5"/>
      <c r="I27" s="5"/>
    </row>
    <row r="28" spans="3:9" x14ac:dyDescent="0.35">
      <c r="C28" s="37" t="s">
        <v>90</v>
      </c>
      <c r="D28" s="5">
        <f>Q3Working!D118+Q3Working!D125</f>
        <v>4000000</v>
      </c>
      <c r="E28" s="5">
        <f>Q3Working!E118+Q3Working!E125</f>
        <v>4200000</v>
      </c>
      <c r="F28" s="5">
        <f>Q3Working!F118+Q3Working!F125</f>
        <v>3400000</v>
      </c>
      <c r="G28" s="5">
        <f>Q3Working!G118+Q3Working!G125</f>
        <v>2600000</v>
      </c>
      <c r="H28" s="5">
        <f>Q3Working!H118+Q3Working!H125</f>
        <v>800000</v>
      </c>
      <c r="I28" s="5">
        <f>Q3Working!I118+Q3Working!I125</f>
        <v>0</v>
      </c>
    </row>
    <row r="29" spans="3:9" x14ac:dyDescent="0.35">
      <c r="C29" s="38" t="s">
        <v>91</v>
      </c>
      <c r="D29" s="7">
        <f>SUM(D28)</f>
        <v>4000000</v>
      </c>
      <c r="E29" s="7">
        <f t="shared" ref="E29:I29" si="4">SUM(E28)</f>
        <v>4200000</v>
      </c>
      <c r="F29" s="7">
        <f t="shared" si="4"/>
        <v>3400000</v>
      </c>
      <c r="G29" s="7">
        <f t="shared" si="4"/>
        <v>2600000</v>
      </c>
      <c r="H29" s="7">
        <f t="shared" si="4"/>
        <v>800000</v>
      </c>
      <c r="I29" s="7">
        <f t="shared" si="4"/>
        <v>0</v>
      </c>
    </row>
    <row r="30" spans="3:9" x14ac:dyDescent="0.35">
      <c r="C30" s="37"/>
      <c r="D30" s="5"/>
      <c r="E30" s="5"/>
      <c r="F30" s="5"/>
      <c r="G30" s="5"/>
      <c r="H30" s="5"/>
      <c r="I30" s="5"/>
    </row>
    <row r="31" spans="3:9" x14ac:dyDescent="0.35">
      <c r="C31" s="37"/>
      <c r="D31" s="5"/>
      <c r="E31" s="5"/>
      <c r="F31" s="5"/>
      <c r="G31" s="5"/>
      <c r="H31" s="5"/>
      <c r="I31" s="5"/>
    </row>
    <row r="32" spans="3:9" x14ac:dyDescent="0.35">
      <c r="C32" s="36" t="s">
        <v>92</v>
      </c>
      <c r="D32" s="5"/>
      <c r="E32" s="5"/>
      <c r="F32" s="5"/>
      <c r="G32" s="5"/>
      <c r="H32" s="5"/>
      <c r="I32" s="5"/>
    </row>
    <row r="33" spans="3:16" x14ac:dyDescent="0.35">
      <c r="C33" s="37" t="s">
        <v>93</v>
      </c>
      <c r="D33" s="5">
        <f>Q3Working!D184</f>
        <v>540000</v>
      </c>
      <c r="E33" s="5">
        <f>Q3Working!E184</f>
        <v>932600</v>
      </c>
      <c r="F33" s="5">
        <f>Q3Working!F184</f>
        <v>1363500</v>
      </c>
      <c r="G33" s="5">
        <f>Q3Working!G184</f>
        <v>1752200</v>
      </c>
      <c r="H33" s="5">
        <f>Q3Working!H184</f>
        <v>1751410</v>
      </c>
      <c r="I33" s="5">
        <f>Q3Working!I184</f>
        <v>1446610</v>
      </c>
      <c r="K33" s="30"/>
      <c r="L33" s="30"/>
      <c r="M33" s="30"/>
      <c r="N33" s="30"/>
      <c r="O33" s="30"/>
      <c r="P33" s="30"/>
    </row>
    <row r="34" spans="3:16" x14ac:dyDescent="0.35">
      <c r="C34" s="37" t="s">
        <v>94</v>
      </c>
      <c r="D34" s="5">
        <f>Q3Working!D224</f>
        <v>0</v>
      </c>
      <c r="E34" s="5">
        <f>Q3Working!E224</f>
        <v>278700</v>
      </c>
      <c r="F34" s="5">
        <f>Q3Working!F224</f>
        <v>323280</v>
      </c>
      <c r="G34" s="5">
        <f>Q3Working!G224</f>
        <v>770260</v>
      </c>
      <c r="H34" s="5">
        <f>Q3Working!H224</f>
        <v>340550</v>
      </c>
      <c r="I34" s="5">
        <f>Q3Working!I224</f>
        <v>510395</v>
      </c>
      <c r="K34" s="30"/>
      <c r="L34" s="30"/>
      <c r="M34" s="30"/>
      <c r="N34" s="30"/>
      <c r="O34" s="30"/>
      <c r="P34" s="30"/>
    </row>
    <row r="35" spans="3:16" x14ac:dyDescent="0.35">
      <c r="C35" s="38" t="s">
        <v>95</v>
      </c>
      <c r="D35" s="40">
        <f>SUM(D33:D34)</f>
        <v>540000</v>
      </c>
      <c r="E35" s="40">
        <f t="shared" ref="E35:I35" si="5">SUM(E33:E34)</f>
        <v>1211300</v>
      </c>
      <c r="F35" s="40">
        <f t="shared" si="5"/>
        <v>1686780</v>
      </c>
      <c r="G35" s="40">
        <f t="shared" si="5"/>
        <v>2522460</v>
      </c>
      <c r="H35" s="40">
        <f t="shared" si="5"/>
        <v>2091960</v>
      </c>
      <c r="I35" s="40">
        <f t="shared" si="5"/>
        <v>1957005</v>
      </c>
    </row>
    <row r="36" spans="3:16" x14ac:dyDescent="0.35">
      <c r="C36" s="37"/>
      <c r="D36" s="5"/>
      <c r="E36" s="5"/>
      <c r="F36" s="5"/>
      <c r="G36" s="5"/>
      <c r="H36" s="5"/>
      <c r="I36" s="5"/>
    </row>
    <row r="37" spans="3:16" x14ac:dyDescent="0.35">
      <c r="C37" s="18" t="s">
        <v>96</v>
      </c>
      <c r="D37" s="19">
        <f>D25+D29+D35</f>
        <v>8775300</v>
      </c>
      <c r="E37" s="42">
        <f t="shared" ref="E37:I37" si="6">E25+E29+E35</f>
        <v>11415560</v>
      </c>
      <c r="F37" s="42">
        <f t="shared" si="6"/>
        <v>13526140</v>
      </c>
      <c r="G37" s="42">
        <f t="shared" si="6"/>
        <v>16867270</v>
      </c>
      <c r="H37" s="42">
        <f t="shared" si="6"/>
        <v>19329515</v>
      </c>
      <c r="I37" s="42">
        <f t="shared" si="6"/>
        <v>23951703.5</v>
      </c>
    </row>
    <row r="39" spans="3:16" x14ac:dyDescent="0.35">
      <c r="C39" s="1" t="s">
        <v>97</v>
      </c>
      <c r="D39" s="2">
        <f>D18-D37</f>
        <v>0</v>
      </c>
      <c r="E39" s="2">
        <f t="shared" ref="E39:I39" si="7">E18-E37</f>
        <v>0</v>
      </c>
      <c r="F39" s="2">
        <f t="shared" si="7"/>
        <v>0</v>
      </c>
      <c r="G39" s="2">
        <f t="shared" si="7"/>
        <v>0</v>
      </c>
      <c r="H39" s="2">
        <f t="shared" si="7"/>
        <v>0</v>
      </c>
      <c r="I39" s="2">
        <f t="shared" si="7"/>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C79F4-E148-46C2-ADD8-B6AF95B863BB}">
  <sheetPr>
    <tabColor rgb="FF92D050"/>
  </sheetPr>
  <dimension ref="B6:J58"/>
  <sheetViews>
    <sheetView showGridLines="0" zoomScale="80" zoomScaleNormal="80" workbookViewId="0">
      <selection activeCell="K13" sqref="K13"/>
    </sheetView>
  </sheetViews>
  <sheetFormatPr defaultColWidth="8.90625" defaultRowHeight="11.5" x14ac:dyDescent="0.35"/>
  <cols>
    <col min="1" max="1" width="8.90625" style="1"/>
    <col min="2" max="2" width="6.7265625" style="1" customWidth="1"/>
    <col min="3" max="3" width="43.26953125" style="1" customWidth="1"/>
    <col min="4" max="4" width="10.54296875" style="2" bestFit="1" customWidth="1"/>
    <col min="5" max="5" width="10.90625" style="2" customWidth="1"/>
    <col min="6" max="6" width="9.81640625" style="2" bestFit="1" customWidth="1"/>
    <col min="7" max="9" width="10.54296875" style="2" bestFit="1" customWidth="1"/>
    <col min="10" max="16384" width="8.90625" style="1"/>
  </cols>
  <sheetData>
    <row r="6" spans="2:9" x14ac:dyDescent="0.35">
      <c r="B6" s="1" t="s">
        <v>144</v>
      </c>
    </row>
    <row r="7" spans="2:9" x14ac:dyDescent="0.35">
      <c r="B7" s="43"/>
      <c r="C7" s="43" t="s">
        <v>4</v>
      </c>
      <c r="D7" s="33" t="s">
        <v>66</v>
      </c>
      <c r="E7" s="33" t="s">
        <v>67</v>
      </c>
      <c r="F7" s="33" t="s">
        <v>68</v>
      </c>
      <c r="G7" s="33" t="s">
        <v>69</v>
      </c>
      <c r="H7" s="33" t="s">
        <v>70</v>
      </c>
      <c r="I7" s="33" t="s">
        <v>71</v>
      </c>
    </row>
    <row r="8" spans="2:9" x14ac:dyDescent="0.35">
      <c r="B8" s="44" t="s">
        <v>145</v>
      </c>
      <c r="C8" s="13" t="s">
        <v>144</v>
      </c>
      <c r="D8" s="8"/>
      <c r="E8" s="4"/>
      <c r="F8" s="4"/>
      <c r="G8" s="4"/>
      <c r="H8" s="4"/>
      <c r="I8" s="4"/>
    </row>
    <row r="9" spans="2:9" x14ac:dyDescent="0.35">
      <c r="B9" s="45"/>
      <c r="C9" s="46" t="s">
        <v>146</v>
      </c>
      <c r="D9" s="9">
        <f>'Q3P&amp;L'!D15</f>
        <v>1776000</v>
      </c>
      <c r="E9" s="9">
        <f>'Q3P&amp;L'!E15</f>
        <v>2479460</v>
      </c>
      <c r="F9" s="9">
        <f>'Q3P&amp;L'!F15</f>
        <v>3354600</v>
      </c>
      <c r="G9" s="9">
        <f>'Q3P&amp;L'!G15</f>
        <v>4493700</v>
      </c>
      <c r="H9" s="9">
        <f>'Q3P&amp;L'!H15</f>
        <v>6297860</v>
      </c>
      <c r="I9" s="9">
        <f>'Q3P&amp;L'!I15</f>
        <v>7434220</v>
      </c>
    </row>
    <row r="10" spans="2:9" x14ac:dyDescent="0.35">
      <c r="B10" s="45"/>
      <c r="D10" s="9"/>
      <c r="E10" s="5"/>
      <c r="F10" s="5"/>
      <c r="G10" s="5"/>
      <c r="H10" s="5"/>
      <c r="I10" s="5"/>
    </row>
    <row r="11" spans="2:9" x14ac:dyDescent="0.35">
      <c r="B11" s="45"/>
      <c r="C11" s="47" t="s">
        <v>147</v>
      </c>
      <c r="D11" s="9"/>
      <c r="E11" s="5"/>
      <c r="F11" s="5"/>
      <c r="G11" s="5"/>
      <c r="H11" s="5"/>
      <c r="I11" s="5"/>
    </row>
    <row r="12" spans="2:9" x14ac:dyDescent="0.35">
      <c r="B12" s="45"/>
      <c r="C12" s="1" t="s">
        <v>148</v>
      </c>
      <c r="D12" s="9">
        <f>'Q3P&amp;L'!D13</f>
        <v>330000</v>
      </c>
      <c r="E12" s="9">
        <f>'Q3P&amp;L'!E13</f>
        <v>297000</v>
      </c>
      <c r="F12" s="9">
        <f>'Q3P&amp;L'!F13</f>
        <v>287300</v>
      </c>
      <c r="G12" s="9">
        <f>'Q3P&amp;L'!G13</f>
        <v>258600</v>
      </c>
      <c r="H12" s="9">
        <f>'Q3P&amp;L'!H13</f>
        <v>232700</v>
      </c>
      <c r="I12" s="9">
        <f>'Q3P&amp;L'!I13</f>
        <v>209400</v>
      </c>
    </row>
    <row r="13" spans="2:9" x14ac:dyDescent="0.35">
      <c r="B13" s="45"/>
      <c r="D13" s="9"/>
      <c r="E13" s="5"/>
      <c r="F13" s="5"/>
      <c r="G13" s="5"/>
      <c r="H13" s="5"/>
      <c r="I13" s="5"/>
    </row>
    <row r="14" spans="2:9" x14ac:dyDescent="0.35">
      <c r="B14" s="45"/>
      <c r="C14" s="47" t="s">
        <v>149</v>
      </c>
      <c r="D14" s="9"/>
      <c r="E14" s="5"/>
      <c r="F14" s="5"/>
      <c r="G14" s="5"/>
      <c r="H14" s="5"/>
      <c r="I14" s="5"/>
    </row>
    <row r="15" spans="2:9" x14ac:dyDescent="0.35">
      <c r="B15" s="45"/>
      <c r="C15" s="1" t="s">
        <v>150</v>
      </c>
      <c r="D15" s="9">
        <f>'Q3P&amp;L'!D14</f>
        <v>320000</v>
      </c>
      <c r="E15" s="9">
        <f>'Q3P&amp;L'!E14</f>
        <v>336000</v>
      </c>
      <c r="F15" s="9">
        <f>'Q3P&amp;L'!F14</f>
        <v>272000</v>
      </c>
      <c r="G15" s="9">
        <f>'Q3P&amp;L'!G14</f>
        <v>208000</v>
      </c>
      <c r="H15" s="9">
        <f>'Q3P&amp;L'!H14</f>
        <v>64000</v>
      </c>
      <c r="I15" s="9">
        <f>'Q3P&amp;L'!I14</f>
        <v>0</v>
      </c>
    </row>
    <row r="16" spans="2:9" x14ac:dyDescent="0.35">
      <c r="B16" s="45"/>
      <c r="C16" s="1" t="s">
        <v>22</v>
      </c>
      <c r="D16" s="9">
        <f>-Q3Working!D47</f>
        <v>-150000</v>
      </c>
      <c r="E16" s="9">
        <f>-Q3Working!E47</f>
        <v>-168000</v>
      </c>
      <c r="F16" s="9">
        <f>-Q3Working!F47</f>
        <v>-186000</v>
      </c>
      <c r="G16" s="9">
        <f>-Q3Working!G47</f>
        <v>-244800</v>
      </c>
      <c r="H16" s="9">
        <f>-Q3Working!H47</f>
        <v>-118400</v>
      </c>
      <c r="I16" s="9">
        <f>-Q3Working!I47</f>
        <v>-131200</v>
      </c>
    </row>
    <row r="17" spans="2:9" x14ac:dyDescent="0.35">
      <c r="B17" s="45"/>
      <c r="C17" s="1" t="s">
        <v>178</v>
      </c>
      <c r="D17" s="9">
        <f>-Q3Working!D49</f>
        <v>0</v>
      </c>
      <c r="E17" s="9">
        <f>-Q3Working!E49</f>
        <v>0</v>
      </c>
      <c r="F17" s="9">
        <f>-Q3Working!F49</f>
        <v>0</v>
      </c>
      <c r="G17" s="9">
        <f>-Q3Working!G49</f>
        <v>0</v>
      </c>
      <c r="H17" s="9">
        <f>-Q3Working!H49</f>
        <v>-460000</v>
      </c>
      <c r="I17" s="9">
        <f>-Q3Working!I49</f>
        <v>0</v>
      </c>
    </row>
    <row r="18" spans="2:9" x14ac:dyDescent="0.35">
      <c r="B18" s="45"/>
      <c r="D18" s="9"/>
      <c r="E18" s="5"/>
      <c r="F18" s="5"/>
      <c r="G18" s="5"/>
      <c r="H18" s="5"/>
      <c r="I18" s="5"/>
    </row>
    <row r="19" spans="2:9" x14ac:dyDescent="0.35">
      <c r="B19" s="45"/>
      <c r="C19" s="48" t="s">
        <v>151</v>
      </c>
      <c r="D19" s="9"/>
      <c r="E19" s="5"/>
      <c r="F19" s="5"/>
      <c r="G19" s="5"/>
      <c r="H19" s="5"/>
      <c r="I19" s="5"/>
    </row>
    <row r="20" spans="2:9" x14ac:dyDescent="0.35">
      <c r="B20" s="45"/>
      <c r="C20" s="1" t="s">
        <v>152</v>
      </c>
      <c r="D20" s="9">
        <f>-'Q3Bal Sheet'!D13</f>
        <v>-124000</v>
      </c>
      <c r="E20" s="5">
        <f>'Q3Bal Sheet'!D13-'Q3Bal Sheet'!E13</f>
        <v>46560</v>
      </c>
      <c r="F20" s="5">
        <f>'Q3Bal Sheet'!E13-'Q3Bal Sheet'!F13</f>
        <v>12820</v>
      </c>
      <c r="G20" s="5">
        <f>'Q3Bal Sheet'!F13-'Q3Bal Sheet'!G13</f>
        <v>-1000</v>
      </c>
      <c r="H20" s="5">
        <f>'Q3Bal Sheet'!G13-'Q3Bal Sheet'!H13</f>
        <v>-9840</v>
      </c>
      <c r="I20" s="5">
        <f>'Q3Bal Sheet'!H13-'Q3Bal Sheet'!I13</f>
        <v>-6780</v>
      </c>
    </row>
    <row r="21" spans="2:9" x14ac:dyDescent="0.35">
      <c r="B21" s="45"/>
      <c r="C21" s="1" t="s">
        <v>153</v>
      </c>
      <c r="D21" s="9">
        <f>-'Q3Bal Sheet'!D12</f>
        <v>-1650000</v>
      </c>
      <c r="E21" s="5">
        <f>'Q3Bal Sheet'!D12-'Q3Bal Sheet'!E12</f>
        <v>-1914000</v>
      </c>
      <c r="F21" s="5">
        <f>'Q3Bal Sheet'!E12-'Q3Bal Sheet'!F12</f>
        <v>-2441000</v>
      </c>
      <c r="G21" s="5">
        <f>'Q3Bal Sheet'!F12-'Q3Bal Sheet'!G12</f>
        <v>-2878000</v>
      </c>
      <c r="H21" s="5">
        <f>'Q3Bal Sheet'!G12-'Q3Bal Sheet'!H12</f>
        <v>-3289000</v>
      </c>
      <c r="I21" s="5">
        <f>'Q3Bal Sheet'!H12-'Q3Bal Sheet'!I12</f>
        <v>-3806000</v>
      </c>
    </row>
    <row r="22" spans="2:9" x14ac:dyDescent="0.35">
      <c r="B22" s="45"/>
      <c r="C22" s="1" t="s">
        <v>179</v>
      </c>
      <c r="D22" s="9">
        <f>-'Q3Bal Sheet'!D15</f>
        <v>0</v>
      </c>
      <c r="E22" s="5">
        <f>'Q3Bal Sheet'!D15-'Q3Bal Sheet'!E15</f>
        <v>-3950000</v>
      </c>
      <c r="F22" s="5">
        <f>'Q3Bal Sheet'!E15-'Q3Bal Sheet'!F15</f>
        <v>-835700</v>
      </c>
      <c r="G22" s="5">
        <f>'Q3Bal Sheet'!F15-'Q3Bal Sheet'!G15</f>
        <v>-172100</v>
      </c>
      <c r="H22" s="5">
        <f>'Q3Bal Sheet'!G15-'Q3Bal Sheet'!H15</f>
        <v>317960</v>
      </c>
      <c r="I22" s="5">
        <f>'Q3Bal Sheet'!H15-'Q3Bal Sheet'!I15</f>
        <v>-235660</v>
      </c>
    </row>
    <row r="23" spans="2:9" x14ac:dyDescent="0.35">
      <c r="B23" s="45"/>
      <c r="C23" s="1" t="s">
        <v>154</v>
      </c>
      <c r="D23" s="9">
        <f>'Q3Bal Sheet'!D33</f>
        <v>540000</v>
      </c>
      <c r="E23" s="5">
        <f>'Q3Bal Sheet'!E33-'Q3Bal Sheet'!D33</f>
        <v>392600</v>
      </c>
      <c r="F23" s="5">
        <f>'Q3Bal Sheet'!F33-'Q3Bal Sheet'!E33</f>
        <v>430900</v>
      </c>
      <c r="G23" s="5">
        <f>'Q3Bal Sheet'!G33-'Q3Bal Sheet'!F33</f>
        <v>388700</v>
      </c>
      <c r="H23" s="5">
        <f>'Q3Bal Sheet'!H33-'Q3Bal Sheet'!G33</f>
        <v>-790</v>
      </c>
      <c r="I23" s="5">
        <f>'Q3Bal Sheet'!I33-'Q3Bal Sheet'!H33</f>
        <v>-304800</v>
      </c>
    </row>
    <row r="24" spans="2:9" x14ac:dyDescent="0.35">
      <c r="B24" s="45"/>
      <c r="C24" s="1" t="s">
        <v>155</v>
      </c>
      <c r="D24" s="9">
        <f>'Q3Bal Sheet'!D34</f>
        <v>0</v>
      </c>
      <c r="E24" s="5">
        <f>'Q3Bal Sheet'!E34-'Q3Bal Sheet'!D34</f>
        <v>278700</v>
      </c>
      <c r="F24" s="5">
        <f>'Q3Bal Sheet'!F34-'Q3Bal Sheet'!E34</f>
        <v>44580</v>
      </c>
      <c r="G24" s="5">
        <f>'Q3Bal Sheet'!G34-'Q3Bal Sheet'!F34</f>
        <v>446980</v>
      </c>
      <c r="H24" s="5">
        <f>'Q3Bal Sheet'!H34-'Q3Bal Sheet'!G34</f>
        <v>-429710</v>
      </c>
      <c r="I24" s="5">
        <f>'Q3Bal Sheet'!I34-'Q3Bal Sheet'!H34</f>
        <v>169845</v>
      </c>
    </row>
    <row r="25" spans="2:9" x14ac:dyDescent="0.35">
      <c r="B25" s="45"/>
      <c r="D25" s="9"/>
      <c r="E25" s="5"/>
      <c r="F25" s="5"/>
      <c r="G25" s="5"/>
      <c r="H25" s="5"/>
      <c r="I25" s="5"/>
    </row>
    <row r="26" spans="2:9" x14ac:dyDescent="0.35">
      <c r="B26" s="45"/>
      <c r="C26" s="1" t="s">
        <v>156</v>
      </c>
      <c r="D26" s="9">
        <f>-'Q3P&amp;L'!D16</f>
        <v>-390700</v>
      </c>
      <c r="E26" s="9">
        <f>-'Q3P&amp;L'!E16</f>
        <v>-545500</v>
      </c>
      <c r="F26" s="9">
        <f>-'Q3P&amp;L'!F16</f>
        <v>-738000</v>
      </c>
      <c r="G26" s="9">
        <f>-'Q3P&amp;L'!G16</f>
        <v>-988600</v>
      </c>
      <c r="H26" s="9">
        <f>-'Q3P&amp;L'!H16</f>
        <v>-1385500</v>
      </c>
      <c r="I26" s="9">
        <f>-'Q3P&amp;L'!I16</f>
        <v>-1635500</v>
      </c>
    </row>
    <row r="27" spans="2:9" x14ac:dyDescent="0.35">
      <c r="B27" s="49"/>
      <c r="C27" s="50" t="s">
        <v>157</v>
      </c>
      <c r="D27" s="11">
        <f>SUM(D9:D26)</f>
        <v>651300</v>
      </c>
      <c r="E27" s="11">
        <f t="shared" ref="E27:I27" si="0">SUM(E9:E26)</f>
        <v>-2747180</v>
      </c>
      <c r="F27" s="11">
        <f t="shared" si="0"/>
        <v>201500</v>
      </c>
      <c r="G27" s="11">
        <f t="shared" si="0"/>
        <v>1511480</v>
      </c>
      <c r="H27" s="11">
        <f t="shared" si="0"/>
        <v>1219280</v>
      </c>
      <c r="I27" s="11">
        <f t="shared" si="0"/>
        <v>1693525</v>
      </c>
    </row>
    <row r="28" spans="2:9" x14ac:dyDescent="0.35">
      <c r="B28" s="51" t="s">
        <v>158</v>
      </c>
      <c r="C28" s="52" t="s">
        <v>159</v>
      </c>
      <c r="D28" s="3"/>
      <c r="E28" s="3"/>
      <c r="F28" s="3"/>
      <c r="G28" s="3"/>
      <c r="H28" s="3"/>
      <c r="I28" s="3"/>
    </row>
    <row r="29" spans="2:9" x14ac:dyDescent="0.35">
      <c r="B29" s="53"/>
      <c r="C29" s="54"/>
      <c r="D29" s="9"/>
      <c r="E29" s="5"/>
      <c r="F29" s="5"/>
      <c r="G29" s="5"/>
      <c r="H29" s="5"/>
      <c r="I29" s="5"/>
    </row>
    <row r="30" spans="2:9" x14ac:dyDescent="0.35">
      <c r="B30" s="55"/>
      <c r="C30" s="56" t="s">
        <v>160</v>
      </c>
      <c r="D30" s="9">
        <f>Q3Working!D199</f>
        <v>-360000</v>
      </c>
      <c r="E30" s="9">
        <f>Q3Working!E199</f>
        <v>0</v>
      </c>
      <c r="F30" s="9">
        <f>Q3Working!F199</f>
        <v>0</v>
      </c>
      <c r="G30" s="9">
        <f>Q3Working!G199</f>
        <v>-162000</v>
      </c>
      <c r="H30" s="9">
        <f>Q3Working!H199</f>
        <v>0</v>
      </c>
      <c r="I30" s="9">
        <f>Q3Working!I199</f>
        <v>0</v>
      </c>
    </row>
    <row r="31" spans="2:9" x14ac:dyDescent="0.35">
      <c r="B31" s="55"/>
      <c r="C31" s="56" t="s">
        <v>161</v>
      </c>
      <c r="D31" s="9">
        <f>Q3Working!D201</f>
        <v>-3300000</v>
      </c>
      <c r="E31" s="9">
        <f>Q3Working!E201</f>
        <v>0</v>
      </c>
      <c r="F31" s="9">
        <f>Q3Working!F201</f>
        <v>-200000</v>
      </c>
      <c r="G31" s="9">
        <f>Q3Working!G201</f>
        <v>0</v>
      </c>
      <c r="H31" s="9">
        <f>Q3Working!H201</f>
        <v>0</v>
      </c>
      <c r="I31" s="9">
        <f>Q3Working!I201</f>
        <v>0</v>
      </c>
    </row>
    <row r="32" spans="2:9" x14ac:dyDescent="0.35">
      <c r="B32" s="55"/>
      <c r="C32" s="56" t="s">
        <v>162</v>
      </c>
      <c r="D32" s="9">
        <f>Q3Working!D200</f>
        <v>0</v>
      </c>
      <c r="E32" s="9">
        <f>Q3Working!E200</f>
        <v>0</v>
      </c>
      <c r="F32" s="9">
        <f>Q3Working!F200</f>
        <v>0</v>
      </c>
      <c r="G32" s="9">
        <f>Q3Working!G200</f>
        <v>0</v>
      </c>
      <c r="H32" s="9">
        <f>Q3Working!H200-H34</f>
        <v>240000</v>
      </c>
      <c r="I32" s="9">
        <f>Q3Working!I200</f>
        <v>0</v>
      </c>
    </row>
    <row r="33" spans="2:9" x14ac:dyDescent="0.35">
      <c r="B33" s="55"/>
      <c r="C33" s="56" t="s">
        <v>22</v>
      </c>
      <c r="D33" s="9">
        <f>-D16</f>
        <v>150000</v>
      </c>
      <c r="E33" s="9">
        <f t="shared" ref="E33:I34" si="1">-E16</f>
        <v>168000</v>
      </c>
      <c r="F33" s="9">
        <f t="shared" si="1"/>
        <v>186000</v>
      </c>
      <c r="G33" s="9">
        <f t="shared" si="1"/>
        <v>244800</v>
      </c>
      <c r="H33" s="9">
        <f t="shared" si="1"/>
        <v>118400</v>
      </c>
      <c r="I33" s="9">
        <f t="shared" si="1"/>
        <v>131200</v>
      </c>
    </row>
    <row r="34" spans="2:9" x14ac:dyDescent="0.35">
      <c r="B34" s="55"/>
      <c r="C34" s="56" t="s">
        <v>180</v>
      </c>
      <c r="D34" s="9">
        <f>-D17</f>
        <v>0</v>
      </c>
      <c r="E34" s="9">
        <f t="shared" si="1"/>
        <v>0</v>
      </c>
      <c r="F34" s="9">
        <f t="shared" si="1"/>
        <v>0</v>
      </c>
      <c r="G34" s="9">
        <f t="shared" si="1"/>
        <v>0</v>
      </c>
      <c r="H34" s="9">
        <f t="shared" si="1"/>
        <v>460000</v>
      </c>
      <c r="I34" s="9">
        <f t="shared" si="1"/>
        <v>0</v>
      </c>
    </row>
    <row r="35" spans="2:9" x14ac:dyDescent="0.35">
      <c r="B35" s="55"/>
      <c r="C35" s="56"/>
      <c r="D35" s="9"/>
      <c r="E35" s="5"/>
      <c r="F35" s="5"/>
      <c r="G35" s="5"/>
      <c r="H35" s="5"/>
      <c r="I35" s="5"/>
    </row>
    <row r="36" spans="2:9" x14ac:dyDescent="0.35">
      <c r="B36" s="57"/>
      <c r="C36" s="58" t="s">
        <v>163</v>
      </c>
      <c r="D36" s="12">
        <f t="shared" ref="D36:I36" si="2">SUM(D30:D35)</f>
        <v>-3510000</v>
      </c>
      <c r="E36" s="12">
        <f t="shared" si="2"/>
        <v>168000</v>
      </c>
      <c r="F36" s="12">
        <f t="shared" si="2"/>
        <v>-14000</v>
      </c>
      <c r="G36" s="12">
        <f t="shared" si="2"/>
        <v>82800</v>
      </c>
      <c r="H36" s="12">
        <f t="shared" si="2"/>
        <v>818400</v>
      </c>
      <c r="I36" s="12">
        <f t="shared" si="2"/>
        <v>131200</v>
      </c>
    </row>
    <row r="37" spans="2:9" x14ac:dyDescent="0.35">
      <c r="B37" s="51" t="s">
        <v>164</v>
      </c>
      <c r="C37" s="59" t="s">
        <v>165</v>
      </c>
      <c r="D37" s="3"/>
      <c r="E37" s="3"/>
      <c r="F37" s="3"/>
      <c r="G37" s="3"/>
      <c r="H37" s="3"/>
      <c r="I37" s="3"/>
    </row>
    <row r="38" spans="2:9" x14ac:dyDescent="0.35">
      <c r="B38" s="45"/>
      <c r="D38" s="9"/>
      <c r="E38" s="5"/>
      <c r="F38" s="5"/>
      <c r="G38" s="5"/>
      <c r="H38" s="5"/>
      <c r="I38" s="5"/>
    </row>
    <row r="39" spans="2:9" x14ac:dyDescent="0.35">
      <c r="B39" s="45"/>
      <c r="C39" s="1" t="s">
        <v>166</v>
      </c>
      <c r="D39" s="9">
        <f>-D15</f>
        <v>-320000</v>
      </c>
      <c r="E39" s="9">
        <f t="shared" ref="E39:I39" si="3">-E15</f>
        <v>-336000</v>
      </c>
      <c r="F39" s="9">
        <f t="shared" si="3"/>
        <v>-272000</v>
      </c>
      <c r="G39" s="9">
        <f t="shared" si="3"/>
        <v>-208000</v>
      </c>
      <c r="H39" s="9">
        <f t="shared" si="3"/>
        <v>-64000</v>
      </c>
      <c r="I39" s="9">
        <f t="shared" si="3"/>
        <v>0</v>
      </c>
    </row>
    <row r="40" spans="2:9" x14ac:dyDescent="0.35">
      <c r="B40" s="45"/>
      <c r="C40" s="1" t="s">
        <v>167</v>
      </c>
      <c r="D40" s="9">
        <f>-'Q3P&amp;L'!D18</f>
        <v>-150000</v>
      </c>
      <c r="E40" s="9">
        <f>-'Q3P&amp;L'!E18</f>
        <v>-165000</v>
      </c>
      <c r="F40" s="9">
        <f>-'Q3P&amp;L'!F18</f>
        <v>-181500.00000000003</v>
      </c>
      <c r="G40" s="9">
        <f>-'Q3P&amp;L'!G18</f>
        <v>-199650.00000000006</v>
      </c>
      <c r="H40" s="9">
        <f>-'Q3P&amp;L'!H18</f>
        <v>-219615.00000000009</v>
      </c>
      <c r="I40" s="9">
        <f>-'Q3P&amp;L'!I18</f>
        <v>-241576.50000000012</v>
      </c>
    </row>
    <row r="41" spans="2:9" x14ac:dyDescent="0.35">
      <c r="B41" s="45"/>
      <c r="C41" s="1" t="s">
        <v>168</v>
      </c>
      <c r="D41" s="9">
        <f>Q3Working!D197</f>
        <v>4000000</v>
      </c>
      <c r="E41" s="9">
        <f>Q3Working!E197</f>
        <v>1000000</v>
      </c>
      <c r="F41" s="9">
        <f>Q3Working!F197</f>
        <v>0</v>
      </c>
      <c r="G41" s="9">
        <f>Q3Working!G197</f>
        <v>0</v>
      </c>
      <c r="H41" s="9">
        <f>Q3Working!H197</f>
        <v>0</v>
      </c>
      <c r="I41" s="9">
        <f>Q3Working!I197</f>
        <v>0</v>
      </c>
    </row>
    <row r="42" spans="2:9" x14ac:dyDescent="0.35">
      <c r="B42" s="45"/>
      <c r="C42" s="1" t="s">
        <v>169</v>
      </c>
      <c r="D42" s="9">
        <f>Q3Working!D198</f>
        <v>0</v>
      </c>
      <c r="E42" s="9">
        <f>Q3Working!E198</f>
        <v>-800000</v>
      </c>
      <c r="F42" s="9">
        <f>Q3Working!F198</f>
        <v>-800000</v>
      </c>
      <c r="G42" s="9">
        <f>Q3Working!G198</f>
        <v>-800000</v>
      </c>
      <c r="H42" s="9">
        <f>Q3Working!H198</f>
        <v>-1800000</v>
      </c>
      <c r="I42" s="9">
        <f>Q3Working!I198</f>
        <v>-800000</v>
      </c>
    </row>
    <row r="43" spans="2:9" x14ac:dyDescent="0.35">
      <c r="B43" s="45"/>
      <c r="C43" s="1" t="s">
        <v>170</v>
      </c>
      <c r="D43" s="9">
        <f>Q3Working!D196</f>
        <v>3000000</v>
      </c>
      <c r="E43" s="9">
        <f>Q3Working!E196</f>
        <v>0</v>
      </c>
      <c r="F43" s="9">
        <f>Q3Working!F196</f>
        <v>0</v>
      </c>
      <c r="G43" s="9">
        <f>Q3Working!G196</f>
        <v>0</v>
      </c>
      <c r="H43" s="9">
        <f>Q3Working!H196</f>
        <v>0</v>
      </c>
      <c r="I43" s="9">
        <f>Q3Working!I196</f>
        <v>0</v>
      </c>
    </row>
    <row r="44" spans="2:9" x14ac:dyDescent="0.35">
      <c r="B44" s="45"/>
      <c r="D44" s="9"/>
      <c r="E44" s="5"/>
      <c r="F44" s="5"/>
      <c r="G44" s="5"/>
      <c r="H44" s="5"/>
      <c r="I44" s="5"/>
    </row>
    <row r="45" spans="2:9" x14ac:dyDescent="0.35">
      <c r="B45" s="49"/>
      <c r="C45" s="50" t="s">
        <v>171</v>
      </c>
      <c r="D45" s="10">
        <f>SUM(D39:D44)</f>
        <v>6530000</v>
      </c>
      <c r="E45" s="10">
        <f t="shared" ref="E45:I45" si="4">SUM(E39:E44)</f>
        <v>-301000</v>
      </c>
      <c r="F45" s="10">
        <f t="shared" si="4"/>
        <v>-1253500</v>
      </c>
      <c r="G45" s="10">
        <f t="shared" si="4"/>
        <v>-1207650</v>
      </c>
      <c r="H45" s="10">
        <f t="shared" si="4"/>
        <v>-2083615</v>
      </c>
      <c r="I45" s="10">
        <f t="shared" si="4"/>
        <v>-1041576.5000000001</v>
      </c>
    </row>
    <row r="46" spans="2:9" x14ac:dyDescent="0.35">
      <c r="B46" s="60" t="s">
        <v>172</v>
      </c>
      <c r="C46" s="61" t="s">
        <v>173</v>
      </c>
      <c r="D46" s="3">
        <f>D27+D36+D45</f>
        <v>3671300</v>
      </c>
      <c r="E46" s="3">
        <f t="shared" ref="E46:I46" si="5">E27+E36+E45</f>
        <v>-2880180</v>
      </c>
      <c r="F46" s="3">
        <f t="shared" si="5"/>
        <v>-1066000</v>
      </c>
      <c r="G46" s="3">
        <f t="shared" si="5"/>
        <v>386630</v>
      </c>
      <c r="H46" s="3">
        <f t="shared" si="5"/>
        <v>-45935</v>
      </c>
      <c r="I46" s="3">
        <f t="shared" si="5"/>
        <v>783148.49999999988</v>
      </c>
    </row>
    <row r="47" spans="2:9" x14ac:dyDescent="0.35">
      <c r="B47" s="62" t="s">
        <v>174</v>
      </c>
      <c r="C47" s="63" t="s">
        <v>175</v>
      </c>
      <c r="D47" s="3">
        <v>0</v>
      </c>
      <c r="E47" s="3">
        <f>D48</f>
        <v>3671300</v>
      </c>
      <c r="F47" s="3">
        <f t="shared" ref="F47:I47" si="6">E48</f>
        <v>791120</v>
      </c>
      <c r="G47" s="3">
        <f t="shared" si="6"/>
        <v>-274880</v>
      </c>
      <c r="H47" s="3">
        <f t="shared" si="6"/>
        <v>111750</v>
      </c>
      <c r="I47" s="3">
        <f t="shared" si="6"/>
        <v>65815</v>
      </c>
    </row>
    <row r="48" spans="2:9" x14ac:dyDescent="0.35">
      <c r="B48" s="62" t="s">
        <v>176</v>
      </c>
      <c r="C48" s="59" t="s">
        <v>177</v>
      </c>
      <c r="D48" s="3">
        <f>SUM(D46:D47)</f>
        <v>3671300</v>
      </c>
      <c r="E48" s="3">
        <f t="shared" ref="E48:I48" si="7">SUM(E46:E47)</f>
        <v>791120</v>
      </c>
      <c r="F48" s="3">
        <f t="shared" si="7"/>
        <v>-274880</v>
      </c>
      <c r="G48" s="3">
        <f t="shared" si="7"/>
        <v>111750</v>
      </c>
      <c r="H48" s="3">
        <f t="shared" si="7"/>
        <v>65815</v>
      </c>
      <c r="I48" s="3">
        <f t="shared" si="7"/>
        <v>848963.49999999988</v>
      </c>
    </row>
    <row r="49" spans="2:10" x14ac:dyDescent="0.35">
      <c r="B49" s="64"/>
    </row>
    <row r="50" spans="2:10" x14ac:dyDescent="0.35">
      <c r="B50" s="64"/>
      <c r="C50" s="1" t="s">
        <v>183</v>
      </c>
      <c r="D50" s="2">
        <f>'Q3Bal Sheet'!D14</f>
        <v>3671300</v>
      </c>
      <c r="E50" s="2">
        <f>'Q3Bal Sheet'!E14</f>
        <v>791120</v>
      </c>
      <c r="F50" s="2">
        <f>'Q3Bal Sheet'!F14</f>
        <v>-274880</v>
      </c>
      <c r="G50" s="2">
        <f>'Q3Bal Sheet'!G14</f>
        <v>111750</v>
      </c>
      <c r="H50" s="2">
        <f>'Q3Bal Sheet'!H14</f>
        <v>65815</v>
      </c>
      <c r="I50" s="2">
        <f>'Q3Bal Sheet'!I14</f>
        <v>848963.5</v>
      </c>
    </row>
    <row r="51" spans="2:10" x14ac:dyDescent="0.35">
      <c r="C51" s="1" t="s">
        <v>97</v>
      </c>
      <c r="D51" s="2">
        <f>D48-D50</f>
        <v>0</v>
      </c>
      <c r="E51" s="2">
        <f t="shared" ref="E51:I51" si="8">E48-E50</f>
        <v>0</v>
      </c>
      <c r="F51" s="2">
        <f t="shared" si="8"/>
        <v>0</v>
      </c>
      <c r="G51" s="2">
        <f t="shared" si="8"/>
        <v>0</v>
      </c>
      <c r="H51" s="2">
        <f t="shared" si="8"/>
        <v>0</v>
      </c>
      <c r="I51" s="2">
        <f t="shared" si="8"/>
        <v>0</v>
      </c>
    </row>
    <row r="58" spans="2:10" x14ac:dyDescent="0.35">
      <c r="J58" s="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0C07A-EDEE-4462-8DB8-90654CD36D63}">
  <sheetPr>
    <tabColor rgb="FF92D050"/>
  </sheetPr>
  <dimension ref="A2:R79"/>
  <sheetViews>
    <sheetView showGridLines="0" zoomScale="80" zoomScaleNormal="80" workbookViewId="0">
      <selection activeCell="A3" sqref="A3"/>
    </sheetView>
  </sheetViews>
  <sheetFormatPr defaultRowHeight="11.5" x14ac:dyDescent="0.35"/>
  <cols>
    <col min="1" max="3" width="8.7265625" style="1"/>
    <col min="4" max="4" width="53.1796875" style="1" customWidth="1"/>
    <col min="5" max="17" width="8.7265625" style="1"/>
    <col min="18" max="18" width="11.1796875" style="1" bestFit="1" customWidth="1"/>
    <col min="19" max="16384" width="8.7265625" style="1"/>
  </cols>
  <sheetData>
    <row r="2" spans="1:10" x14ac:dyDescent="0.35">
      <c r="A2" s="1" t="s">
        <v>427</v>
      </c>
    </row>
    <row r="4" spans="1:10" x14ac:dyDescent="0.35">
      <c r="B4" s="1">
        <v>2</v>
      </c>
      <c r="C4" s="1">
        <v>1</v>
      </c>
      <c r="D4" s="1" t="s">
        <v>380</v>
      </c>
    </row>
    <row r="5" spans="1:10" x14ac:dyDescent="0.35">
      <c r="D5" s="1" t="s">
        <v>269</v>
      </c>
      <c r="E5" s="22"/>
    </row>
    <row r="6" spans="1:10" x14ac:dyDescent="0.35">
      <c r="D6" s="1" t="s">
        <v>311</v>
      </c>
    </row>
    <row r="7" spans="1:10" x14ac:dyDescent="0.35">
      <c r="D7" s="1" t="s">
        <v>312</v>
      </c>
    </row>
    <row r="8" spans="1:10" x14ac:dyDescent="0.35">
      <c r="D8" s="85" t="s">
        <v>381</v>
      </c>
    </row>
    <row r="11" spans="1:10" x14ac:dyDescent="0.35">
      <c r="B11" s="1">
        <v>2</v>
      </c>
      <c r="C11" s="1">
        <v>2</v>
      </c>
      <c r="D11" s="1" t="s">
        <v>382</v>
      </c>
    </row>
    <row r="12" spans="1:10" x14ac:dyDescent="0.35">
      <c r="D12" s="1" t="s">
        <v>383</v>
      </c>
    </row>
    <row r="13" spans="1:10" x14ac:dyDescent="0.35">
      <c r="D13" s="85" t="s">
        <v>384</v>
      </c>
    </row>
    <row r="14" spans="1:10" x14ac:dyDescent="0.35">
      <c r="D14" s="1" t="s">
        <v>385</v>
      </c>
      <c r="J14" s="84"/>
    </row>
    <row r="15" spans="1:10" x14ac:dyDescent="0.35">
      <c r="D15" s="1" t="s">
        <v>386</v>
      </c>
    </row>
    <row r="18" spans="2:18" ht="46" x14ac:dyDescent="0.35">
      <c r="B18" s="1">
        <v>2</v>
      </c>
      <c r="C18" s="1">
        <v>3</v>
      </c>
      <c r="D18" s="46" t="s">
        <v>387</v>
      </c>
    </row>
    <row r="19" spans="2:18" x14ac:dyDescent="0.35">
      <c r="D19" s="1" t="s">
        <v>388</v>
      </c>
      <c r="I19" s="1" t="s">
        <v>313</v>
      </c>
      <c r="J19" s="96">
        <v>0.4</v>
      </c>
      <c r="K19" s="79">
        <f>8*(1-25%)%</f>
        <v>0.06</v>
      </c>
      <c r="L19" s="81">
        <f>J19*K19</f>
        <v>2.4E-2</v>
      </c>
    </row>
    <row r="20" spans="2:18" x14ac:dyDescent="0.35">
      <c r="D20" s="1" t="s">
        <v>389</v>
      </c>
      <c r="I20" s="1" t="s">
        <v>289</v>
      </c>
      <c r="J20" s="96">
        <v>0.6</v>
      </c>
      <c r="K20" s="68">
        <v>9.5000000000000001E-2</v>
      </c>
      <c r="L20" s="81">
        <f>J20*K20</f>
        <v>5.6999999999999995E-2</v>
      </c>
    </row>
    <row r="21" spans="2:18" x14ac:dyDescent="0.35">
      <c r="D21" s="85" t="s">
        <v>390</v>
      </c>
    </row>
    <row r="22" spans="2:18" x14ac:dyDescent="0.35">
      <c r="D22" s="1" t="s">
        <v>391</v>
      </c>
    </row>
    <row r="24" spans="2:18" x14ac:dyDescent="0.35">
      <c r="B24" s="1">
        <v>2</v>
      </c>
      <c r="C24" s="1">
        <v>4</v>
      </c>
      <c r="D24" s="1" t="s">
        <v>275</v>
      </c>
    </row>
    <row r="25" spans="2:18" x14ac:dyDescent="0.35">
      <c r="D25" s="1" t="s">
        <v>276</v>
      </c>
    </row>
    <row r="26" spans="2:18" x14ac:dyDescent="0.35">
      <c r="D26" s="1" t="s">
        <v>277</v>
      </c>
      <c r="G26" s="1">
        <v>0</v>
      </c>
      <c r="H26" s="1">
        <f>G26+1</f>
        <v>1</v>
      </c>
      <c r="I26" s="1">
        <f t="shared" ref="I26:Q26" si="0">H26+1</f>
        <v>2</v>
      </c>
      <c r="J26" s="1">
        <f t="shared" si="0"/>
        <v>3</v>
      </c>
      <c r="K26" s="1">
        <f t="shared" si="0"/>
        <v>4</v>
      </c>
      <c r="L26" s="1">
        <f t="shared" si="0"/>
        <v>5</v>
      </c>
      <c r="M26" s="1">
        <f t="shared" si="0"/>
        <v>6</v>
      </c>
      <c r="N26" s="1">
        <f t="shared" si="0"/>
        <v>7</v>
      </c>
      <c r="O26" s="1">
        <f t="shared" si="0"/>
        <v>8</v>
      </c>
      <c r="P26" s="1">
        <f t="shared" si="0"/>
        <v>9</v>
      </c>
      <c r="Q26" s="1">
        <f t="shared" si="0"/>
        <v>10</v>
      </c>
    </row>
    <row r="27" spans="2:18" x14ac:dyDescent="0.35">
      <c r="D27" s="1" t="s">
        <v>278</v>
      </c>
      <c r="F27" s="68">
        <v>0.12</v>
      </c>
      <c r="G27" s="1">
        <f>1/(POWER((1+$F$27),G26))</f>
        <v>1</v>
      </c>
      <c r="H27" s="1">
        <f>1/(POWER((1+$F$27),H26))</f>
        <v>0.89285714285714279</v>
      </c>
      <c r="I27" s="1">
        <f t="shared" ref="I27:Q27" si="1">1/(POWER((1+$F$27),I26))</f>
        <v>0.79719387755102034</v>
      </c>
      <c r="J27" s="1">
        <f t="shared" si="1"/>
        <v>0.71178024781341087</v>
      </c>
      <c r="K27" s="1">
        <f t="shared" si="1"/>
        <v>0.63551807840483121</v>
      </c>
      <c r="L27" s="1">
        <f t="shared" si="1"/>
        <v>0.56742685571859919</v>
      </c>
      <c r="M27" s="1">
        <f t="shared" si="1"/>
        <v>0.50663112117732068</v>
      </c>
      <c r="N27" s="1">
        <f t="shared" si="1"/>
        <v>0.45234921533689343</v>
      </c>
      <c r="O27" s="1">
        <f t="shared" si="1"/>
        <v>0.4038832279793691</v>
      </c>
      <c r="P27" s="1">
        <f t="shared" si="1"/>
        <v>0.36061002498157957</v>
      </c>
      <c r="Q27" s="1">
        <f t="shared" si="1"/>
        <v>0.32197323659069599</v>
      </c>
    </row>
    <row r="28" spans="2:18" x14ac:dyDescent="0.35">
      <c r="D28" s="85" t="s">
        <v>279</v>
      </c>
      <c r="G28" s="1">
        <v>-226009</v>
      </c>
      <c r="H28" s="1">
        <v>40000</v>
      </c>
      <c r="I28" s="1">
        <f>H28</f>
        <v>40000</v>
      </c>
      <c r="J28" s="1">
        <f t="shared" ref="J28:Q28" si="2">I28</f>
        <v>40000</v>
      </c>
      <c r="K28" s="1">
        <f t="shared" si="2"/>
        <v>40000</v>
      </c>
      <c r="L28" s="1">
        <f t="shared" si="2"/>
        <v>40000</v>
      </c>
      <c r="M28" s="1">
        <f t="shared" si="2"/>
        <v>40000</v>
      </c>
      <c r="N28" s="1">
        <f t="shared" si="2"/>
        <v>40000</v>
      </c>
      <c r="O28" s="1">
        <f t="shared" si="2"/>
        <v>40000</v>
      </c>
      <c r="P28" s="1">
        <f t="shared" si="2"/>
        <v>40000</v>
      </c>
      <c r="Q28" s="1">
        <f t="shared" si="2"/>
        <v>40000</v>
      </c>
      <c r="R28" s="2">
        <f>SUM(G28:Q28)</f>
        <v>173991</v>
      </c>
    </row>
    <row r="29" spans="2:18" x14ac:dyDescent="0.35">
      <c r="G29" s="1">
        <f>G27*G28</f>
        <v>-226009</v>
      </c>
      <c r="H29" s="1">
        <f t="shared" ref="H29:Q29" si="3">H27*H28</f>
        <v>35714.28571428571</v>
      </c>
      <c r="I29" s="1">
        <f t="shared" si="3"/>
        <v>31887.755102040814</v>
      </c>
      <c r="J29" s="1">
        <f t="shared" si="3"/>
        <v>28471.209912536437</v>
      </c>
      <c r="K29" s="1">
        <f t="shared" si="3"/>
        <v>25420.72313619325</v>
      </c>
      <c r="L29" s="1">
        <f t="shared" si="3"/>
        <v>22697.074228743968</v>
      </c>
      <c r="M29" s="1">
        <f t="shared" si="3"/>
        <v>20265.244847092828</v>
      </c>
      <c r="N29" s="1">
        <f t="shared" si="3"/>
        <v>18093.968613475736</v>
      </c>
      <c r="O29" s="1">
        <f t="shared" si="3"/>
        <v>16155.329119174763</v>
      </c>
      <c r="P29" s="1">
        <f t="shared" si="3"/>
        <v>14424.400999263184</v>
      </c>
      <c r="Q29" s="1">
        <f t="shared" si="3"/>
        <v>12878.929463627839</v>
      </c>
      <c r="R29" s="2">
        <f>SUM(G29:Q29)</f>
        <v>-7.8863565493520582E-2</v>
      </c>
    </row>
    <row r="31" spans="2:18" x14ac:dyDescent="0.35">
      <c r="B31" s="1">
        <v>2</v>
      </c>
      <c r="C31" s="1">
        <v>5</v>
      </c>
      <c r="D31" s="1" t="s">
        <v>392</v>
      </c>
    </row>
    <row r="32" spans="2:18" x14ac:dyDescent="0.35">
      <c r="D32" s="85" t="s">
        <v>393</v>
      </c>
    </row>
    <row r="33" spans="2:18" x14ac:dyDescent="0.35">
      <c r="D33" s="1" t="s">
        <v>394</v>
      </c>
      <c r="G33" s="1">
        <v>0</v>
      </c>
      <c r="H33" s="1">
        <f>G33+1</f>
        <v>1</v>
      </c>
      <c r="I33" s="1">
        <f t="shared" ref="I33:Q33" si="4">H33+1</f>
        <v>2</v>
      </c>
      <c r="J33" s="1">
        <f t="shared" si="4"/>
        <v>3</v>
      </c>
      <c r="K33" s="1">
        <f t="shared" si="4"/>
        <v>4</v>
      </c>
      <c r="L33" s="1">
        <f t="shared" si="4"/>
        <v>5</v>
      </c>
      <c r="M33" s="1">
        <f t="shared" si="4"/>
        <v>6</v>
      </c>
      <c r="N33" s="1">
        <f t="shared" si="4"/>
        <v>7</v>
      </c>
      <c r="O33" s="1">
        <f t="shared" si="4"/>
        <v>8</v>
      </c>
      <c r="P33" s="1">
        <f t="shared" si="4"/>
        <v>9</v>
      </c>
      <c r="Q33" s="1">
        <f t="shared" si="4"/>
        <v>10</v>
      </c>
    </row>
    <row r="34" spans="2:18" x14ac:dyDescent="0.35">
      <c r="D34" s="1" t="s">
        <v>395</v>
      </c>
      <c r="F34" s="68">
        <v>0.14000000000000001</v>
      </c>
      <c r="G34" s="1">
        <f>1/(POWER((1+$F$27),G33))</f>
        <v>1</v>
      </c>
      <c r="H34" s="1">
        <f>1/(POWER((1+$F$34),H33))</f>
        <v>0.8771929824561403</v>
      </c>
      <c r="I34" s="1">
        <f t="shared" ref="I34:Q34" si="5">1/(POWER((1+$F$34),I33))</f>
        <v>0.76946752847029842</v>
      </c>
      <c r="J34" s="1">
        <f t="shared" si="5"/>
        <v>0.67497151620201612</v>
      </c>
      <c r="K34" s="1">
        <f t="shared" si="5"/>
        <v>0.59208027737018942</v>
      </c>
      <c r="L34" s="1">
        <f t="shared" si="5"/>
        <v>0.51936866435981521</v>
      </c>
      <c r="M34" s="1">
        <f t="shared" si="5"/>
        <v>0.45558654768404844</v>
      </c>
      <c r="N34" s="1">
        <f t="shared" si="5"/>
        <v>0.39963732252986695</v>
      </c>
      <c r="O34" s="1">
        <f t="shared" si="5"/>
        <v>0.35055905485076044</v>
      </c>
      <c r="P34" s="1">
        <f t="shared" si="5"/>
        <v>0.3075079428515442</v>
      </c>
      <c r="Q34" s="1">
        <f t="shared" si="5"/>
        <v>0.26974380951889843</v>
      </c>
    </row>
    <row r="35" spans="2:18" x14ac:dyDescent="0.35">
      <c r="D35" s="1" t="s">
        <v>396</v>
      </c>
      <c r="G35" s="1">
        <v>-160000</v>
      </c>
      <c r="H35" s="1">
        <v>45000</v>
      </c>
      <c r="I35" s="1">
        <f>H35</f>
        <v>45000</v>
      </c>
      <c r="J35" s="1">
        <f t="shared" ref="J35:Q35" si="6">I35</f>
        <v>45000</v>
      </c>
      <c r="K35" s="1">
        <f t="shared" si="6"/>
        <v>45000</v>
      </c>
      <c r="L35" s="1">
        <f t="shared" si="6"/>
        <v>45000</v>
      </c>
      <c r="M35" s="1">
        <f t="shared" si="6"/>
        <v>45000</v>
      </c>
      <c r="N35" s="1">
        <f t="shared" si="6"/>
        <v>45000</v>
      </c>
      <c r="O35" s="1">
        <f t="shared" si="6"/>
        <v>45000</v>
      </c>
      <c r="P35" s="1">
        <f t="shared" si="6"/>
        <v>45000</v>
      </c>
      <c r="Q35" s="1">
        <f t="shared" si="6"/>
        <v>45000</v>
      </c>
      <c r="R35" s="2">
        <f>SUM(G35:Q35)</f>
        <v>290000</v>
      </c>
    </row>
    <row r="36" spans="2:18" x14ac:dyDescent="0.35">
      <c r="G36" s="1">
        <f>G34*G35</f>
        <v>-160000</v>
      </c>
      <c r="H36" s="1">
        <f t="shared" ref="H36:Q36" si="7">H34*H35</f>
        <v>39473.684210526313</v>
      </c>
      <c r="I36" s="1">
        <f t="shared" si="7"/>
        <v>34626.038781163428</v>
      </c>
      <c r="J36" s="1">
        <f t="shared" si="7"/>
        <v>30373.718229090726</v>
      </c>
      <c r="K36" s="1">
        <f t="shared" si="7"/>
        <v>26643.612481658525</v>
      </c>
      <c r="L36" s="1">
        <f t="shared" si="7"/>
        <v>23371.589896191683</v>
      </c>
      <c r="M36" s="1">
        <f t="shared" si="7"/>
        <v>20501.39464578218</v>
      </c>
      <c r="N36" s="1">
        <f t="shared" si="7"/>
        <v>17983.679513844014</v>
      </c>
      <c r="O36" s="1">
        <f t="shared" si="7"/>
        <v>15775.15746828422</v>
      </c>
      <c r="P36" s="1">
        <f t="shared" si="7"/>
        <v>13837.857428319488</v>
      </c>
      <c r="Q36" s="1">
        <f t="shared" si="7"/>
        <v>12138.471428350429</v>
      </c>
      <c r="R36" s="2">
        <f>SUM(G36:Q36)</f>
        <v>74725.204083211007</v>
      </c>
    </row>
    <row r="38" spans="2:18" x14ac:dyDescent="0.35">
      <c r="B38" s="1">
        <v>1</v>
      </c>
      <c r="C38" s="1">
        <v>6</v>
      </c>
      <c r="D38" s="1" t="s">
        <v>268</v>
      </c>
    </row>
    <row r="39" spans="2:18" x14ac:dyDescent="0.35">
      <c r="D39" s="1" t="s">
        <v>397</v>
      </c>
    </row>
    <row r="40" spans="2:18" x14ac:dyDescent="0.35">
      <c r="D40" s="1" t="s">
        <v>314</v>
      </c>
    </row>
    <row r="41" spans="2:18" x14ac:dyDescent="0.35">
      <c r="D41" s="1" t="s">
        <v>315</v>
      </c>
    </row>
    <row r="42" spans="2:18" x14ac:dyDescent="0.35">
      <c r="D42" s="85" t="s">
        <v>398</v>
      </c>
    </row>
    <row r="44" spans="2:18" x14ac:dyDescent="0.35">
      <c r="B44" s="1">
        <v>1</v>
      </c>
      <c r="C44" s="1">
        <v>7</v>
      </c>
      <c r="D44" s="1" t="s">
        <v>399</v>
      </c>
    </row>
    <row r="45" spans="2:18" x14ac:dyDescent="0.35">
      <c r="D45" s="1" t="s">
        <v>400</v>
      </c>
    </row>
    <row r="46" spans="2:18" x14ac:dyDescent="0.35">
      <c r="D46" s="1" t="s">
        <v>401</v>
      </c>
      <c r="H46" s="22">
        <f>(15*(1-25%))/103</f>
        <v>0.10922330097087378</v>
      </c>
    </row>
    <row r="47" spans="2:18" x14ac:dyDescent="0.35">
      <c r="D47" s="1" t="s">
        <v>312</v>
      </c>
    </row>
    <row r="48" spans="2:18" x14ac:dyDescent="0.35">
      <c r="D48" s="85" t="s">
        <v>316</v>
      </c>
    </row>
    <row r="50" spans="2:4" x14ac:dyDescent="0.35">
      <c r="B50" s="1">
        <v>1</v>
      </c>
      <c r="C50" s="1">
        <v>8</v>
      </c>
      <c r="D50" s="1" t="s">
        <v>319</v>
      </c>
    </row>
    <row r="51" spans="2:4" x14ac:dyDescent="0.35">
      <c r="D51" s="1" t="s">
        <v>317</v>
      </c>
    </row>
    <row r="52" spans="2:4" x14ac:dyDescent="0.35">
      <c r="D52" s="85" t="s">
        <v>402</v>
      </c>
    </row>
    <row r="53" spans="2:4" x14ac:dyDescent="0.35">
      <c r="D53" s="1" t="s">
        <v>270</v>
      </c>
    </row>
    <row r="54" spans="2:4" x14ac:dyDescent="0.35">
      <c r="D54" s="1" t="s">
        <v>318</v>
      </c>
    </row>
    <row r="56" spans="2:4" x14ac:dyDescent="0.35">
      <c r="B56" s="2">
        <v>1</v>
      </c>
      <c r="C56" s="2">
        <v>9</v>
      </c>
      <c r="D56" s="2" t="s">
        <v>403</v>
      </c>
    </row>
    <row r="57" spans="2:4" x14ac:dyDescent="0.35">
      <c r="D57" s="1" t="s">
        <v>271</v>
      </c>
    </row>
    <row r="58" spans="2:4" x14ac:dyDescent="0.35">
      <c r="D58" s="85" t="s">
        <v>272</v>
      </c>
    </row>
    <row r="59" spans="2:4" x14ac:dyDescent="0.35">
      <c r="D59" s="1" t="s">
        <v>273</v>
      </c>
    </row>
    <row r="60" spans="2:4" x14ac:dyDescent="0.35">
      <c r="D60" s="1" t="s">
        <v>274</v>
      </c>
    </row>
    <row r="62" spans="2:4" ht="23" x14ac:dyDescent="0.35">
      <c r="B62" s="1">
        <v>1</v>
      </c>
      <c r="C62" s="1">
        <v>10</v>
      </c>
      <c r="D62" s="46" t="s">
        <v>265</v>
      </c>
    </row>
    <row r="63" spans="2:4" x14ac:dyDescent="0.35">
      <c r="D63" s="1" t="s">
        <v>327</v>
      </c>
    </row>
    <row r="64" spans="2:4" x14ac:dyDescent="0.35">
      <c r="D64" s="1" t="s">
        <v>266</v>
      </c>
    </row>
    <row r="65" spans="3:4" x14ac:dyDescent="0.35">
      <c r="D65" s="85" t="s">
        <v>267</v>
      </c>
    </row>
    <row r="69" spans="3:4" x14ac:dyDescent="0.35">
      <c r="D69" s="1" t="s">
        <v>320</v>
      </c>
    </row>
    <row r="70" spans="3:4" x14ac:dyDescent="0.35">
      <c r="C70" s="1">
        <v>1</v>
      </c>
      <c r="D70" s="1" t="str">
        <f>D8</f>
        <v>D. 15.00%</v>
      </c>
    </row>
    <row r="71" spans="3:4" x14ac:dyDescent="0.35">
      <c r="C71" s="1">
        <f>C70+1</f>
        <v>2</v>
      </c>
      <c r="D71" s="1" t="str">
        <f>D13</f>
        <v>B. 0.8</v>
      </c>
    </row>
    <row r="72" spans="3:4" x14ac:dyDescent="0.35">
      <c r="C72" s="1">
        <f t="shared" ref="C72:C79" si="8">C71+1</f>
        <v>3</v>
      </c>
      <c r="D72" s="1" t="str">
        <f>D21</f>
        <v>C. 8.10%</v>
      </c>
    </row>
    <row r="73" spans="3:4" x14ac:dyDescent="0.35">
      <c r="C73" s="1">
        <f t="shared" si="8"/>
        <v>4</v>
      </c>
      <c r="D73" s="1" t="str">
        <f>D28</f>
        <v>D. 12%</v>
      </c>
    </row>
    <row r="74" spans="3:4" x14ac:dyDescent="0.35">
      <c r="C74" s="1">
        <f t="shared" si="8"/>
        <v>5</v>
      </c>
      <c r="D74" s="1" t="str">
        <f>D32</f>
        <v>A. Rs 74,725</v>
      </c>
    </row>
    <row r="75" spans="3:4" x14ac:dyDescent="0.35">
      <c r="C75" s="1">
        <f t="shared" si="8"/>
        <v>6</v>
      </c>
      <c r="D75" s="1" t="str">
        <f>D42</f>
        <v>D. Threats of New Regulation</v>
      </c>
    </row>
    <row r="76" spans="3:4" x14ac:dyDescent="0.35">
      <c r="C76" s="1">
        <f t="shared" si="8"/>
        <v>7</v>
      </c>
      <c r="D76" s="1" t="str">
        <f>D48</f>
        <v>D. 10.92%</v>
      </c>
    </row>
    <row r="77" spans="3:4" x14ac:dyDescent="0.35">
      <c r="C77" s="1">
        <f t="shared" si="8"/>
        <v>8</v>
      </c>
      <c r="D77" s="1" t="str">
        <f>D52</f>
        <v>B. Cost of Preference Shares,</v>
      </c>
    </row>
    <row r="78" spans="3:4" x14ac:dyDescent="0.35">
      <c r="C78" s="1">
        <f t="shared" si="8"/>
        <v>9</v>
      </c>
      <c r="D78" s="1" t="str">
        <f>D58</f>
        <v>B. Financing Activities</v>
      </c>
    </row>
    <row r="79" spans="3:4" x14ac:dyDescent="0.35">
      <c r="C79" s="1">
        <f t="shared" si="8"/>
        <v>10</v>
      </c>
      <c r="D79" s="1" t="str">
        <f>D65</f>
        <v>C. liquidation value.</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BDBED-69EB-41D8-8C64-8819B265BDE9}">
  <sheetPr>
    <tabColor rgb="FF92D050"/>
  </sheetPr>
  <dimension ref="A2:K80"/>
  <sheetViews>
    <sheetView showGridLines="0" zoomScale="80" zoomScaleNormal="80" workbookViewId="0">
      <selection activeCell="C38" sqref="C38"/>
    </sheetView>
  </sheetViews>
  <sheetFormatPr defaultColWidth="8.90625" defaultRowHeight="11.5" x14ac:dyDescent="0.35"/>
  <cols>
    <col min="1" max="2" width="8.90625" style="1"/>
    <col min="3" max="3" width="31" style="1" customWidth="1"/>
    <col min="4" max="9" width="13.90625" style="2" bestFit="1" customWidth="1"/>
    <col min="10" max="10" width="8.90625" style="2"/>
    <col min="11" max="11" width="11.1796875" style="2" bestFit="1" customWidth="1"/>
    <col min="12" max="15" width="13.90625" style="1" bestFit="1" customWidth="1"/>
    <col min="16" max="16384" width="8.90625" style="1"/>
  </cols>
  <sheetData>
    <row r="2" spans="1:9" x14ac:dyDescent="0.35">
      <c r="A2" s="1" t="s">
        <v>428</v>
      </c>
    </row>
    <row r="3" spans="1:9" x14ac:dyDescent="0.35">
      <c r="C3" s="1" t="s">
        <v>404</v>
      </c>
    </row>
    <row r="5" spans="1:9" x14ac:dyDescent="0.35">
      <c r="C5" s="1" t="s">
        <v>341</v>
      </c>
    </row>
    <row r="6" spans="1:9" x14ac:dyDescent="0.35">
      <c r="C6" s="69" t="s">
        <v>4</v>
      </c>
      <c r="D6" s="70" t="s">
        <v>66</v>
      </c>
      <c r="E6" s="70" t="s">
        <v>67</v>
      </c>
      <c r="F6" s="70" t="s">
        <v>68</v>
      </c>
      <c r="G6" s="70" t="s">
        <v>69</v>
      </c>
      <c r="H6" s="70" t="s">
        <v>70</v>
      </c>
    </row>
    <row r="7" spans="1:9" x14ac:dyDescent="0.35">
      <c r="C7" s="71" t="s">
        <v>2</v>
      </c>
      <c r="D7" s="72">
        <v>22014720</v>
      </c>
      <c r="E7" s="72">
        <v>26996760</v>
      </c>
      <c r="F7" s="72">
        <v>33112800</v>
      </c>
      <c r="G7" s="72">
        <v>40824000</v>
      </c>
      <c r="H7" s="72">
        <v>51045120</v>
      </c>
      <c r="I7" s="2">
        <v>1.05</v>
      </c>
    </row>
    <row r="8" spans="1:9" x14ac:dyDescent="0.35">
      <c r="C8" s="71" t="s">
        <v>1</v>
      </c>
      <c r="D8" s="72">
        <v>1209600</v>
      </c>
      <c r="E8" s="73">
        <v>982800</v>
      </c>
      <c r="F8" s="73">
        <v>635040</v>
      </c>
      <c r="G8" s="73">
        <v>1270080</v>
      </c>
      <c r="H8" s="73">
        <v>1360800</v>
      </c>
    </row>
    <row r="9" spans="1:9" x14ac:dyDescent="0.35">
      <c r="C9" s="74" t="s">
        <v>6</v>
      </c>
      <c r="D9" s="75">
        <f>SUM(D7:D8)</f>
        <v>23224320</v>
      </c>
      <c r="E9" s="75">
        <f t="shared" ref="E9:H9" si="0">SUM(E7:E8)</f>
        <v>27979560</v>
      </c>
      <c r="F9" s="75">
        <f t="shared" si="0"/>
        <v>33747840</v>
      </c>
      <c r="G9" s="75">
        <f t="shared" si="0"/>
        <v>42094080</v>
      </c>
      <c r="H9" s="75">
        <f t="shared" si="0"/>
        <v>52405920</v>
      </c>
    </row>
    <row r="10" spans="1:9" x14ac:dyDescent="0.35">
      <c r="C10" s="71" t="s">
        <v>7</v>
      </c>
      <c r="D10" s="72">
        <f>D7*85%</f>
        <v>18712512</v>
      </c>
      <c r="E10" s="72">
        <f t="shared" ref="E10:H10" si="1">E7*85%</f>
        <v>22947246</v>
      </c>
      <c r="F10" s="72">
        <f t="shared" si="1"/>
        <v>28145880</v>
      </c>
      <c r="G10" s="72">
        <f t="shared" si="1"/>
        <v>34700400</v>
      </c>
      <c r="H10" s="72">
        <f t="shared" si="1"/>
        <v>43388352</v>
      </c>
    </row>
    <row r="11" spans="1:9" x14ac:dyDescent="0.35">
      <c r="C11" s="74" t="s">
        <v>10</v>
      </c>
      <c r="D11" s="75">
        <f>D9-D10</f>
        <v>4511808</v>
      </c>
      <c r="E11" s="75">
        <f t="shared" ref="E11:H11" si="2">E9-E10</f>
        <v>5032314</v>
      </c>
      <c r="F11" s="75">
        <f t="shared" si="2"/>
        <v>5601960</v>
      </c>
      <c r="G11" s="75">
        <f t="shared" si="2"/>
        <v>7393680</v>
      </c>
      <c r="H11" s="75">
        <f t="shared" si="2"/>
        <v>9017568</v>
      </c>
    </row>
    <row r="12" spans="1:9" x14ac:dyDescent="0.35">
      <c r="C12" s="71" t="s">
        <v>11</v>
      </c>
      <c r="D12" s="72">
        <v>700000</v>
      </c>
      <c r="E12" s="72">
        <v>660000</v>
      </c>
      <c r="F12" s="72">
        <v>620000</v>
      </c>
      <c r="G12" s="72">
        <v>540000</v>
      </c>
      <c r="H12" s="72">
        <v>500000</v>
      </c>
    </row>
    <row r="13" spans="1:9" x14ac:dyDescent="0.35">
      <c r="C13" s="71" t="s">
        <v>379</v>
      </c>
      <c r="D13" s="72">
        <f>D25*10%</f>
        <v>400000</v>
      </c>
      <c r="E13" s="72">
        <f t="shared" ref="E13:H13" si="3">E25*10%</f>
        <v>400000</v>
      </c>
      <c r="F13" s="72">
        <f t="shared" si="3"/>
        <v>400000</v>
      </c>
      <c r="G13" s="72">
        <f t="shared" si="3"/>
        <v>400000</v>
      </c>
      <c r="H13" s="72">
        <f t="shared" si="3"/>
        <v>400000</v>
      </c>
    </row>
    <row r="14" spans="1:9" x14ac:dyDescent="0.35">
      <c r="C14" s="74" t="s">
        <v>13</v>
      </c>
      <c r="D14" s="75">
        <f>D11-D12-D13</f>
        <v>3411808</v>
      </c>
      <c r="E14" s="75">
        <f t="shared" ref="E14:H14" si="4">E11-E12-E13</f>
        <v>3972314</v>
      </c>
      <c r="F14" s="75">
        <f t="shared" si="4"/>
        <v>4581960</v>
      </c>
      <c r="G14" s="75">
        <f t="shared" si="4"/>
        <v>6453680</v>
      </c>
      <c r="H14" s="75">
        <f t="shared" si="4"/>
        <v>8117568</v>
      </c>
    </row>
    <row r="15" spans="1:9" x14ac:dyDescent="0.35">
      <c r="C15" s="71" t="s">
        <v>328</v>
      </c>
      <c r="D15" s="72">
        <f>D14*20%</f>
        <v>682361.60000000009</v>
      </c>
      <c r="E15" s="72">
        <f t="shared" ref="E15:H15" si="5">E14*20%</f>
        <v>794462.8</v>
      </c>
      <c r="F15" s="72">
        <f t="shared" si="5"/>
        <v>916392</v>
      </c>
      <c r="G15" s="72">
        <f t="shared" si="5"/>
        <v>1290736</v>
      </c>
      <c r="H15" s="72">
        <f t="shared" si="5"/>
        <v>1623513.6</v>
      </c>
    </row>
    <row r="16" spans="1:9" x14ac:dyDescent="0.35">
      <c r="C16" s="74" t="s">
        <v>15</v>
      </c>
      <c r="D16" s="75">
        <f>D14-D15</f>
        <v>2729446.4</v>
      </c>
      <c r="E16" s="75">
        <f t="shared" ref="E16:H16" si="6">E14-E15</f>
        <v>3177851.2</v>
      </c>
      <c r="F16" s="75">
        <f t="shared" si="6"/>
        <v>3665568</v>
      </c>
      <c r="G16" s="75">
        <f t="shared" si="6"/>
        <v>5162944</v>
      </c>
      <c r="H16" s="75">
        <f t="shared" si="6"/>
        <v>6494054.4000000004</v>
      </c>
    </row>
    <row r="17" spans="3:8" x14ac:dyDescent="0.35">
      <c r="C17" s="71" t="s">
        <v>16</v>
      </c>
      <c r="D17" s="72">
        <v>250000</v>
      </c>
      <c r="E17" s="72">
        <f>D17*1.1</f>
        <v>275000</v>
      </c>
      <c r="F17" s="72">
        <f t="shared" ref="F17:H17" si="7">E17*1.1</f>
        <v>302500</v>
      </c>
      <c r="G17" s="72">
        <f t="shared" si="7"/>
        <v>332750</v>
      </c>
      <c r="H17" s="72">
        <f t="shared" si="7"/>
        <v>366025.00000000006</v>
      </c>
    </row>
    <row r="18" spans="3:8" x14ac:dyDescent="0.35">
      <c r="C18" s="74" t="s">
        <v>17</v>
      </c>
      <c r="D18" s="75">
        <f>D16-D17</f>
        <v>2479446.4</v>
      </c>
      <c r="E18" s="75">
        <f t="shared" ref="E18:H18" si="8">E16-E17</f>
        <v>2902851.2</v>
      </c>
      <c r="F18" s="75">
        <f t="shared" si="8"/>
        <v>3363068</v>
      </c>
      <c r="G18" s="75">
        <f t="shared" si="8"/>
        <v>4830194</v>
      </c>
      <c r="H18" s="75">
        <f t="shared" si="8"/>
        <v>6128029.4000000004</v>
      </c>
    </row>
    <row r="21" spans="3:8" x14ac:dyDescent="0.35">
      <c r="C21" s="1" t="s">
        <v>214</v>
      </c>
    </row>
    <row r="22" spans="3:8" x14ac:dyDescent="0.35">
      <c r="C22" s="124" t="s">
        <v>4</v>
      </c>
      <c r="D22" s="125" t="s">
        <v>66</v>
      </c>
      <c r="E22" s="125" t="s">
        <v>67</v>
      </c>
      <c r="F22" s="125" t="s">
        <v>68</v>
      </c>
      <c r="G22" s="125" t="s">
        <v>69</v>
      </c>
      <c r="H22" s="125" t="s">
        <v>70</v>
      </c>
    </row>
    <row r="23" spans="3:8" x14ac:dyDescent="0.35">
      <c r="C23" s="14" t="s">
        <v>213</v>
      </c>
      <c r="D23" s="3">
        <v>250000</v>
      </c>
      <c r="E23" s="3">
        <f>D23</f>
        <v>250000</v>
      </c>
      <c r="F23" s="3">
        <f t="shared" ref="F23:H23" si="9">E23</f>
        <v>250000</v>
      </c>
      <c r="G23" s="3">
        <f t="shared" si="9"/>
        <v>250000</v>
      </c>
      <c r="H23" s="3">
        <f t="shared" si="9"/>
        <v>250000</v>
      </c>
    </row>
    <row r="24" spans="3:8" x14ac:dyDescent="0.35">
      <c r="C24" s="14" t="s">
        <v>133</v>
      </c>
      <c r="D24" s="3">
        <f>D18</f>
        <v>2479446.4</v>
      </c>
      <c r="E24" s="3">
        <f>D24+E18</f>
        <v>5382297.5999999996</v>
      </c>
      <c r="F24" s="3">
        <f t="shared" ref="F24:H24" si="10">E24+F18</f>
        <v>8745365.5999999996</v>
      </c>
      <c r="G24" s="3">
        <f t="shared" si="10"/>
        <v>13575559.6</v>
      </c>
      <c r="H24" s="3">
        <f t="shared" si="10"/>
        <v>19703589</v>
      </c>
    </row>
    <row r="25" spans="3:8" x14ac:dyDescent="0.35">
      <c r="C25" s="14" t="s">
        <v>185</v>
      </c>
      <c r="D25" s="3">
        <v>4000000</v>
      </c>
      <c r="E25" s="3">
        <f>D25</f>
        <v>4000000</v>
      </c>
      <c r="F25" s="3">
        <f t="shared" ref="F25:H25" si="11">E25</f>
        <v>4000000</v>
      </c>
      <c r="G25" s="3">
        <f t="shared" si="11"/>
        <v>4000000</v>
      </c>
      <c r="H25" s="3">
        <f t="shared" si="11"/>
        <v>4000000</v>
      </c>
    </row>
    <row r="26" spans="3:8" x14ac:dyDescent="0.35">
      <c r="C26" s="14" t="s">
        <v>212</v>
      </c>
      <c r="D26" s="3">
        <v>27547000</v>
      </c>
      <c r="E26" s="3">
        <f>D26+7550000</f>
        <v>35097000</v>
      </c>
      <c r="F26" s="3">
        <f>E26+3875800</f>
        <v>38972800</v>
      </c>
      <c r="G26" s="3">
        <f>F26+8870000</f>
        <v>47842800</v>
      </c>
      <c r="H26" s="3">
        <f>G26+9875500</f>
        <v>57718300</v>
      </c>
    </row>
    <row r="28" spans="3:8" x14ac:dyDescent="0.35">
      <c r="C28" s="1" t="s">
        <v>215</v>
      </c>
    </row>
    <row r="29" spans="3:8" x14ac:dyDescent="0.35">
      <c r="C29" s="18" t="s">
        <v>100</v>
      </c>
      <c r="D29" s="3">
        <v>35000</v>
      </c>
      <c r="E29" s="3">
        <f>D29</f>
        <v>35000</v>
      </c>
      <c r="F29" s="3">
        <f t="shared" ref="F29:H29" si="12">E29</f>
        <v>35000</v>
      </c>
      <c r="G29" s="3">
        <f t="shared" si="12"/>
        <v>35000</v>
      </c>
      <c r="H29" s="3">
        <f t="shared" si="12"/>
        <v>35000</v>
      </c>
    </row>
    <row r="30" spans="3:8" x14ac:dyDescent="0.35">
      <c r="C30" s="14" t="s">
        <v>210</v>
      </c>
      <c r="D30" s="3">
        <v>265</v>
      </c>
      <c r="E30" s="3">
        <f>D30*1.15</f>
        <v>304.75</v>
      </c>
      <c r="F30" s="3">
        <f>E30*1.07</f>
        <v>326.08250000000004</v>
      </c>
      <c r="G30" s="3">
        <f>F30*1.12</f>
        <v>365.21240000000006</v>
      </c>
      <c r="H30" s="3">
        <f>G30*1.18</f>
        <v>430.95063200000004</v>
      </c>
    </row>
    <row r="32" spans="3:8" x14ac:dyDescent="0.35">
      <c r="C32" s="1" t="s">
        <v>216</v>
      </c>
    </row>
    <row r="33" spans="3:10" x14ac:dyDescent="0.35">
      <c r="C33" s="1" t="s">
        <v>223</v>
      </c>
      <c r="J33" s="2">
        <v>2</v>
      </c>
    </row>
    <row r="34" spans="3:10" x14ac:dyDescent="0.35">
      <c r="C34" s="1" t="s">
        <v>224</v>
      </c>
      <c r="J34" s="2">
        <v>2</v>
      </c>
    </row>
    <row r="35" spans="3:10" x14ac:dyDescent="0.35">
      <c r="C35" s="1" t="s">
        <v>225</v>
      </c>
      <c r="J35" s="2">
        <v>2</v>
      </c>
    </row>
    <row r="36" spans="3:10" x14ac:dyDescent="0.35">
      <c r="C36" s="1" t="s">
        <v>226</v>
      </c>
      <c r="J36" s="2">
        <v>2</v>
      </c>
    </row>
    <row r="37" spans="3:10" x14ac:dyDescent="0.35">
      <c r="C37" s="1" t="s">
        <v>227</v>
      </c>
      <c r="J37" s="2">
        <v>2</v>
      </c>
    </row>
    <row r="42" spans="3:10" x14ac:dyDescent="0.35">
      <c r="C42" s="26" t="s">
        <v>228</v>
      </c>
    </row>
    <row r="43" spans="3:10" x14ac:dyDescent="0.35">
      <c r="C43" s="26" t="s">
        <v>405</v>
      </c>
    </row>
    <row r="45" spans="3:10" x14ac:dyDescent="0.35">
      <c r="C45" s="32" t="s">
        <v>4</v>
      </c>
      <c r="D45" s="126" t="s">
        <v>217</v>
      </c>
      <c r="E45" s="126" t="s">
        <v>66</v>
      </c>
      <c r="F45" s="126" t="s">
        <v>67</v>
      </c>
      <c r="G45" s="126" t="s">
        <v>68</v>
      </c>
      <c r="H45" s="126" t="s">
        <v>69</v>
      </c>
    </row>
    <row r="46" spans="3:10" x14ac:dyDescent="0.35">
      <c r="C46" s="14" t="s">
        <v>218</v>
      </c>
      <c r="D46" s="127">
        <f>D56</f>
        <v>3.3981249824140165</v>
      </c>
      <c r="E46" s="127">
        <f t="shared" ref="E46:H46" si="13">E56</f>
        <v>3.356434687690852</v>
      </c>
      <c r="F46" s="127">
        <f t="shared" si="13"/>
        <v>3.1135386112056849</v>
      </c>
      <c r="G46" s="127">
        <f t="shared" si="13"/>
        <v>2.4758033401098292</v>
      </c>
      <c r="H46" s="127">
        <f t="shared" si="13"/>
        <v>2.3226279287096827</v>
      </c>
      <c r="I46" s="2" t="s">
        <v>231</v>
      </c>
    </row>
    <row r="47" spans="3:10" x14ac:dyDescent="0.35">
      <c r="C47" s="14" t="s">
        <v>219</v>
      </c>
      <c r="D47" s="127">
        <f>D61</f>
        <v>0.42130901505901508</v>
      </c>
      <c r="E47" s="127">
        <f t="shared" ref="E47:H47" si="14">E61</f>
        <v>0.39509370754120127</v>
      </c>
      <c r="F47" s="127">
        <f t="shared" si="14"/>
        <v>0.34466694148486393</v>
      </c>
      <c r="G47" s="127">
        <f t="shared" si="14"/>
        <v>0.31311076817558303</v>
      </c>
      <c r="H47" s="127">
        <f t="shared" si="14"/>
        <v>0.2954890128576444</v>
      </c>
      <c r="I47" s="2" t="s">
        <v>232</v>
      </c>
    </row>
    <row r="48" spans="3:10" x14ac:dyDescent="0.35">
      <c r="C48" s="14" t="s">
        <v>220</v>
      </c>
      <c r="D48" s="127">
        <f>D67</f>
        <v>7.2746889938578949</v>
      </c>
      <c r="E48" s="127">
        <f t="shared" ref="E48:H48" si="15">E67</f>
        <v>8.2990151250498272</v>
      </c>
      <c r="F48" s="127">
        <f t="shared" si="15"/>
        <v>8.2802603910060046</v>
      </c>
      <c r="G48" s="127">
        <f t="shared" si="15"/>
        <v>7.6585995066056416</v>
      </c>
      <c r="H48" s="127">
        <f t="shared" si="15"/>
        <v>7.6297258994886432</v>
      </c>
      <c r="I48" s="2" t="s">
        <v>233</v>
      </c>
    </row>
    <row r="49" spans="3:9" x14ac:dyDescent="0.35">
      <c r="C49" s="14" t="s">
        <v>221</v>
      </c>
      <c r="D49" s="94">
        <f>D72</f>
        <v>2.6954177897574125E-2</v>
      </c>
      <c r="E49" s="94">
        <f t="shared" ref="E49:H49" si="16">E72</f>
        <v>2.5782257119418728E-2</v>
      </c>
      <c r="F49" s="94">
        <f t="shared" si="16"/>
        <v>2.6505124141458499E-2</v>
      </c>
      <c r="G49" s="94">
        <f t="shared" si="16"/>
        <v>2.6031818353218172E-2</v>
      </c>
      <c r="H49" s="94">
        <f t="shared" si="16"/>
        <v>2.4266949312322029E-2</v>
      </c>
      <c r="I49" s="2" t="s">
        <v>235</v>
      </c>
    </row>
    <row r="50" spans="3:9" x14ac:dyDescent="0.35">
      <c r="C50" s="14" t="s">
        <v>222</v>
      </c>
      <c r="D50" s="127">
        <f>D80</f>
        <v>3.3981249824140165</v>
      </c>
      <c r="E50" s="127">
        <f t="shared" ref="E50:H50" si="17">E80</f>
        <v>1.893765343649455</v>
      </c>
      <c r="F50" s="127">
        <f t="shared" si="17"/>
        <v>1.2687519337735425</v>
      </c>
      <c r="G50" s="127">
        <f t="shared" si="17"/>
        <v>0.92455093101620289</v>
      </c>
      <c r="H50" s="127">
        <f t="shared" si="17"/>
        <v>0.75591775093693669</v>
      </c>
      <c r="I50" s="2" t="s">
        <v>237</v>
      </c>
    </row>
    <row r="51" spans="3:9" x14ac:dyDescent="0.35">
      <c r="D51" s="78"/>
      <c r="E51" s="78"/>
      <c r="F51" s="78"/>
      <c r="G51" s="78"/>
      <c r="H51" s="78"/>
    </row>
    <row r="53" spans="3:9" x14ac:dyDescent="0.35">
      <c r="C53" s="1" t="s">
        <v>231</v>
      </c>
    </row>
    <row r="54" spans="3:9" x14ac:dyDescent="0.35">
      <c r="C54" s="54" t="s">
        <v>209</v>
      </c>
      <c r="D54" s="102">
        <f>D16/D29</f>
        <v>77.984182857142855</v>
      </c>
      <c r="E54" s="102">
        <f>E16/E29</f>
        <v>90.795748571428575</v>
      </c>
      <c r="F54" s="102">
        <f>F16/F29</f>
        <v>104.73051428571429</v>
      </c>
      <c r="G54" s="102">
        <f>G16/G29</f>
        <v>147.51268571428571</v>
      </c>
      <c r="H54" s="4">
        <f>H16/H29</f>
        <v>185.54441142857144</v>
      </c>
    </row>
    <row r="55" spans="3:9" x14ac:dyDescent="0.35">
      <c r="C55" s="56" t="s">
        <v>210</v>
      </c>
      <c r="D55" s="29">
        <f>D30</f>
        <v>265</v>
      </c>
      <c r="E55" s="29">
        <f>E30</f>
        <v>304.75</v>
      </c>
      <c r="F55" s="29">
        <f>F30</f>
        <v>326.08250000000004</v>
      </c>
      <c r="G55" s="29">
        <f>G30</f>
        <v>365.21240000000006</v>
      </c>
      <c r="H55" s="5">
        <f>H30</f>
        <v>430.95063200000004</v>
      </c>
    </row>
    <row r="56" spans="3:9" x14ac:dyDescent="0.35">
      <c r="C56" s="115" t="s">
        <v>229</v>
      </c>
      <c r="D56" s="128">
        <f>D55/D54</f>
        <v>3.3981249824140165</v>
      </c>
      <c r="E56" s="128">
        <f t="shared" ref="E56:H56" si="18">E55/E54</f>
        <v>3.356434687690852</v>
      </c>
      <c r="F56" s="128">
        <f t="shared" si="18"/>
        <v>3.1135386112056849</v>
      </c>
      <c r="G56" s="128">
        <f t="shared" si="18"/>
        <v>2.4758033401098292</v>
      </c>
      <c r="H56" s="129">
        <f t="shared" si="18"/>
        <v>2.3226279287096827</v>
      </c>
    </row>
    <row r="58" spans="3:9" x14ac:dyDescent="0.35">
      <c r="C58" s="1" t="s">
        <v>232</v>
      </c>
    </row>
    <row r="59" spans="3:9" x14ac:dyDescent="0.35">
      <c r="C59" s="54" t="s">
        <v>230</v>
      </c>
      <c r="D59" s="102">
        <f>D29*D30</f>
        <v>9275000</v>
      </c>
      <c r="E59" s="102">
        <f>E29*E30</f>
        <v>10666250</v>
      </c>
      <c r="F59" s="102">
        <f>F29*F30</f>
        <v>11412887.500000002</v>
      </c>
      <c r="G59" s="102">
        <f>G29*G30</f>
        <v>12782434.000000002</v>
      </c>
      <c r="H59" s="4">
        <f>H29*H30</f>
        <v>15083272.120000001</v>
      </c>
    </row>
    <row r="60" spans="3:9" x14ac:dyDescent="0.35">
      <c r="C60" s="56" t="s">
        <v>5</v>
      </c>
      <c r="D60" s="29">
        <f>D7</f>
        <v>22014720</v>
      </c>
      <c r="E60" s="29">
        <f>E7</f>
        <v>26996760</v>
      </c>
      <c r="F60" s="29">
        <f>F7</f>
        <v>33112800</v>
      </c>
      <c r="G60" s="29">
        <f>G7</f>
        <v>40824000</v>
      </c>
      <c r="H60" s="5">
        <f>H7</f>
        <v>51045120</v>
      </c>
    </row>
    <row r="61" spans="3:9" x14ac:dyDescent="0.35">
      <c r="C61" s="115" t="s">
        <v>219</v>
      </c>
      <c r="D61" s="128">
        <f>D59/D60</f>
        <v>0.42130901505901508</v>
      </c>
      <c r="E61" s="128">
        <f t="shared" ref="E61:H61" si="19">E59/E60</f>
        <v>0.39509370754120127</v>
      </c>
      <c r="F61" s="128">
        <f t="shared" si="19"/>
        <v>0.34466694148486393</v>
      </c>
      <c r="G61" s="128">
        <f t="shared" si="19"/>
        <v>0.31311076817558303</v>
      </c>
      <c r="H61" s="129">
        <f t="shared" si="19"/>
        <v>0.2954890128576444</v>
      </c>
    </row>
    <row r="64" spans="3:9" x14ac:dyDescent="0.35">
      <c r="C64" s="1" t="s">
        <v>233</v>
      </c>
    </row>
    <row r="65" spans="3:8" x14ac:dyDescent="0.35">
      <c r="C65" s="54" t="s">
        <v>234</v>
      </c>
      <c r="D65" s="102">
        <f>D59+D26-D25</f>
        <v>32822000</v>
      </c>
      <c r="E65" s="102">
        <f>E59+E26-E25</f>
        <v>41763250</v>
      </c>
      <c r="F65" s="102">
        <f>F59+F26-F25</f>
        <v>46385687.5</v>
      </c>
      <c r="G65" s="102">
        <f>G59+G26-G25</f>
        <v>56625234</v>
      </c>
      <c r="H65" s="4">
        <f>H59+H26-H25</f>
        <v>68801572.120000005</v>
      </c>
    </row>
    <row r="66" spans="3:8" x14ac:dyDescent="0.35">
      <c r="C66" s="56" t="s">
        <v>10</v>
      </c>
      <c r="D66" s="29">
        <f>D11</f>
        <v>4511808</v>
      </c>
      <c r="E66" s="29">
        <f>E11</f>
        <v>5032314</v>
      </c>
      <c r="F66" s="29">
        <f>F11</f>
        <v>5601960</v>
      </c>
      <c r="G66" s="29">
        <f>G11</f>
        <v>7393680</v>
      </c>
      <c r="H66" s="5">
        <f>H11</f>
        <v>9017568</v>
      </c>
    </row>
    <row r="67" spans="3:8" x14ac:dyDescent="0.35">
      <c r="C67" s="115" t="s">
        <v>220</v>
      </c>
      <c r="D67" s="128">
        <f>D65/D66</f>
        <v>7.2746889938578949</v>
      </c>
      <c r="E67" s="128">
        <f t="shared" ref="E67:H67" si="20">E65/E66</f>
        <v>8.2990151250498272</v>
      </c>
      <c r="F67" s="128">
        <f t="shared" si="20"/>
        <v>8.2802603910060046</v>
      </c>
      <c r="G67" s="128">
        <f t="shared" si="20"/>
        <v>7.6585995066056416</v>
      </c>
      <c r="H67" s="129">
        <f t="shared" si="20"/>
        <v>7.6297258994886432</v>
      </c>
    </row>
    <row r="69" spans="3:8" x14ac:dyDescent="0.35">
      <c r="C69" s="1" t="s">
        <v>235</v>
      </c>
    </row>
    <row r="70" spans="3:8" x14ac:dyDescent="0.35">
      <c r="C70" s="54" t="s">
        <v>236</v>
      </c>
      <c r="D70" s="102">
        <f>D17/D29</f>
        <v>7.1428571428571432</v>
      </c>
      <c r="E70" s="102">
        <f>E17/E29</f>
        <v>7.8571428571428568</v>
      </c>
      <c r="F70" s="102">
        <f>F17/F29</f>
        <v>8.6428571428571423</v>
      </c>
      <c r="G70" s="102">
        <f>G17/G29</f>
        <v>9.507142857142858</v>
      </c>
      <c r="H70" s="4">
        <f>H17/H29</f>
        <v>10.457857142857145</v>
      </c>
    </row>
    <row r="71" spans="3:8" x14ac:dyDescent="0.35">
      <c r="C71" s="56" t="s">
        <v>210</v>
      </c>
      <c r="D71" s="29">
        <f>D30</f>
        <v>265</v>
      </c>
      <c r="E71" s="29">
        <f>E30</f>
        <v>304.75</v>
      </c>
      <c r="F71" s="29">
        <f>F30</f>
        <v>326.08250000000004</v>
      </c>
      <c r="G71" s="29">
        <f>G30</f>
        <v>365.21240000000006</v>
      </c>
      <c r="H71" s="5">
        <f>H30</f>
        <v>430.95063200000004</v>
      </c>
    </row>
    <row r="72" spans="3:8" x14ac:dyDescent="0.35">
      <c r="C72" s="115" t="s">
        <v>221</v>
      </c>
      <c r="D72" s="130">
        <f>D70/D71</f>
        <v>2.6954177897574125E-2</v>
      </c>
      <c r="E72" s="130">
        <f t="shared" ref="E72:H72" si="21">E70/E71</f>
        <v>2.5782257119418728E-2</v>
      </c>
      <c r="F72" s="130">
        <f t="shared" si="21"/>
        <v>2.6505124141458499E-2</v>
      </c>
      <c r="G72" s="130">
        <f t="shared" si="21"/>
        <v>2.6031818353218172E-2</v>
      </c>
      <c r="H72" s="131">
        <f t="shared" si="21"/>
        <v>2.4266949312322029E-2</v>
      </c>
    </row>
    <row r="75" spans="3:8" x14ac:dyDescent="0.35">
      <c r="C75" s="1" t="s">
        <v>237</v>
      </c>
    </row>
    <row r="76" spans="3:8" x14ac:dyDescent="0.35">
      <c r="C76" s="54" t="s">
        <v>211</v>
      </c>
      <c r="D76" s="102">
        <f>D23+D24</f>
        <v>2729446.4</v>
      </c>
      <c r="E76" s="102">
        <f>E23+E24</f>
        <v>5632297.5999999996</v>
      </c>
      <c r="F76" s="102">
        <f>F23+F24</f>
        <v>8995365.5999999996</v>
      </c>
      <c r="G76" s="102">
        <f>G23+G24</f>
        <v>13825559.6</v>
      </c>
      <c r="H76" s="4">
        <f>H23+H24</f>
        <v>19953589</v>
      </c>
    </row>
    <row r="77" spans="3:8" x14ac:dyDescent="0.35">
      <c r="C77" s="56" t="s">
        <v>100</v>
      </c>
      <c r="D77" s="29">
        <f>D29</f>
        <v>35000</v>
      </c>
      <c r="E77" s="29">
        <f>E29</f>
        <v>35000</v>
      </c>
      <c r="F77" s="29">
        <f>F29</f>
        <v>35000</v>
      </c>
      <c r="G77" s="29">
        <f>G29</f>
        <v>35000</v>
      </c>
      <c r="H77" s="5">
        <f>H29</f>
        <v>35000</v>
      </c>
    </row>
    <row r="78" spans="3:8" x14ac:dyDescent="0.35">
      <c r="C78" s="56" t="s">
        <v>238</v>
      </c>
      <c r="D78" s="29">
        <f>D76/D77</f>
        <v>77.984182857142855</v>
      </c>
      <c r="E78" s="29">
        <f t="shared" ref="E78:H78" si="22">E76/E77</f>
        <v>160.92278857142855</v>
      </c>
      <c r="F78" s="29">
        <f t="shared" si="22"/>
        <v>257.01044571428571</v>
      </c>
      <c r="G78" s="29">
        <f t="shared" si="22"/>
        <v>395.01598857142858</v>
      </c>
      <c r="H78" s="5">
        <f t="shared" si="22"/>
        <v>570.10254285714291</v>
      </c>
    </row>
    <row r="79" spans="3:8" x14ac:dyDescent="0.35">
      <c r="C79" s="56" t="s">
        <v>210</v>
      </c>
      <c r="D79" s="29">
        <f>D30</f>
        <v>265</v>
      </c>
      <c r="E79" s="29">
        <f>E30</f>
        <v>304.75</v>
      </c>
      <c r="F79" s="29">
        <f>F30</f>
        <v>326.08250000000004</v>
      </c>
      <c r="G79" s="29">
        <f>G30</f>
        <v>365.21240000000006</v>
      </c>
      <c r="H79" s="5">
        <f>H30</f>
        <v>430.95063200000004</v>
      </c>
    </row>
    <row r="80" spans="3:8" x14ac:dyDescent="0.35">
      <c r="C80" s="115" t="s">
        <v>239</v>
      </c>
      <c r="D80" s="128">
        <f>D79/D78</f>
        <v>3.3981249824140165</v>
      </c>
      <c r="E80" s="128">
        <f t="shared" ref="E80:H80" si="23">E79/E78</f>
        <v>1.893765343649455</v>
      </c>
      <c r="F80" s="128">
        <f t="shared" si="23"/>
        <v>1.2687519337735425</v>
      </c>
      <c r="G80" s="128">
        <f t="shared" si="23"/>
        <v>0.92455093101620289</v>
      </c>
      <c r="H80" s="129">
        <f t="shared" si="23"/>
        <v>0.75591775093693669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6407B-4C15-41A9-951E-A9D09E96D2A3}">
  <sheetPr>
    <tabColor rgb="FF92D050"/>
  </sheetPr>
  <dimension ref="B5:J22"/>
  <sheetViews>
    <sheetView showGridLines="0" tabSelected="1" zoomScale="80" zoomScaleNormal="80" workbookViewId="0">
      <selection activeCell="O12" sqref="O12"/>
    </sheetView>
  </sheetViews>
  <sheetFormatPr defaultRowHeight="11.5" x14ac:dyDescent="0.35"/>
  <cols>
    <col min="1" max="2" width="8.7265625" style="1"/>
    <col min="3" max="3" width="13.08984375" style="1" bestFit="1" customWidth="1"/>
    <col min="4" max="4" width="9.26953125" style="1" bestFit="1" customWidth="1"/>
    <col min="5" max="5" width="9.90625" style="1" bestFit="1" customWidth="1"/>
    <col min="6" max="6" width="9.1796875" style="1" bestFit="1" customWidth="1"/>
    <col min="7" max="7" width="9.26953125" style="1" bestFit="1" customWidth="1"/>
    <col min="8" max="8" width="9.90625" style="1" bestFit="1" customWidth="1"/>
    <col min="9" max="16384" width="8.7265625" style="1"/>
  </cols>
  <sheetData>
    <row r="5" spans="2:10" x14ac:dyDescent="0.35">
      <c r="B5" s="13" t="s">
        <v>368</v>
      </c>
      <c r="C5" s="1" t="s">
        <v>369</v>
      </c>
      <c r="J5" s="1" t="s">
        <v>345</v>
      </c>
    </row>
    <row r="7" spans="2:10" x14ac:dyDescent="0.35">
      <c r="C7" s="14" t="s">
        <v>4</v>
      </c>
      <c r="D7" s="14" t="s">
        <v>370</v>
      </c>
      <c r="E7" s="14" t="s">
        <v>371</v>
      </c>
      <c r="F7" s="14" t="s">
        <v>372</v>
      </c>
      <c r="G7" s="14" t="s">
        <v>373</v>
      </c>
      <c r="H7" s="14" t="s">
        <v>374</v>
      </c>
    </row>
    <row r="8" spans="2:10" x14ac:dyDescent="0.35">
      <c r="C8" s="14" t="s">
        <v>378</v>
      </c>
      <c r="D8" s="14">
        <v>40</v>
      </c>
      <c r="E8" s="14">
        <v>25</v>
      </c>
      <c r="F8" s="14">
        <v>10</v>
      </c>
      <c r="G8" s="14">
        <v>80</v>
      </c>
      <c r="H8" s="14">
        <v>50</v>
      </c>
    </row>
    <row r="9" spans="2:10" x14ac:dyDescent="0.35">
      <c r="C9" s="14" t="s">
        <v>375</v>
      </c>
      <c r="D9" s="27">
        <v>6.5000000000000002E-2</v>
      </c>
      <c r="E9" s="27">
        <v>6.5000000000000002E-2</v>
      </c>
      <c r="F9" s="27">
        <v>6.5000000000000002E-2</v>
      </c>
      <c r="G9" s="27">
        <v>6.5000000000000002E-2</v>
      </c>
      <c r="H9" s="27">
        <v>6.5000000000000002E-2</v>
      </c>
    </row>
    <row r="10" spans="2:10" x14ac:dyDescent="0.35">
      <c r="C10" s="14" t="s">
        <v>376</v>
      </c>
      <c r="D10" s="27">
        <v>0.125</v>
      </c>
      <c r="E10" s="133">
        <v>8.5000000000000006E-2</v>
      </c>
      <c r="F10" s="27">
        <v>0.115</v>
      </c>
      <c r="G10" s="133">
        <v>0.09</v>
      </c>
      <c r="H10" s="133">
        <v>0.14000000000000001</v>
      </c>
    </row>
    <row r="11" spans="2:10" x14ac:dyDescent="0.35">
      <c r="C11" s="14" t="s">
        <v>254</v>
      </c>
      <c r="D11" s="14">
        <v>0.8</v>
      </c>
      <c r="E11" s="14">
        <v>0.55000000000000004</v>
      </c>
      <c r="F11" s="14">
        <v>0.65</v>
      </c>
      <c r="G11" s="14">
        <v>0.8</v>
      </c>
      <c r="H11" s="14">
        <v>0.6</v>
      </c>
    </row>
    <row r="12" spans="2:10" x14ac:dyDescent="0.35">
      <c r="C12" s="14" t="s">
        <v>377</v>
      </c>
      <c r="D12" s="133">
        <v>0.05</v>
      </c>
      <c r="E12" s="133">
        <v>0.1</v>
      </c>
      <c r="F12" s="133">
        <v>0.12</v>
      </c>
      <c r="G12" s="133">
        <v>0.1</v>
      </c>
      <c r="H12" s="133">
        <v>7.0000000000000007E-2</v>
      </c>
    </row>
    <row r="17" spans="2:8" x14ac:dyDescent="0.35">
      <c r="B17" s="13" t="s">
        <v>228</v>
      </c>
    </row>
    <row r="18" spans="2:8" x14ac:dyDescent="0.35">
      <c r="C18" s="14" t="s">
        <v>4</v>
      </c>
      <c r="D18" s="14" t="s">
        <v>370</v>
      </c>
      <c r="E18" s="14" t="s">
        <v>371</v>
      </c>
      <c r="F18" s="14" t="s">
        <v>372</v>
      </c>
      <c r="G18" s="14" t="s">
        <v>373</v>
      </c>
      <c r="H18" s="14" t="s">
        <v>374</v>
      </c>
    </row>
    <row r="19" spans="2:8" x14ac:dyDescent="0.35">
      <c r="C19" s="14" t="s">
        <v>359</v>
      </c>
      <c r="D19" s="14">
        <f>D8</f>
        <v>40</v>
      </c>
      <c r="E19" s="14">
        <f t="shared" ref="E19:H19" si="0">E8</f>
        <v>25</v>
      </c>
      <c r="F19" s="14">
        <f t="shared" si="0"/>
        <v>10</v>
      </c>
      <c r="G19" s="14">
        <f t="shared" si="0"/>
        <v>80</v>
      </c>
      <c r="H19" s="14">
        <f t="shared" si="0"/>
        <v>50</v>
      </c>
    </row>
    <row r="20" spans="2:8" x14ac:dyDescent="0.35">
      <c r="C20" s="14" t="s">
        <v>360</v>
      </c>
      <c r="D20" s="133">
        <f>D12</f>
        <v>0.05</v>
      </c>
      <c r="E20" s="133">
        <f t="shared" ref="E20:H20" si="1">E12</f>
        <v>0.1</v>
      </c>
      <c r="F20" s="133">
        <f t="shared" si="1"/>
        <v>0.12</v>
      </c>
      <c r="G20" s="133">
        <f t="shared" si="1"/>
        <v>0.1</v>
      </c>
      <c r="H20" s="133">
        <f t="shared" si="1"/>
        <v>7.0000000000000007E-2</v>
      </c>
    </row>
    <row r="21" spans="2:8" x14ac:dyDescent="0.35">
      <c r="C21" s="14" t="s">
        <v>361</v>
      </c>
      <c r="D21" s="94">
        <f>D9+((D10*D11))</f>
        <v>0.16500000000000001</v>
      </c>
      <c r="E21" s="94">
        <f t="shared" ref="E21:H21" si="2">E9+((E10*E11))</f>
        <v>0.11175000000000002</v>
      </c>
      <c r="F21" s="94">
        <f t="shared" si="2"/>
        <v>0.13975000000000001</v>
      </c>
      <c r="G21" s="94">
        <f t="shared" si="2"/>
        <v>0.13700000000000001</v>
      </c>
      <c r="H21" s="94">
        <f t="shared" si="2"/>
        <v>0.14900000000000002</v>
      </c>
    </row>
    <row r="22" spans="2:8" x14ac:dyDescent="0.35">
      <c r="C22" s="14" t="s">
        <v>362</v>
      </c>
      <c r="D22" s="127">
        <f>(D19*(1+D20))/(D21-D20)</f>
        <v>365.21739130434781</v>
      </c>
      <c r="E22" s="127">
        <f t="shared" ref="E22:H22" si="3">(E19*(1+E20))/(E21-E20)</f>
        <v>2340.425531914892</v>
      </c>
      <c r="F22" s="127">
        <f t="shared" si="3"/>
        <v>567.08860759493621</v>
      </c>
      <c r="G22" s="127">
        <f t="shared" si="3"/>
        <v>2378.3783783783779</v>
      </c>
      <c r="H22" s="127">
        <f t="shared" si="3"/>
        <v>677.21518987341756</v>
      </c>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2283B-3221-4A25-993D-4BAF71BE000F}">
  <sheetPr>
    <tabColor rgb="FF92D050"/>
  </sheetPr>
  <dimension ref="B3:M88"/>
  <sheetViews>
    <sheetView showGridLines="0" topLeftCell="A12" zoomScale="80" zoomScaleNormal="80" workbookViewId="0">
      <selection activeCell="D13" sqref="D13"/>
    </sheetView>
  </sheetViews>
  <sheetFormatPr defaultColWidth="8.90625" defaultRowHeight="11.5" x14ac:dyDescent="0.35"/>
  <cols>
    <col min="1" max="2" width="8.90625" style="1"/>
    <col min="3" max="3" width="14.453125" style="1" bestFit="1" customWidth="1"/>
    <col min="4" max="4" width="17" style="1" customWidth="1"/>
    <col min="5" max="9" width="14.08984375" style="1" bestFit="1" customWidth="1"/>
    <col min="10" max="11" width="15.81640625" style="1" bestFit="1" customWidth="1"/>
    <col min="12" max="12" width="13.81640625" style="1" bestFit="1" customWidth="1"/>
    <col min="13" max="13" width="8.90625" style="1"/>
    <col min="14" max="14" width="14.08984375" style="1" bestFit="1" customWidth="1"/>
    <col min="15" max="15" width="14.6328125" style="1" bestFit="1" customWidth="1"/>
    <col min="16" max="16384" width="8.90625" style="1"/>
  </cols>
  <sheetData>
    <row r="3" spans="2:10" x14ac:dyDescent="0.35">
      <c r="B3" s="1" t="s">
        <v>307</v>
      </c>
    </row>
    <row r="4" spans="2:10" x14ac:dyDescent="0.35">
      <c r="C4" s="1" t="s">
        <v>449</v>
      </c>
    </row>
    <row r="6" spans="2:10" x14ac:dyDescent="0.35">
      <c r="C6" s="138" t="s">
        <v>4</v>
      </c>
      <c r="D6" s="138" t="s">
        <v>308</v>
      </c>
      <c r="E6" s="138" t="s">
        <v>309</v>
      </c>
      <c r="F6" s="138" t="s">
        <v>310</v>
      </c>
      <c r="G6" s="138" t="s">
        <v>299</v>
      </c>
      <c r="H6" s="138" t="s">
        <v>217</v>
      </c>
      <c r="I6" s="138" t="s">
        <v>66</v>
      </c>
      <c r="J6" s="138" t="s">
        <v>67</v>
      </c>
    </row>
    <row r="7" spans="2:10" x14ac:dyDescent="0.35">
      <c r="C7" s="139" t="s">
        <v>5</v>
      </c>
      <c r="D7" s="140">
        <v>9600000</v>
      </c>
      <c r="E7" s="140">
        <f>D7+2500000</f>
        <v>12100000</v>
      </c>
      <c r="F7" s="140">
        <f>E7+1850000</f>
        <v>13950000</v>
      </c>
      <c r="G7" s="140">
        <f>F7+2300000</f>
        <v>16250000</v>
      </c>
      <c r="H7" s="140">
        <f>G7+2700000</f>
        <v>18950000</v>
      </c>
      <c r="I7" s="140">
        <f>H7+4000000</f>
        <v>22950000</v>
      </c>
      <c r="J7" s="141">
        <f>I7+6000000</f>
        <v>28950000</v>
      </c>
    </row>
    <row r="8" spans="2:10" x14ac:dyDescent="0.35">
      <c r="C8" s="139" t="s">
        <v>1</v>
      </c>
      <c r="D8" s="140">
        <v>1800000</v>
      </c>
      <c r="E8" s="140">
        <v>2000000</v>
      </c>
      <c r="F8" s="140">
        <v>2600000</v>
      </c>
      <c r="G8" s="140">
        <v>2500000</v>
      </c>
      <c r="H8" s="140">
        <v>3200000</v>
      </c>
      <c r="I8" s="140">
        <v>3600000</v>
      </c>
      <c r="J8" s="141">
        <v>4200000</v>
      </c>
    </row>
    <row r="9" spans="2:10" x14ac:dyDescent="0.35">
      <c r="C9" s="142" t="s">
        <v>6</v>
      </c>
      <c r="D9" s="143">
        <f>SUM(D7:D8)</f>
        <v>11400000</v>
      </c>
      <c r="E9" s="143">
        <f t="shared" ref="E9:J9" si="0">SUM(E7:E8)</f>
        <v>14100000</v>
      </c>
      <c r="F9" s="143">
        <f t="shared" si="0"/>
        <v>16550000</v>
      </c>
      <c r="G9" s="143">
        <f t="shared" si="0"/>
        <v>18750000</v>
      </c>
      <c r="H9" s="143">
        <f t="shared" si="0"/>
        <v>22150000</v>
      </c>
      <c r="I9" s="143">
        <f t="shared" si="0"/>
        <v>26550000</v>
      </c>
      <c r="J9" s="144">
        <f t="shared" si="0"/>
        <v>33150000</v>
      </c>
    </row>
    <row r="10" spans="2:10" x14ac:dyDescent="0.35">
      <c r="C10" s="145" t="s">
        <v>7</v>
      </c>
      <c r="D10" s="146">
        <f>D7*22%</f>
        <v>2112000</v>
      </c>
      <c r="E10" s="146">
        <f t="shared" ref="E10:J10" si="1">E7*22%</f>
        <v>2662000</v>
      </c>
      <c r="F10" s="146">
        <f t="shared" si="1"/>
        <v>3069000</v>
      </c>
      <c r="G10" s="146">
        <f t="shared" si="1"/>
        <v>3575000</v>
      </c>
      <c r="H10" s="146">
        <f t="shared" si="1"/>
        <v>4169000</v>
      </c>
      <c r="I10" s="146">
        <f t="shared" si="1"/>
        <v>5049000</v>
      </c>
      <c r="J10" s="146">
        <f t="shared" si="1"/>
        <v>6369000</v>
      </c>
    </row>
    <row r="11" spans="2:10" x14ac:dyDescent="0.35">
      <c r="C11" s="142" t="s">
        <v>8</v>
      </c>
      <c r="D11" s="143">
        <f>D9-D10</f>
        <v>9288000</v>
      </c>
      <c r="E11" s="143">
        <f t="shared" ref="E11:J11" si="2">E9-E10</f>
        <v>11438000</v>
      </c>
      <c r="F11" s="143">
        <f t="shared" si="2"/>
        <v>13481000</v>
      </c>
      <c r="G11" s="143">
        <f t="shared" si="2"/>
        <v>15175000</v>
      </c>
      <c r="H11" s="143">
        <f t="shared" si="2"/>
        <v>17981000</v>
      </c>
      <c r="I11" s="143">
        <f t="shared" si="2"/>
        <v>21501000</v>
      </c>
      <c r="J11" s="144">
        <f t="shared" si="2"/>
        <v>26781000</v>
      </c>
    </row>
    <row r="12" spans="2:10" x14ac:dyDescent="0.35">
      <c r="C12" s="145" t="s">
        <v>9</v>
      </c>
      <c r="D12" s="146">
        <v>672000.00000000012</v>
      </c>
      <c r="E12" s="146">
        <v>847000.00000000012</v>
      </c>
      <c r="F12" s="146">
        <v>976500.00000000012</v>
      </c>
      <c r="G12" s="146">
        <v>1137500</v>
      </c>
      <c r="H12" s="146">
        <v>1326500.0000000002</v>
      </c>
      <c r="I12" s="146">
        <v>1606500.0000000002</v>
      </c>
      <c r="J12" s="146">
        <v>2026500.0000000002</v>
      </c>
    </row>
    <row r="13" spans="2:10" x14ac:dyDescent="0.35">
      <c r="C13" s="142" t="s">
        <v>10</v>
      </c>
      <c r="D13" s="143">
        <f>D11-D12</f>
        <v>8616000</v>
      </c>
      <c r="E13" s="143">
        <f t="shared" ref="E13:J13" si="3">E11-E12</f>
        <v>10591000</v>
      </c>
      <c r="F13" s="143">
        <f t="shared" si="3"/>
        <v>12504500</v>
      </c>
      <c r="G13" s="143">
        <f t="shared" si="3"/>
        <v>14037500</v>
      </c>
      <c r="H13" s="143">
        <f t="shared" si="3"/>
        <v>16654500</v>
      </c>
      <c r="I13" s="143">
        <f t="shared" si="3"/>
        <v>19894500</v>
      </c>
      <c r="J13" s="144">
        <f t="shared" si="3"/>
        <v>24754500</v>
      </c>
    </row>
    <row r="14" spans="2:10" x14ac:dyDescent="0.35">
      <c r="C14" s="139" t="s">
        <v>12</v>
      </c>
      <c r="D14" s="140">
        <v>544000</v>
      </c>
      <c r="E14" s="140">
        <f>D14</f>
        <v>544000</v>
      </c>
      <c r="F14" s="140">
        <f t="shared" ref="F14:J14" si="4">E14</f>
        <v>544000</v>
      </c>
      <c r="G14" s="140">
        <f t="shared" si="4"/>
        <v>544000</v>
      </c>
      <c r="H14" s="140">
        <f t="shared" si="4"/>
        <v>544000</v>
      </c>
      <c r="I14" s="140">
        <f t="shared" si="4"/>
        <v>544000</v>
      </c>
      <c r="J14" s="140">
        <f t="shared" si="4"/>
        <v>544000</v>
      </c>
    </row>
    <row r="15" spans="2:10" x14ac:dyDescent="0.35">
      <c r="C15" s="139" t="s">
        <v>11</v>
      </c>
      <c r="D15" s="140">
        <v>625000</v>
      </c>
      <c r="E15" s="140">
        <v>543750</v>
      </c>
      <c r="F15" s="140">
        <v>473437.5</v>
      </c>
      <c r="G15" s="140">
        <v>412546.875</v>
      </c>
      <c r="H15" s="140">
        <v>359777.34375</v>
      </c>
      <c r="I15" s="140">
        <v>314011.9921875</v>
      </c>
      <c r="J15" s="141">
        <v>274291.318359375</v>
      </c>
    </row>
    <row r="16" spans="2:10" x14ac:dyDescent="0.35">
      <c r="C16" s="142" t="s">
        <v>13</v>
      </c>
      <c r="D16" s="143">
        <f>D13-D14-D15</f>
        <v>7447000</v>
      </c>
      <c r="E16" s="143">
        <f t="shared" ref="E16:J16" si="5">E13-E14-E15</f>
        <v>9503250</v>
      </c>
      <c r="F16" s="143">
        <f t="shared" si="5"/>
        <v>11487062.5</v>
      </c>
      <c r="G16" s="143">
        <f t="shared" si="5"/>
        <v>13080953.125</v>
      </c>
      <c r="H16" s="143">
        <f t="shared" si="5"/>
        <v>15750722.65625</v>
      </c>
      <c r="I16" s="143">
        <f t="shared" si="5"/>
        <v>19036488.0078125</v>
      </c>
      <c r="J16" s="144">
        <f t="shared" si="5"/>
        <v>23936208.681640625</v>
      </c>
    </row>
    <row r="17" spans="3:13" x14ac:dyDescent="0.35">
      <c r="C17" s="139" t="s">
        <v>14</v>
      </c>
      <c r="D17" s="140">
        <f>D16*25%</f>
        <v>1861750</v>
      </c>
      <c r="E17" s="140">
        <f t="shared" ref="E17:J17" si="6">E16*25%</f>
        <v>2375812.5</v>
      </c>
      <c r="F17" s="140">
        <f t="shared" si="6"/>
        <v>2871765.625</v>
      </c>
      <c r="G17" s="140">
        <f t="shared" si="6"/>
        <v>3270238.28125</v>
      </c>
      <c r="H17" s="140">
        <f t="shared" si="6"/>
        <v>3937680.6640625</v>
      </c>
      <c r="I17" s="140">
        <f t="shared" si="6"/>
        <v>4759122.001953125</v>
      </c>
      <c r="J17" s="140">
        <f t="shared" si="6"/>
        <v>5984052.1704101563</v>
      </c>
    </row>
    <row r="18" spans="3:13" x14ac:dyDescent="0.35">
      <c r="C18" s="142" t="s">
        <v>17</v>
      </c>
      <c r="D18" s="143">
        <f>D16-D17</f>
        <v>5585250</v>
      </c>
      <c r="E18" s="143">
        <f t="shared" ref="E18:J18" si="7">E16-E17</f>
        <v>7127437.5</v>
      </c>
      <c r="F18" s="143">
        <f t="shared" si="7"/>
        <v>8615296.875</v>
      </c>
      <c r="G18" s="143">
        <f t="shared" si="7"/>
        <v>9810714.84375</v>
      </c>
      <c r="H18" s="143">
        <f t="shared" si="7"/>
        <v>11813041.9921875</v>
      </c>
      <c r="I18" s="143">
        <f t="shared" si="7"/>
        <v>14277366.005859375</v>
      </c>
      <c r="J18" s="144">
        <f t="shared" si="7"/>
        <v>17952156.511230469</v>
      </c>
    </row>
    <row r="20" spans="3:13" x14ac:dyDescent="0.35">
      <c r="C20" s="1" t="s">
        <v>288</v>
      </c>
    </row>
    <row r="21" spans="3:13" x14ac:dyDescent="0.35">
      <c r="C21" s="1" t="s">
        <v>439</v>
      </c>
    </row>
    <row r="22" spans="3:13" x14ac:dyDescent="0.35">
      <c r="C22" s="1" t="s">
        <v>440</v>
      </c>
    </row>
    <row r="23" spans="3:13" x14ac:dyDescent="0.35">
      <c r="C23" s="1" t="s">
        <v>441</v>
      </c>
    </row>
    <row r="24" spans="3:13" x14ac:dyDescent="0.35">
      <c r="C24" s="1" t="s">
        <v>442</v>
      </c>
    </row>
    <row r="25" spans="3:13" x14ac:dyDescent="0.35">
      <c r="C25" s="1" t="s">
        <v>443</v>
      </c>
    </row>
    <row r="27" spans="3:13" x14ac:dyDescent="0.35">
      <c r="C27" s="1" t="s">
        <v>293</v>
      </c>
    </row>
    <row r="28" spans="3:13" x14ac:dyDescent="0.35">
      <c r="C28" s="1" t="s">
        <v>294</v>
      </c>
      <c r="M28" s="1">
        <v>2</v>
      </c>
    </row>
    <row r="29" spans="3:13" x14ac:dyDescent="0.35">
      <c r="C29" s="1" t="s">
        <v>295</v>
      </c>
      <c r="M29" s="1">
        <v>1</v>
      </c>
    </row>
    <row r="30" spans="3:13" x14ac:dyDescent="0.35">
      <c r="C30" s="1" t="s">
        <v>303</v>
      </c>
      <c r="M30" s="1">
        <v>2</v>
      </c>
    </row>
    <row r="31" spans="3:13" hidden="1" x14ac:dyDescent="0.35">
      <c r="C31" s="1" t="s">
        <v>335</v>
      </c>
      <c r="M31" s="1">
        <v>2</v>
      </c>
    </row>
    <row r="35" spans="3:8" x14ac:dyDescent="0.35">
      <c r="C35" s="13" t="s">
        <v>228</v>
      </c>
    </row>
    <row r="37" spans="3:8" x14ac:dyDescent="0.35">
      <c r="C37" s="13" t="s">
        <v>296</v>
      </c>
    </row>
    <row r="40" spans="3:8" x14ac:dyDescent="0.35">
      <c r="C40" s="21" t="s">
        <v>257</v>
      </c>
      <c r="D40" s="87" t="s">
        <v>20</v>
      </c>
      <c r="E40" s="91" t="s">
        <v>260</v>
      </c>
      <c r="F40" s="21" t="s">
        <v>292</v>
      </c>
      <c r="G40" s="21" t="s">
        <v>256</v>
      </c>
    </row>
    <row r="41" spans="3:8" x14ac:dyDescent="0.35">
      <c r="C41" s="14" t="s">
        <v>290</v>
      </c>
      <c r="D41" s="3">
        <f>(D43*2)/6*1</f>
        <v>800000</v>
      </c>
      <c r="E41" s="92">
        <f>8%*(1-25%)</f>
        <v>0.06</v>
      </c>
      <c r="F41" s="93">
        <f>D41/$D$44</f>
        <v>0.1111111111111111</v>
      </c>
      <c r="G41" s="94">
        <f>E41*F41</f>
        <v>6.6666666666666662E-3</v>
      </c>
    </row>
    <row r="42" spans="3:8" x14ac:dyDescent="0.35">
      <c r="C42" s="14" t="s">
        <v>291</v>
      </c>
      <c r="D42" s="3">
        <f>(D43*2)/6*5</f>
        <v>4000000</v>
      </c>
      <c r="E42" s="92">
        <f>12%*(1-25%)</f>
        <v>0.09</v>
      </c>
      <c r="F42" s="93">
        <f>D42/$D$44</f>
        <v>0.55555555555555558</v>
      </c>
      <c r="G42" s="94">
        <f>E42*F42</f>
        <v>0.05</v>
      </c>
    </row>
    <row r="43" spans="3:8" x14ac:dyDescent="0.35">
      <c r="C43" s="14" t="s">
        <v>289</v>
      </c>
      <c r="D43" s="3">
        <f>2400000</f>
        <v>2400000</v>
      </c>
      <c r="E43" s="94">
        <f>8.5%+((16.5%-8.5%)*0.75)</f>
        <v>0.14500000000000002</v>
      </c>
      <c r="F43" s="93">
        <f>D43/$D$44</f>
        <v>0.33333333333333331</v>
      </c>
      <c r="G43" s="94">
        <f>E43*F43</f>
        <v>4.8333333333333339E-2</v>
      </c>
    </row>
    <row r="44" spans="3:8" x14ac:dyDescent="0.35">
      <c r="C44" s="18"/>
      <c r="D44" s="19">
        <f>SUM(D41:D43)</f>
        <v>7200000</v>
      </c>
      <c r="E44" s="18"/>
      <c r="F44" s="18">
        <v>1</v>
      </c>
      <c r="G44" s="95">
        <f>SUM(G41:G43)</f>
        <v>0.10500000000000001</v>
      </c>
      <c r="H44" s="22"/>
    </row>
    <row r="46" spans="3:8" x14ac:dyDescent="0.35">
      <c r="C46" s="13" t="s">
        <v>297</v>
      </c>
    </row>
    <row r="48" spans="3:8" x14ac:dyDescent="0.35">
      <c r="C48" s="1" t="s">
        <v>17</v>
      </c>
    </row>
    <row r="50" spans="3:12" x14ac:dyDescent="0.35">
      <c r="C50" s="32" t="s">
        <v>4</v>
      </c>
      <c r="D50" s="32" t="s">
        <v>333</v>
      </c>
      <c r="E50" s="32" t="s">
        <v>308</v>
      </c>
      <c r="F50" s="32" t="s">
        <v>309</v>
      </c>
      <c r="G50" s="32" t="s">
        <v>310</v>
      </c>
      <c r="H50" s="32" t="s">
        <v>299</v>
      </c>
      <c r="I50" s="32" t="s">
        <v>217</v>
      </c>
      <c r="J50" s="32" t="s">
        <v>66</v>
      </c>
      <c r="K50" s="32" t="s">
        <v>67</v>
      </c>
    </row>
    <row r="51" spans="3:12" x14ac:dyDescent="0.35">
      <c r="C51" s="132" t="s">
        <v>240</v>
      </c>
      <c r="D51" s="14">
        <v>0</v>
      </c>
      <c r="E51" s="14">
        <v>1</v>
      </c>
      <c r="F51" s="14">
        <f>E51+1</f>
        <v>2</v>
      </c>
      <c r="G51" s="14">
        <f t="shared" ref="G51:K51" si="8">F51+1</f>
        <v>3</v>
      </c>
      <c r="H51" s="14">
        <f t="shared" si="8"/>
        <v>4</v>
      </c>
      <c r="I51" s="14">
        <f t="shared" si="8"/>
        <v>5</v>
      </c>
      <c r="J51" s="14">
        <f t="shared" si="8"/>
        <v>6</v>
      </c>
      <c r="K51" s="14">
        <f t="shared" si="8"/>
        <v>7</v>
      </c>
    </row>
    <row r="52" spans="3:12" x14ac:dyDescent="0.35">
      <c r="C52" s="132" t="s">
        <v>298</v>
      </c>
      <c r="D52" s="16">
        <f>1/POWER((1+$G$44),D51)</f>
        <v>1</v>
      </c>
      <c r="E52" s="16">
        <f t="shared" ref="E52:K52" si="9">1/POWER((1+$G$44),E51)</f>
        <v>0.90497737556561086</v>
      </c>
      <c r="F52" s="16">
        <f t="shared" si="9"/>
        <v>0.81898405028562071</v>
      </c>
      <c r="G52" s="16">
        <f t="shared" si="9"/>
        <v>0.74116203645757528</v>
      </c>
      <c r="H52" s="16">
        <f t="shared" si="9"/>
        <v>0.67073487462224002</v>
      </c>
      <c r="I52" s="16">
        <f t="shared" si="9"/>
        <v>0.60699988653596382</v>
      </c>
      <c r="J52" s="16">
        <f t="shared" si="9"/>
        <v>0.54932116428594002</v>
      </c>
      <c r="K52" s="16">
        <f t="shared" si="9"/>
        <v>0.49712322559813582</v>
      </c>
    </row>
    <row r="53" spans="3:12" x14ac:dyDescent="0.35">
      <c r="C53" s="14" t="s">
        <v>241</v>
      </c>
      <c r="D53" s="3">
        <f>-45000000</f>
        <v>-45000000</v>
      </c>
      <c r="E53" s="3">
        <f t="shared" ref="E53:K53" si="10">D18</f>
        <v>5585250</v>
      </c>
      <c r="F53" s="3">
        <f t="shared" si="10"/>
        <v>7127437.5</v>
      </c>
      <c r="G53" s="3">
        <f t="shared" si="10"/>
        <v>8615296.875</v>
      </c>
      <c r="H53" s="3">
        <f t="shared" si="10"/>
        <v>9810714.84375</v>
      </c>
      <c r="I53" s="3">
        <f t="shared" si="10"/>
        <v>11813041.9921875</v>
      </c>
      <c r="J53" s="3">
        <f t="shared" si="10"/>
        <v>14277366.005859375</v>
      </c>
      <c r="K53" s="3">
        <f t="shared" si="10"/>
        <v>17952156.511230469</v>
      </c>
    </row>
    <row r="54" spans="3:12" x14ac:dyDescent="0.35">
      <c r="C54" s="132" t="s">
        <v>300</v>
      </c>
      <c r="D54" s="3">
        <f>D52*D53</f>
        <v>-45000000</v>
      </c>
      <c r="E54" s="3">
        <f t="shared" ref="E54:K54" si="11">E52*E53</f>
        <v>5054524.8868778283</v>
      </c>
      <c r="F54" s="3">
        <f t="shared" si="11"/>
        <v>5837257.6319076186</v>
      </c>
      <c r="G54" s="3">
        <f t="shared" si="11"/>
        <v>6385330.9765615845</v>
      </c>
      <c r="H54" s="3">
        <f t="shared" si="11"/>
        <v>6580388.5906772055</v>
      </c>
      <c r="I54" s="3">
        <f t="shared" si="11"/>
        <v>7170515.1489023883</v>
      </c>
      <c r="J54" s="3">
        <f t="shared" si="11"/>
        <v>7842859.317275173</v>
      </c>
      <c r="K54" s="3">
        <f t="shared" si="11"/>
        <v>8924433.9513054676</v>
      </c>
      <c r="L54" s="30">
        <f>SUM(D54:K54)</f>
        <v>2795310.5035072649</v>
      </c>
    </row>
    <row r="57" spans="3:12" x14ac:dyDescent="0.35">
      <c r="C57" s="13" t="s">
        <v>302</v>
      </c>
    </row>
    <row r="59" spans="3:12" x14ac:dyDescent="0.35">
      <c r="C59" s="21" t="s">
        <v>257</v>
      </c>
      <c r="D59" s="87" t="s">
        <v>20</v>
      </c>
      <c r="E59" s="91" t="s">
        <v>260</v>
      </c>
      <c r="F59" s="21" t="s">
        <v>292</v>
      </c>
      <c r="G59" s="21" t="s">
        <v>256</v>
      </c>
    </row>
    <row r="60" spans="3:12" x14ac:dyDescent="0.35">
      <c r="C60" s="14" t="s">
        <v>290</v>
      </c>
      <c r="D60" s="3">
        <f>D41</f>
        <v>800000</v>
      </c>
      <c r="E60" s="92">
        <f>E41</f>
        <v>0.06</v>
      </c>
      <c r="F60" s="93">
        <f>D60/$D$44</f>
        <v>0.1111111111111111</v>
      </c>
      <c r="G60" s="94">
        <f>E60*F60</f>
        <v>6.6666666666666662E-3</v>
      </c>
      <c r="H60" s="30"/>
    </row>
    <row r="61" spans="3:12" x14ac:dyDescent="0.35">
      <c r="C61" s="14" t="s">
        <v>291</v>
      </c>
      <c r="D61" s="3">
        <f>D42</f>
        <v>4000000</v>
      </c>
      <c r="E61" s="92">
        <f>E42</f>
        <v>0.09</v>
      </c>
      <c r="F61" s="93">
        <f>D61/$D$44</f>
        <v>0.55555555555555558</v>
      </c>
      <c r="G61" s="94">
        <f>E61*F61</f>
        <v>0.05</v>
      </c>
      <c r="H61" s="30"/>
    </row>
    <row r="62" spans="3:12" x14ac:dyDescent="0.35">
      <c r="C62" s="14" t="s">
        <v>289</v>
      </c>
      <c r="D62" s="3">
        <f>D43</f>
        <v>2400000</v>
      </c>
      <c r="E62" s="94">
        <f>8%+((15.5%-8%)*0.45)</f>
        <v>0.11375</v>
      </c>
      <c r="F62" s="93">
        <f>D62/$D$44</f>
        <v>0.33333333333333331</v>
      </c>
      <c r="G62" s="94">
        <f>E62*F62</f>
        <v>3.7916666666666668E-2</v>
      </c>
    </row>
    <row r="63" spans="3:12" x14ac:dyDescent="0.35">
      <c r="C63" s="18"/>
      <c r="D63" s="19">
        <f>SUM(D60:D62)</f>
        <v>7200000</v>
      </c>
      <c r="E63" s="18"/>
      <c r="F63" s="18">
        <v>1</v>
      </c>
      <c r="G63" s="95">
        <f>SUM(G60:G62)</f>
        <v>9.4583333333333339E-2</v>
      </c>
    </row>
    <row r="65" spans="3:12" x14ac:dyDescent="0.35">
      <c r="D65" s="80">
        <f>G63</f>
        <v>9.4583333333333339E-2</v>
      </c>
    </row>
    <row r="66" spans="3:12" x14ac:dyDescent="0.35">
      <c r="C66" s="32" t="s">
        <v>4</v>
      </c>
      <c r="D66" s="32" t="s">
        <v>333</v>
      </c>
      <c r="E66" s="32" t="s">
        <v>308</v>
      </c>
      <c r="F66" s="32" t="s">
        <v>309</v>
      </c>
      <c r="G66" s="32" t="s">
        <v>310</v>
      </c>
      <c r="H66" s="32" t="s">
        <v>299</v>
      </c>
      <c r="I66" s="32" t="s">
        <v>217</v>
      </c>
      <c r="J66" s="32" t="s">
        <v>66</v>
      </c>
      <c r="K66" s="32" t="s">
        <v>67</v>
      </c>
    </row>
    <row r="67" spans="3:12" x14ac:dyDescent="0.35">
      <c r="C67" s="132" t="s">
        <v>240</v>
      </c>
      <c r="D67" s="14">
        <v>0</v>
      </c>
      <c r="E67" s="14">
        <v>1</v>
      </c>
      <c r="F67" s="14">
        <f>E67+1</f>
        <v>2</v>
      </c>
      <c r="G67" s="14">
        <f t="shared" ref="G67:K67" si="12">F67+1</f>
        <v>3</v>
      </c>
      <c r="H67" s="14">
        <f t="shared" si="12"/>
        <v>4</v>
      </c>
      <c r="I67" s="14">
        <f t="shared" si="12"/>
        <v>5</v>
      </c>
      <c r="J67" s="14">
        <f t="shared" si="12"/>
        <v>6</v>
      </c>
      <c r="K67" s="14">
        <f t="shared" si="12"/>
        <v>7</v>
      </c>
    </row>
    <row r="68" spans="3:12" x14ac:dyDescent="0.35">
      <c r="C68" s="132" t="s">
        <v>298</v>
      </c>
      <c r="D68" s="16">
        <f>1/POWER((1+$D$65),D67)</f>
        <v>1</v>
      </c>
      <c r="E68" s="16">
        <f t="shared" ref="E68:K68" si="13">1/POWER((1+$D$65),E67)</f>
        <v>0.91358964598401227</v>
      </c>
      <c r="F68" s="16">
        <f t="shared" si="13"/>
        <v>0.83464604124919284</v>
      </c>
      <c r="G68" s="16">
        <f t="shared" si="13"/>
        <v>0.76252398134680743</v>
      </c>
      <c r="H68" s="16">
        <f t="shared" si="13"/>
        <v>0.69663401417294923</v>
      </c>
      <c r="I68" s="16">
        <f t="shared" si="13"/>
        <v>0.63643762238868606</v>
      </c>
      <c r="J68" s="16">
        <f t="shared" si="13"/>
        <v>0.58144282212898613</v>
      </c>
      <c r="K68" s="16">
        <f t="shared" si="13"/>
        <v>0.53120014202876553</v>
      </c>
    </row>
    <row r="69" spans="3:12" x14ac:dyDescent="0.35">
      <c r="C69" s="14" t="s">
        <v>301</v>
      </c>
      <c r="D69" s="3">
        <f>D53</f>
        <v>-45000000</v>
      </c>
      <c r="E69" s="3">
        <f t="shared" ref="E69:K69" si="14">E53</f>
        <v>5585250</v>
      </c>
      <c r="F69" s="3">
        <f t="shared" si="14"/>
        <v>7127437.5</v>
      </c>
      <c r="G69" s="3">
        <f t="shared" si="14"/>
        <v>8615296.875</v>
      </c>
      <c r="H69" s="3">
        <f t="shared" si="14"/>
        <v>9810714.84375</v>
      </c>
      <c r="I69" s="3">
        <f t="shared" si="14"/>
        <v>11813041.9921875</v>
      </c>
      <c r="J69" s="3">
        <f t="shared" si="14"/>
        <v>14277366.005859375</v>
      </c>
      <c r="K69" s="3">
        <f t="shared" si="14"/>
        <v>17952156.511230469</v>
      </c>
    </row>
    <row r="70" spans="3:12" x14ac:dyDescent="0.35">
      <c r="C70" s="14" t="s">
        <v>300</v>
      </c>
      <c r="D70" s="3">
        <f>D68*D69</f>
        <v>-45000000</v>
      </c>
      <c r="E70" s="3">
        <f t="shared" ref="E70:K70" si="15">E68*E69</f>
        <v>5102626.5702322042</v>
      </c>
      <c r="F70" s="3">
        <f t="shared" si="15"/>
        <v>5948887.4936260441</v>
      </c>
      <c r="G70" s="3">
        <f t="shared" si="15"/>
        <v>6569370.4736097082</v>
      </c>
      <c r="H70" s="3">
        <f t="shared" si="15"/>
        <v>6834477.6635077009</v>
      </c>
      <c r="I70" s="3">
        <f t="shared" si="15"/>
        <v>7518264.3586855195</v>
      </c>
      <c r="J70" s="3">
        <f t="shared" si="15"/>
        <v>8301471.9830153259</v>
      </c>
      <c r="K70" s="3">
        <f t="shared" si="15"/>
        <v>9536188.0884882528</v>
      </c>
      <c r="L70" s="30">
        <f>SUM(D70:K70)</f>
        <v>4811286.6311647547</v>
      </c>
    </row>
    <row r="74" spans="3:12" hidden="1" x14ac:dyDescent="0.35">
      <c r="C74" s="13" t="s">
        <v>334</v>
      </c>
    </row>
    <row r="75" spans="3:12" hidden="1" x14ac:dyDescent="0.35"/>
    <row r="76" spans="3:12" hidden="1" x14ac:dyDescent="0.35">
      <c r="C76" s="32" t="s">
        <v>4</v>
      </c>
      <c r="D76" s="32" t="s">
        <v>308</v>
      </c>
      <c r="E76" s="32" t="s">
        <v>309</v>
      </c>
      <c r="F76" s="32" t="s">
        <v>310</v>
      </c>
      <c r="G76" s="32" t="s">
        <v>299</v>
      </c>
      <c r="H76" s="32" t="s">
        <v>217</v>
      </c>
      <c r="I76" s="32" t="s">
        <v>66</v>
      </c>
      <c r="J76" s="32" t="s">
        <v>67</v>
      </c>
    </row>
    <row r="77" spans="3:12" hidden="1" x14ac:dyDescent="0.35">
      <c r="C77" s="14" t="s">
        <v>261</v>
      </c>
      <c r="D77" s="23">
        <f t="shared" ref="D77:J77" si="16">D16</f>
        <v>7447000</v>
      </c>
      <c r="E77" s="23">
        <f t="shared" si="16"/>
        <v>9503250</v>
      </c>
      <c r="F77" s="23">
        <f t="shared" si="16"/>
        <v>11487062.5</v>
      </c>
      <c r="G77" s="23">
        <f t="shared" si="16"/>
        <v>13080953.125</v>
      </c>
      <c r="H77" s="23">
        <f t="shared" si="16"/>
        <v>15750722.65625</v>
      </c>
      <c r="I77" s="23">
        <f t="shared" si="16"/>
        <v>19036488.0078125</v>
      </c>
      <c r="J77" s="23">
        <f t="shared" si="16"/>
        <v>23936208.681640625</v>
      </c>
    </row>
    <row r="78" spans="3:12" hidden="1" x14ac:dyDescent="0.35">
      <c r="C78" s="14" t="s">
        <v>262</v>
      </c>
      <c r="D78" s="23">
        <f t="shared" ref="D78:J78" si="17">D15</f>
        <v>625000</v>
      </c>
      <c r="E78" s="23">
        <f t="shared" si="17"/>
        <v>543750</v>
      </c>
      <c r="F78" s="23">
        <f t="shared" si="17"/>
        <v>473437.5</v>
      </c>
      <c r="G78" s="23">
        <f t="shared" si="17"/>
        <v>412546.875</v>
      </c>
      <c r="H78" s="23">
        <f t="shared" si="17"/>
        <v>359777.34375</v>
      </c>
      <c r="I78" s="23">
        <f t="shared" si="17"/>
        <v>314011.9921875</v>
      </c>
      <c r="J78" s="23">
        <f t="shared" si="17"/>
        <v>274291.318359375</v>
      </c>
    </row>
    <row r="79" spans="3:12" hidden="1" x14ac:dyDescent="0.35">
      <c r="C79" s="14" t="s">
        <v>263</v>
      </c>
      <c r="D79" s="23">
        <f t="shared" ref="D79:J79" si="18">D14*(1-20%)</f>
        <v>435200</v>
      </c>
      <c r="E79" s="23">
        <f t="shared" si="18"/>
        <v>435200</v>
      </c>
      <c r="F79" s="23">
        <f t="shared" si="18"/>
        <v>435200</v>
      </c>
      <c r="G79" s="23">
        <f t="shared" si="18"/>
        <v>435200</v>
      </c>
      <c r="H79" s="23">
        <f t="shared" si="18"/>
        <v>435200</v>
      </c>
      <c r="I79" s="23">
        <f t="shared" si="18"/>
        <v>435200</v>
      </c>
      <c r="J79" s="23">
        <f t="shared" si="18"/>
        <v>435200</v>
      </c>
    </row>
    <row r="80" spans="3:12" hidden="1" x14ac:dyDescent="0.35">
      <c r="C80" s="14" t="s">
        <v>264</v>
      </c>
      <c r="D80" s="23">
        <f>SUM(D77:D79)</f>
        <v>8507200</v>
      </c>
      <c r="E80" s="23">
        <f t="shared" ref="E80:J80" si="19">SUM(E77:E79)</f>
        <v>10482200</v>
      </c>
      <c r="F80" s="23">
        <f t="shared" si="19"/>
        <v>12395700</v>
      </c>
      <c r="G80" s="23">
        <f t="shared" si="19"/>
        <v>13928700</v>
      </c>
      <c r="H80" s="23">
        <f t="shared" si="19"/>
        <v>16545700</v>
      </c>
      <c r="I80" s="23">
        <f t="shared" si="19"/>
        <v>19785700</v>
      </c>
      <c r="J80" s="23">
        <f t="shared" si="19"/>
        <v>24645700</v>
      </c>
    </row>
    <row r="81" spans="3:10" hidden="1" x14ac:dyDescent="0.35"/>
    <row r="82" spans="3:10" hidden="1" x14ac:dyDescent="0.35">
      <c r="C82" s="13" t="s">
        <v>336</v>
      </c>
    </row>
    <row r="83" spans="3:10" hidden="1" x14ac:dyDescent="0.35">
      <c r="C83" s="32" t="s">
        <v>4</v>
      </c>
      <c r="D83" s="32" t="s">
        <v>308</v>
      </c>
      <c r="E83" s="32" t="s">
        <v>309</v>
      </c>
      <c r="F83" s="32" t="s">
        <v>310</v>
      </c>
      <c r="G83" s="32" t="s">
        <v>299</v>
      </c>
      <c r="H83" s="32" t="s">
        <v>217</v>
      </c>
      <c r="I83" s="32" t="s">
        <v>66</v>
      </c>
      <c r="J83" s="32" t="s">
        <v>67</v>
      </c>
    </row>
    <row r="84" spans="3:10" hidden="1" x14ac:dyDescent="0.35">
      <c r="C84" s="14" t="s">
        <v>338</v>
      </c>
      <c r="D84" s="23">
        <f>D80</f>
        <v>8507200</v>
      </c>
      <c r="E84" s="23">
        <f t="shared" ref="E84:J84" si="20">E80</f>
        <v>10482200</v>
      </c>
      <c r="F84" s="23">
        <f t="shared" si="20"/>
        <v>12395700</v>
      </c>
      <c r="G84" s="23">
        <f t="shared" si="20"/>
        <v>13928700</v>
      </c>
      <c r="H84" s="23">
        <f t="shared" si="20"/>
        <v>16545700</v>
      </c>
      <c r="I84" s="23">
        <f t="shared" si="20"/>
        <v>19785700</v>
      </c>
      <c r="J84" s="23">
        <f t="shared" si="20"/>
        <v>24645700</v>
      </c>
    </row>
    <row r="85" spans="3:10" hidden="1" x14ac:dyDescent="0.35">
      <c r="C85" s="14" t="s">
        <v>337</v>
      </c>
      <c r="D85" s="23">
        <v>0</v>
      </c>
      <c r="E85" s="23">
        <v>2000000</v>
      </c>
      <c r="F85" s="23">
        <f>E85</f>
        <v>2000000</v>
      </c>
      <c r="G85" s="23">
        <f t="shared" ref="G85:J85" si="21">F85</f>
        <v>2000000</v>
      </c>
      <c r="H85" s="23">
        <f t="shared" si="21"/>
        <v>2000000</v>
      </c>
      <c r="I85" s="23">
        <f t="shared" si="21"/>
        <v>2000000</v>
      </c>
      <c r="J85" s="23">
        <f t="shared" si="21"/>
        <v>2000000</v>
      </c>
    </row>
    <row r="86" spans="3:10" hidden="1" x14ac:dyDescent="0.35">
      <c r="C86" s="14" t="s">
        <v>264</v>
      </c>
      <c r="D86" s="23">
        <f>D84-D85</f>
        <v>8507200</v>
      </c>
      <c r="E86" s="23">
        <f t="shared" ref="E86:J86" si="22">E84-E85</f>
        <v>8482200</v>
      </c>
      <c r="F86" s="23">
        <f t="shared" si="22"/>
        <v>10395700</v>
      </c>
      <c r="G86" s="23">
        <f t="shared" si="22"/>
        <v>11928700</v>
      </c>
      <c r="H86" s="23">
        <f t="shared" si="22"/>
        <v>14545700</v>
      </c>
      <c r="I86" s="23">
        <f t="shared" si="22"/>
        <v>17785700</v>
      </c>
      <c r="J86" s="23">
        <f t="shared" si="22"/>
        <v>22645700</v>
      </c>
    </row>
    <row r="87" spans="3:10" hidden="1" x14ac:dyDescent="0.35"/>
    <row r="88" spans="3:10" hidden="1" x14ac:dyDescent="0.35"/>
  </sheetData>
  <phoneticPr fontId="3" type="noConversion"/>
  <hyperlinks>
    <hyperlink ref="C51" r:id="rId1" display="PVF@ 11.44%" xr:uid="{1BB90EB6-A92D-41A9-894F-9C52684739F0}"/>
    <hyperlink ref="C52" r:id="rId2" xr:uid="{67FFDAD9-22C6-4910-923B-ED102B187049}"/>
    <hyperlink ref="C54" r:id="rId3" display="PVF@ 11.44%" xr:uid="{7B01260A-96B6-447C-BEF9-E47371737D4B}"/>
    <hyperlink ref="C67" r:id="rId4" display="PVF@ 11.44%" xr:uid="{205AF38F-E18A-4EB5-9732-F303C0172763}"/>
    <hyperlink ref="C68" r:id="rId5" xr:uid="{F0CF5B31-638C-4077-A5FF-5F46AA5CE460}"/>
  </hyperlinks>
  <pageMargins left="0.7" right="0.7" top="0.75" bottom="0.75" header="0.3" footer="0.3"/>
  <pageSetup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B344C-E206-4138-8720-4156CAC782F8}">
  <sheetPr>
    <tabColor rgb="FF92D050"/>
  </sheetPr>
  <dimension ref="B4:K65"/>
  <sheetViews>
    <sheetView showGridLines="0" zoomScale="80" zoomScaleNormal="80" workbookViewId="0">
      <selection activeCell="C22" sqref="C22"/>
    </sheetView>
  </sheetViews>
  <sheetFormatPr defaultColWidth="8.90625" defaultRowHeight="11.5" x14ac:dyDescent="0.35"/>
  <cols>
    <col min="1" max="2" width="8.90625" style="1"/>
    <col min="3" max="3" width="11.08984375" style="1" customWidth="1"/>
    <col min="4" max="4" width="15.36328125" style="2" bestFit="1" customWidth="1"/>
    <col min="5" max="5" width="11.81640625" style="1" bestFit="1" customWidth="1"/>
    <col min="6" max="6" width="10.1796875" style="1" bestFit="1" customWidth="1"/>
    <col min="7" max="7" width="10.90625" style="1" bestFit="1" customWidth="1"/>
    <col min="8" max="8" width="10.1796875" style="1" bestFit="1" customWidth="1"/>
    <col min="9" max="9" width="10.90625" style="1" bestFit="1" customWidth="1"/>
    <col min="10" max="10" width="12.81640625" style="1" customWidth="1"/>
    <col min="11" max="11" width="10.90625" style="1" bestFit="1" customWidth="1"/>
    <col min="12" max="16384" width="8.90625" style="1"/>
  </cols>
  <sheetData>
    <row r="4" spans="2:4" x14ac:dyDescent="0.35">
      <c r="B4" s="1" t="s">
        <v>344</v>
      </c>
      <c r="C4" s="1" t="s">
        <v>434</v>
      </c>
    </row>
    <row r="6" spans="2:4" x14ac:dyDescent="0.35">
      <c r="C6" s="89" t="s">
        <v>240</v>
      </c>
      <c r="D6" s="90" t="s">
        <v>280</v>
      </c>
    </row>
    <row r="7" spans="2:4" x14ac:dyDescent="0.35">
      <c r="C7" s="14">
        <v>1</v>
      </c>
      <c r="D7" s="3">
        <v>1050000</v>
      </c>
    </row>
    <row r="8" spans="2:4" x14ac:dyDescent="0.35">
      <c r="C8" s="14">
        <f>C7+1</f>
        <v>2</v>
      </c>
      <c r="D8" s="3">
        <v>1280000</v>
      </c>
    </row>
    <row r="9" spans="2:4" x14ac:dyDescent="0.35">
      <c r="C9" s="14">
        <f t="shared" ref="C9:C16" si="0">C8+1</f>
        <v>3</v>
      </c>
      <c r="D9" s="3">
        <v>1650000</v>
      </c>
    </row>
    <row r="10" spans="2:4" x14ac:dyDescent="0.35">
      <c r="C10" s="14">
        <f t="shared" si="0"/>
        <v>4</v>
      </c>
      <c r="D10" s="3">
        <v>1350000</v>
      </c>
    </row>
    <row r="11" spans="2:4" x14ac:dyDescent="0.35">
      <c r="C11" s="14">
        <f t="shared" si="0"/>
        <v>5</v>
      </c>
      <c r="D11" s="3">
        <v>1280000</v>
      </c>
    </row>
    <row r="12" spans="2:4" x14ac:dyDescent="0.35">
      <c r="C12" s="14">
        <f t="shared" si="0"/>
        <v>6</v>
      </c>
      <c r="D12" s="3">
        <v>890000</v>
      </c>
    </row>
    <row r="13" spans="2:4" x14ac:dyDescent="0.35">
      <c r="C13" s="14">
        <f t="shared" si="0"/>
        <v>7</v>
      </c>
      <c r="D13" s="3">
        <v>1800000</v>
      </c>
    </row>
    <row r="14" spans="2:4" x14ac:dyDescent="0.35">
      <c r="C14" s="14">
        <f t="shared" si="0"/>
        <v>8</v>
      </c>
      <c r="D14" s="3">
        <v>2500000</v>
      </c>
    </row>
    <row r="15" spans="2:4" x14ac:dyDescent="0.35">
      <c r="C15" s="14">
        <f t="shared" si="0"/>
        <v>9</v>
      </c>
      <c r="D15" s="3">
        <v>2800000</v>
      </c>
    </row>
    <row r="16" spans="2:4" x14ac:dyDescent="0.35">
      <c r="C16" s="14">
        <f t="shared" si="0"/>
        <v>10</v>
      </c>
      <c r="D16" s="3">
        <v>1100000</v>
      </c>
    </row>
    <row r="19" spans="3:8" x14ac:dyDescent="0.35">
      <c r="C19" s="1" t="s">
        <v>281</v>
      </c>
      <c r="H19" s="1">
        <v>1</v>
      </c>
    </row>
    <row r="20" spans="3:8" x14ac:dyDescent="0.35">
      <c r="C20" s="1" t="s">
        <v>435</v>
      </c>
      <c r="H20" s="1">
        <v>2</v>
      </c>
    </row>
    <row r="21" spans="3:8" x14ac:dyDescent="0.35">
      <c r="C21" s="1" t="s">
        <v>282</v>
      </c>
      <c r="H21" s="1">
        <v>2</v>
      </c>
    </row>
    <row r="25" spans="3:8" x14ac:dyDescent="0.35">
      <c r="C25" s="13" t="s">
        <v>228</v>
      </c>
    </row>
    <row r="26" spans="3:8" x14ac:dyDescent="0.35">
      <c r="C26" s="1" t="s">
        <v>283</v>
      </c>
    </row>
    <row r="28" spans="3:8" x14ac:dyDescent="0.35">
      <c r="C28" s="89" t="s">
        <v>240</v>
      </c>
      <c r="D28" s="90" t="s">
        <v>280</v>
      </c>
      <c r="E28" s="90" t="s">
        <v>284</v>
      </c>
    </row>
    <row r="29" spans="3:8" x14ac:dyDescent="0.35">
      <c r="C29" s="14">
        <v>0</v>
      </c>
      <c r="D29" s="90">
        <f>-7500000</f>
        <v>-7500000</v>
      </c>
      <c r="E29" s="90">
        <f>D29</f>
        <v>-7500000</v>
      </c>
    </row>
    <row r="30" spans="3:8" x14ac:dyDescent="0.35">
      <c r="C30" s="14">
        <v>1</v>
      </c>
      <c r="D30" s="3">
        <f t="shared" ref="D30:D39" si="1">D7</f>
        <v>1050000</v>
      </c>
      <c r="E30" s="23">
        <f>E29+D30</f>
        <v>-6450000</v>
      </c>
    </row>
    <row r="31" spans="3:8" x14ac:dyDescent="0.35">
      <c r="C31" s="14">
        <f>C30+1</f>
        <v>2</v>
      </c>
      <c r="D31" s="3">
        <f t="shared" si="1"/>
        <v>1280000</v>
      </c>
      <c r="E31" s="23">
        <f>E30+D31</f>
        <v>-5170000</v>
      </c>
    </row>
    <row r="32" spans="3:8" x14ac:dyDescent="0.35">
      <c r="C32" s="14">
        <f t="shared" ref="C32:C39" si="2">C31+1</f>
        <v>3</v>
      </c>
      <c r="D32" s="3">
        <f t="shared" si="1"/>
        <v>1650000</v>
      </c>
      <c r="E32" s="23">
        <f t="shared" ref="E32:E39" si="3">E31+D32</f>
        <v>-3520000</v>
      </c>
    </row>
    <row r="33" spans="3:5" x14ac:dyDescent="0.35">
      <c r="C33" s="14">
        <f t="shared" si="2"/>
        <v>4</v>
      </c>
      <c r="D33" s="3">
        <f t="shared" si="1"/>
        <v>1350000</v>
      </c>
      <c r="E33" s="23">
        <f t="shared" si="3"/>
        <v>-2170000</v>
      </c>
    </row>
    <row r="34" spans="3:5" x14ac:dyDescent="0.35">
      <c r="C34" s="14">
        <f t="shared" si="2"/>
        <v>5</v>
      </c>
      <c r="D34" s="3">
        <f t="shared" si="1"/>
        <v>1280000</v>
      </c>
      <c r="E34" s="23">
        <f t="shared" si="3"/>
        <v>-890000</v>
      </c>
    </row>
    <row r="35" spans="3:5" x14ac:dyDescent="0.35">
      <c r="C35" s="14">
        <f t="shared" si="2"/>
        <v>6</v>
      </c>
      <c r="D35" s="3">
        <f t="shared" si="1"/>
        <v>890000</v>
      </c>
      <c r="E35" s="23">
        <f t="shared" si="3"/>
        <v>0</v>
      </c>
    </row>
    <row r="36" spans="3:5" x14ac:dyDescent="0.35">
      <c r="C36" s="14">
        <f t="shared" si="2"/>
        <v>7</v>
      </c>
      <c r="D36" s="3">
        <f t="shared" si="1"/>
        <v>1800000</v>
      </c>
      <c r="E36" s="23">
        <f t="shared" si="3"/>
        <v>1800000</v>
      </c>
    </row>
    <row r="37" spans="3:5" x14ac:dyDescent="0.35">
      <c r="C37" s="14">
        <f t="shared" si="2"/>
        <v>8</v>
      </c>
      <c r="D37" s="3">
        <f t="shared" si="1"/>
        <v>2500000</v>
      </c>
      <c r="E37" s="23">
        <f t="shared" si="3"/>
        <v>4300000</v>
      </c>
    </row>
    <row r="38" spans="3:5" x14ac:dyDescent="0.35">
      <c r="C38" s="14">
        <f t="shared" si="2"/>
        <v>9</v>
      </c>
      <c r="D38" s="3">
        <f t="shared" si="1"/>
        <v>2800000</v>
      </c>
      <c r="E38" s="23">
        <f t="shared" si="3"/>
        <v>7100000</v>
      </c>
    </row>
    <row r="39" spans="3:5" x14ac:dyDescent="0.35">
      <c r="C39" s="14">
        <f t="shared" si="2"/>
        <v>10</v>
      </c>
      <c r="D39" s="3">
        <f t="shared" si="1"/>
        <v>1100000</v>
      </c>
      <c r="E39" s="23">
        <f t="shared" si="3"/>
        <v>8200000</v>
      </c>
    </row>
    <row r="41" spans="3:5" x14ac:dyDescent="0.35">
      <c r="C41" s="1" t="s">
        <v>436</v>
      </c>
    </row>
    <row r="42" spans="3:5" x14ac:dyDescent="0.35">
      <c r="C42" s="1" t="s">
        <v>437</v>
      </c>
    </row>
    <row r="44" spans="3:5" x14ac:dyDescent="0.35">
      <c r="C44" s="1" t="s">
        <v>285</v>
      </c>
      <c r="D44" s="2">
        <v>6</v>
      </c>
      <c r="E44" s="1" t="s">
        <v>240</v>
      </c>
    </row>
    <row r="45" spans="3:5" x14ac:dyDescent="0.35">
      <c r="D45" s="78"/>
    </row>
    <row r="49" spans="3:11" x14ac:dyDescent="0.35">
      <c r="C49" s="1" t="s">
        <v>438</v>
      </c>
      <c r="E49" s="68">
        <v>0.11</v>
      </c>
      <c r="H49" s="68">
        <v>0.15</v>
      </c>
      <c r="J49" s="80">
        <f>D65</f>
        <v>0.14497938348120301</v>
      </c>
    </row>
    <row r="51" spans="3:11" x14ac:dyDescent="0.35">
      <c r="C51" s="89" t="s">
        <v>240</v>
      </c>
      <c r="D51" s="90" t="s">
        <v>280</v>
      </c>
      <c r="E51" s="90" t="s">
        <v>284</v>
      </c>
      <c r="F51" s="14" t="s">
        <v>339</v>
      </c>
      <c r="G51" s="14" t="s">
        <v>286</v>
      </c>
      <c r="H51" s="14" t="s">
        <v>340</v>
      </c>
      <c r="I51" s="14" t="s">
        <v>286</v>
      </c>
      <c r="J51" s="14" t="str">
        <f>CONCATENATE("PV @ ",J49)</f>
        <v>PV @ 0.144979383481203</v>
      </c>
      <c r="K51" s="14" t="s">
        <v>286</v>
      </c>
    </row>
    <row r="52" spans="3:11" x14ac:dyDescent="0.35">
      <c r="C52" s="14">
        <v>0</v>
      </c>
      <c r="D52" s="90">
        <f>D29</f>
        <v>-7500000</v>
      </c>
      <c r="E52" s="90">
        <f>D52</f>
        <v>-7500000</v>
      </c>
      <c r="F52" s="14">
        <f>1/(POWER((1+$E$49),C52))</f>
        <v>1</v>
      </c>
      <c r="G52" s="23">
        <f>D52*F52</f>
        <v>-7500000</v>
      </c>
      <c r="H52" s="14">
        <f>1/(POWER((1+$H$49),C52))</f>
        <v>1</v>
      </c>
      <c r="I52" s="23">
        <f>D52*H52</f>
        <v>-7500000</v>
      </c>
      <c r="J52" s="16">
        <f>1/(POWER((1+$J$49),C52))</f>
        <v>1</v>
      </c>
      <c r="K52" s="23">
        <f>J52*D52</f>
        <v>-7500000</v>
      </c>
    </row>
    <row r="53" spans="3:11" x14ac:dyDescent="0.35">
      <c r="C53" s="14">
        <v>1</v>
      </c>
      <c r="D53" s="90">
        <f t="shared" ref="D53:D62" si="4">D30</f>
        <v>1050000</v>
      </c>
      <c r="E53" s="23">
        <f t="shared" ref="E53:E62" si="5">E52+D53</f>
        <v>-6450000</v>
      </c>
      <c r="F53" s="16">
        <f t="shared" ref="F53:F62" si="6">1/(POWER((1+$E$49),C53))</f>
        <v>0.9009009009009008</v>
      </c>
      <c r="G53" s="23">
        <f t="shared" ref="G53:G62" si="7">D53*F53</f>
        <v>945945.9459459458</v>
      </c>
      <c r="H53" s="16">
        <f t="shared" ref="H53:H62" si="8">1/(POWER((1+$H$49),C53))</f>
        <v>0.86956521739130443</v>
      </c>
      <c r="I53" s="23">
        <f t="shared" ref="I53:I62" si="9">D53*H53</f>
        <v>913043.47826086963</v>
      </c>
      <c r="J53" s="16">
        <f t="shared" ref="J53:J62" si="10">1/(POWER((1+$J$49),C53))</f>
        <v>0.87337817119430861</v>
      </c>
      <c r="K53" s="23">
        <f t="shared" ref="K53:K62" si="11">J53*D53</f>
        <v>917047.07975402405</v>
      </c>
    </row>
    <row r="54" spans="3:11" x14ac:dyDescent="0.35">
      <c r="C54" s="14">
        <f>C53+1</f>
        <v>2</v>
      </c>
      <c r="D54" s="90">
        <f t="shared" si="4"/>
        <v>1280000</v>
      </c>
      <c r="E54" s="23">
        <f>E53+D54</f>
        <v>-5170000</v>
      </c>
      <c r="F54" s="16">
        <f t="shared" si="6"/>
        <v>0.8116224332440547</v>
      </c>
      <c r="G54" s="23">
        <f t="shared" si="7"/>
        <v>1038876.71455239</v>
      </c>
      <c r="H54" s="16">
        <f t="shared" si="8"/>
        <v>0.7561436672967865</v>
      </c>
      <c r="I54" s="23">
        <f t="shared" si="9"/>
        <v>967863.89413988672</v>
      </c>
      <c r="J54" s="16">
        <f t="shared" si="10"/>
        <v>0.7627894299187149</v>
      </c>
      <c r="K54" s="23">
        <f t="shared" si="11"/>
        <v>976370.47029595508</v>
      </c>
    </row>
    <row r="55" spans="3:11" x14ac:dyDescent="0.35">
      <c r="C55" s="14">
        <f t="shared" ref="C55:C62" si="12">C54+1</f>
        <v>3</v>
      </c>
      <c r="D55" s="90">
        <f t="shared" si="4"/>
        <v>1650000</v>
      </c>
      <c r="E55" s="23">
        <f t="shared" si="5"/>
        <v>-3520000</v>
      </c>
      <c r="F55" s="16">
        <f t="shared" si="6"/>
        <v>0.73119138130095018</v>
      </c>
      <c r="G55" s="23">
        <f t="shared" si="7"/>
        <v>1206465.7791465677</v>
      </c>
      <c r="H55" s="16">
        <f t="shared" si="8"/>
        <v>0.65751623243198831</v>
      </c>
      <c r="I55" s="23">
        <f t="shared" si="9"/>
        <v>1084901.7835127807</v>
      </c>
      <c r="J55" s="16">
        <f t="shared" si="10"/>
        <v>0.66620363730875642</v>
      </c>
      <c r="K55" s="23">
        <f t="shared" si="11"/>
        <v>1099236.0015594482</v>
      </c>
    </row>
    <row r="56" spans="3:11" x14ac:dyDescent="0.35">
      <c r="C56" s="14">
        <f t="shared" si="12"/>
        <v>4</v>
      </c>
      <c r="D56" s="90">
        <f t="shared" si="4"/>
        <v>1350000</v>
      </c>
      <c r="E56" s="23">
        <f t="shared" si="5"/>
        <v>-2170000</v>
      </c>
      <c r="F56" s="16">
        <f t="shared" si="6"/>
        <v>0.65873097414500015</v>
      </c>
      <c r="G56" s="23">
        <f t="shared" si="7"/>
        <v>889286.81509575015</v>
      </c>
      <c r="H56" s="16">
        <f t="shared" si="8"/>
        <v>0.57175324559303342</v>
      </c>
      <c r="I56" s="23">
        <f t="shared" si="9"/>
        <v>771866.88155059516</v>
      </c>
      <c r="J56" s="16">
        <f t="shared" si="10"/>
        <v>0.58184771439571814</v>
      </c>
      <c r="K56" s="23">
        <f t="shared" si="11"/>
        <v>785494.41443421948</v>
      </c>
    </row>
    <row r="57" spans="3:11" x14ac:dyDescent="0.35">
      <c r="C57" s="14">
        <f t="shared" si="12"/>
        <v>5</v>
      </c>
      <c r="D57" s="90">
        <f t="shared" si="4"/>
        <v>1280000</v>
      </c>
      <c r="E57" s="23">
        <f t="shared" si="5"/>
        <v>-890000</v>
      </c>
      <c r="F57" s="16">
        <f t="shared" si="6"/>
        <v>0.5934513280585586</v>
      </c>
      <c r="G57" s="23">
        <f t="shared" si="7"/>
        <v>759617.69991495507</v>
      </c>
      <c r="H57" s="16">
        <f t="shared" si="8"/>
        <v>0.49717673529828987</v>
      </c>
      <c r="I57" s="23">
        <f t="shared" si="9"/>
        <v>636386.22118181107</v>
      </c>
      <c r="J57" s="16">
        <f t="shared" si="10"/>
        <v>0.50817309271252076</v>
      </c>
      <c r="K57" s="23">
        <f t="shared" si="11"/>
        <v>650461.55867202661</v>
      </c>
    </row>
    <row r="58" spans="3:11" x14ac:dyDescent="0.35">
      <c r="C58" s="14">
        <f t="shared" si="12"/>
        <v>6</v>
      </c>
      <c r="D58" s="90">
        <f t="shared" si="4"/>
        <v>890000</v>
      </c>
      <c r="E58" s="23">
        <f t="shared" si="5"/>
        <v>0</v>
      </c>
      <c r="F58" s="16">
        <f t="shared" si="6"/>
        <v>0.53464083608879154</v>
      </c>
      <c r="G58" s="23">
        <f t="shared" si="7"/>
        <v>475830.34411902446</v>
      </c>
      <c r="H58" s="16">
        <f t="shared" si="8"/>
        <v>0.43232759591155645</v>
      </c>
      <c r="I58" s="23">
        <f t="shared" si="9"/>
        <v>384771.56036128523</v>
      </c>
      <c r="J58" s="16">
        <f t="shared" si="10"/>
        <v>0.44382728636341717</v>
      </c>
      <c r="K58" s="23">
        <f t="shared" si="11"/>
        <v>395006.28486344131</v>
      </c>
    </row>
    <row r="59" spans="3:11" x14ac:dyDescent="0.35">
      <c r="C59" s="14">
        <f t="shared" si="12"/>
        <v>7</v>
      </c>
      <c r="D59" s="90">
        <f t="shared" si="4"/>
        <v>1800000</v>
      </c>
      <c r="E59" s="23">
        <f t="shared" si="5"/>
        <v>1800000</v>
      </c>
      <c r="F59" s="16">
        <f t="shared" si="6"/>
        <v>0.48165841089080319</v>
      </c>
      <c r="G59" s="23">
        <f t="shared" si="7"/>
        <v>866985.13960344577</v>
      </c>
      <c r="H59" s="16">
        <f t="shared" si="8"/>
        <v>0.37593703992309269</v>
      </c>
      <c r="I59" s="23">
        <f t="shared" si="9"/>
        <v>676686.67186156684</v>
      </c>
      <c r="J59" s="16">
        <f t="shared" si="10"/>
        <v>0.38762906369021394</v>
      </c>
      <c r="K59" s="23">
        <f t="shared" si="11"/>
        <v>697732.31464238511</v>
      </c>
    </row>
    <row r="60" spans="3:11" x14ac:dyDescent="0.35">
      <c r="C60" s="14">
        <f t="shared" si="12"/>
        <v>8</v>
      </c>
      <c r="D60" s="90">
        <f t="shared" si="4"/>
        <v>2500000</v>
      </c>
      <c r="E60" s="23">
        <f t="shared" si="5"/>
        <v>4300000</v>
      </c>
      <c r="F60" s="16">
        <f t="shared" si="6"/>
        <v>0.43392649629802077</v>
      </c>
      <c r="G60" s="23">
        <f t="shared" si="7"/>
        <v>1084816.240745052</v>
      </c>
      <c r="H60" s="16">
        <f t="shared" si="8"/>
        <v>0.32690177384616753</v>
      </c>
      <c r="I60" s="23">
        <f t="shared" si="9"/>
        <v>817254.43461541878</v>
      </c>
      <c r="J60" s="16">
        <f t="shared" si="10"/>
        <v>0.33854676274752121</v>
      </c>
      <c r="K60" s="23">
        <f t="shared" si="11"/>
        <v>846366.90686880308</v>
      </c>
    </row>
    <row r="61" spans="3:11" x14ac:dyDescent="0.35">
      <c r="C61" s="14">
        <f t="shared" si="12"/>
        <v>9</v>
      </c>
      <c r="D61" s="90">
        <f t="shared" si="4"/>
        <v>2800000</v>
      </c>
      <c r="E61" s="23">
        <f t="shared" si="5"/>
        <v>7100000</v>
      </c>
      <c r="F61" s="16">
        <f t="shared" si="6"/>
        <v>0.39092477143965831</v>
      </c>
      <c r="G61" s="23">
        <f t="shared" si="7"/>
        <v>1094589.3600310432</v>
      </c>
      <c r="H61" s="16">
        <f t="shared" si="8"/>
        <v>0.28426241204014574</v>
      </c>
      <c r="I61" s="23">
        <f t="shared" si="9"/>
        <v>795934.75371240813</v>
      </c>
      <c r="J61" s="16">
        <f t="shared" si="10"/>
        <v>0.29567935251218352</v>
      </c>
      <c r="K61" s="23">
        <f t="shared" si="11"/>
        <v>827902.18703411391</v>
      </c>
    </row>
    <row r="62" spans="3:11" x14ac:dyDescent="0.35">
      <c r="C62" s="14">
        <f t="shared" si="12"/>
        <v>10</v>
      </c>
      <c r="D62" s="90">
        <f t="shared" si="4"/>
        <v>1100000</v>
      </c>
      <c r="E62" s="23">
        <f t="shared" si="5"/>
        <v>8200000</v>
      </c>
      <c r="F62" s="16">
        <f t="shared" si="6"/>
        <v>0.3521844787744669</v>
      </c>
      <c r="G62" s="23">
        <f t="shared" si="7"/>
        <v>387402.92665191361</v>
      </c>
      <c r="H62" s="16">
        <f t="shared" si="8"/>
        <v>0.24718470612186585</v>
      </c>
      <c r="I62" s="23">
        <f t="shared" si="9"/>
        <v>271903.17673405242</v>
      </c>
      <c r="J62" s="16">
        <f t="shared" si="10"/>
        <v>0.25823989215700816</v>
      </c>
      <c r="K62" s="23">
        <f t="shared" si="11"/>
        <v>284063.88137270894</v>
      </c>
    </row>
    <row r="63" spans="3:11" x14ac:dyDescent="0.35">
      <c r="G63" s="30">
        <f>SUM(G52:G62)</f>
        <v>1249816.9658060882</v>
      </c>
      <c r="I63" s="30">
        <f>SUM(I52:I62)</f>
        <v>-179387.14406932617</v>
      </c>
      <c r="K63" s="30">
        <f>SUM(K52:K62)</f>
        <v>-20318.900502873585</v>
      </c>
    </row>
    <row r="65" spans="3:4" x14ac:dyDescent="0.35">
      <c r="C65" s="1" t="s">
        <v>287</v>
      </c>
      <c r="D65" s="22">
        <f>$E$49+(((G63/(G63-I63))*(H49-E49)))</f>
        <v>0.14497938348120301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BBF2C-412B-429F-8590-E149C1D1B21E}">
  <sheetPr>
    <tabColor rgb="FF92D050"/>
  </sheetPr>
  <dimension ref="B6:M65"/>
  <sheetViews>
    <sheetView showGridLines="0" zoomScale="80" zoomScaleNormal="80" workbookViewId="0">
      <selection activeCell="I6" sqref="I6"/>
    </sheetView>
  </sheetViews>
  <sheetFormatPr defaultRowHeight="11.5" x14ac:dyDescent="0.35"/>
  <cols>
    <col min="1" max="1" width="8.7265625" style="1"/>
    <col min="2" max="2" width="13.54296875" style="1" bestFit="1" customWidth="1"/>
    <col min="3" max="3" width="18.453125" style="1" bestFit="1" customWidth="1"/>
    <col min="4" max="4" width="19.54296875" style="1" bestFit="1" customWidth="1"/>
    <col min="5" max="5" width="12.54296875" style="1" customWidth="1"/>
    <col min="6" max="6" width="12.1796875" style="1" bestFit="1" customWidth="1"/>
    <col min="7" max="9" width="8.7265625" style="1"/>
    <col min="10" max="10" width="13.26953125" style="2" bestFit="1" customWidth="1"/>
    <col min="11" max="13" width="14.08984375" style="2" bestFit="1" customWidth="1"/>
    <col min="14" max="16384" width="8.7265625" style="1"/>
  </cols>
  <sheetData>
    <row r="6" spans="2:8" x14ac:dyDescent="0.35">
      <c r="B6" s="1" t="s">
        <v>355</v>
      </c>
    </row>
    <row r="7" spans="2:8" ht="37" customHeight="1" x14ac:dyDescent="0.35">
      <c r="B7" s="147" t="s">
        <v>432</v>
      </c>
      <c r="C7" s="147"/>
      <c r="D7" s="147"/>
      <c r="E7" s="147"/>
      <c r="F7" s="147"/>
    </row>
    <row r="8" spans="2:8" ht="60.5" customHeight="1" x14ac:dyDescent="0.35">
      <c r="B8" s="147"/>
      <c r="C8" s="147"/>
      <c r="D8" s="147"/>
      <c r="E8" s="147"/>
      <c r="F8" s="147"/>
      <c r="H8" s="1" t="s">
        <v>345</v>
      </c>
    </row>
    <row r="9" spans="2:8" x14ac:dyDescent="0.35">
      <c r="B9" s="18"/>
      <c r="C9" s="18" t="s">
        <v>204</v>
      </c>
      <c r="D9" s="18" t="s">
        <v>205</v>
      </c>
      <c r="E9" s="18" t="s">
        <v>206</v>
      </c>
      <c r="F9" s="18" t="s">
        <v>207</v>
      </c>
    </row>
    <row r="10" spans="2:8" x14ac:dyDescent="0.35">
      <c r="B10" s="14" t="s">
        <v>198</v>
      </c>
      <c r="C10" s="3">
        <v>800000</v>
      </c>
      <c r="D10" s="3">
        <v>820000</v>
      </c>
      <c r="E10" s="3">
        <v>950000</v>
      </c>
      <c r="F10" s="3">
        <v>750000</v>
      </c>
    </row>
    <row r="11" spans="2:8" x14ac:dyDescent="0.35">
      <c r="B11" s="14" t="s">
        <v>248</v>
      </c>
      <c r="C11" s="3"/>
      <c r="D11" s="3"/>
      <c r="E11" s="3"/>
      <c r="F11" s="3"/>
    </row>
    <row r="12" spans="2:8" x14ac:dyDescent="0.35">
      <c r="B12" s="14" t="s">
        <v>199</v>
      </c>
      <c r="C12" s="3">
        <v>220000</v>
      </c>
      <c r="D12" s="3">
        <v>110000</v>
      </c>
      <c r="E12" s="3">
        <v>140000</v>
      </c>
      <c r="F12" s="3">
        <v>250000</v>
      </c>
    </row>
    <row r="13" spans="2:8" x14ac:dyDescent="0.35">
      <c r="B13" s="14" t="s">
        <v>200</v>
      </c>
      <c r="C13" s="3">
        <v>220000</v>
      </c>
      <c r="D13" s="3">
        <f>D12+40000</f>
        <v>150000</v>
      </c>
      <c r="E13" s="3">
        <v>150000</v>
      </c>
      <c r="F13" s="3">
        <v>180000</v>
      </c>
    </row>
    <row r="14" spans="2:8" x14ac:dyDescent="0.35">
      <c r="B14" s="14" t="s">
        <v>201</v>
      </c>
      <c r="C14" s="3">
        <v>220000</v>
      </c>
      <c r="D14" s="3">
        <f>D13+70000</f>
        <v>220000</v>
      </c>
      <c r="E14" s="3">
        <v>190000</v>
      </c>
      <c r="F14" s="3">
        <v>150000</v>
      </c>
    </row>
    <row r="15" spans="2:8" x14ac:dyDescent="0.35">
      <c r="B15" s="14" t="s">
        <v>202</v>
      </c>
      <c r="C15" s="3">
        <v>220000</v>
      </c>
      <c r="D15" s="3">
        <f>D14+50000</f>
        <v>270000</v>
      </c>
      <c r="E15" s="3">
        <v>220000</v>
      </c>
      <c r="F15" s="3">
        <v>120000</v>
      </c>
    </row>
    <row r="16" spans="2:8" x14ac:dyDescent="0.35">
      <c r="B16" s="14" t="s">
        <v>203</v>
      </c>
      <c r="C16" s="3">
        <v>220000</v>
      </c>
      <c r="D16" s="3">
        <v>200000</v>
      </c>
      <c r="E16" s="3">
        <v>350000</v>
      </c>
      <c r="F16" s="3">
        <v>100000</v>
      </c>
    </row>
    <row r="20" spans="2:13" x14ac:dyDescent="0.35">
      <c r="B20" s="13" t="s">
        <v>228</v>
      </c>
    </row>
    <row r="21" spans="2:13" x14ac:dyDescent="0.35">
      <c r="H21" s="80">
        <v>0.13500000000000001</v>
      </c>
    </row>
    <row r="22" spans="2:13" x14ac:dyDescent="0.35">
      <c r="B22" s="21" t="s">
        <v>240</v>
      </c>
      <c r="C22" s="21" t="s">
        <v>204</v>
      </c>
      <c r="D22" s="21" t="s">
        <v>205</v>
      </c>
      <c r="E22" s="21" t="s">
        <v>206</v>
      </c>
      <c r="F22" s="21" t="s">
        <v>207</v>
      </c>
      <c r="H22" s="86" t="s">
        <v>433</v>
      </c>
      <c r="J22" s="87" t="s">
        <v>204</v>
      </c>
      <c r="K22" s="87" t="s">
        <v>205</v>
      </c>
      <c r="L22" s="87" t="s">
        <v>206</v>
      </c>
      <c r="M22" s="87" t="s">
        <v>207</v>
      </c>
    </row>
    <row r="23" spans="2:13" x14ac:dyDescent="0.35">
      <c r="B23" s="14">
        <v>0</v>
      </c>
      <c r="C23" s="3">
        <f>-C10</f>
        <v>-800000</v>
      </c>
      <c r="D23" s="3">
        <f t="shared" ref="D23:F23" si="0">-D10</f>
        <v>-820000</v>
      </c>
      <c r="E23" s="3">
        <f t="shared" si="0"/>
        <v>-950000</v>
      </c>
      <c r="F23" s="3">
        <f t="shared" si="0"/>
        <v>-750000</v>
      </c>
      <c r="H23" s="25">
        <f>1/(POWER((1+$H$21),B23))</f>
        <v>1</v>
      </c>
      <c r="J23" s="3">
        <f>C23*$H23</f>
        <v>-800000</v>
      </c>
      <c r="K23" s="3">
        <f t="shared" ref="K23:K28" si="1">D23*$H23</f>
        <v>-820000</v>
      </c>
      <c r="L23" s="3">
        <f t="shared" ref="L23:L28" si="2">E23*$H23</f>
        <v>-950000</v>
      </c>
      <c r="M23" s="3">
        <f t="shared" ref="M23:M28" si="3">F23*$H23</f>
        <v>-750000</v>
      </c>
    </row>
    <row r="24" spans="2:13" x14ac:dyDescent="0.35">
      <c r="B24" s="14">
        <v>1</v>
      </c>
      <c r="C24" s="3">
        <f>C12</f>
        <v>220000</v>
      </c>
      <c r="D24" s="3">
        <f t="shared" ref="D24:F24" si="4">D12</f>
        <v>110000</v>
      </c>
      <c r="E24" s="3">
        <f t="shared" si="4"/>
        <v>140000</v>
      </c>
      <c r="F24" s="3">
        <f t="shared" si="4"/>
        <v>250000</v>
      </c>
      <c r="H24" s="25">
        <f t="shared" ref="H24:H28" si="5">1/(POWER((1+$H$21),B24))</f>
        <v>0.88105726872246692</v>
      </c>
      <c r="J24" s="3">
        <f t="shared" ref="J24:J28" si="6">C24*$H24</f>
        <v>193832.59911894271</v>
      </c>
      <c r="K24" s="3">
        <f t="shared" si="1"/>
        <v>96916.299559471357</v>
      </c>
      <c r="L24" s="3">
        <f t="shared" si="2"/>
        <v>123348.01762114537</v>
      </c>
      <c r="M24" s="3">
        <f t="shared" si="3"/>
        <v>220264.31718061672</v>
      </c>
    </row>
    <row r="25" spans="2:13" x14ac:dyDescent="0.35">
      <c r="B25" s="14">
        <v>2</v>
      </c>
      <c r="C25" s="3">
        <f t="shared" ref="C25:F25" si="7">C13</f>
        <v>220000</v>
      </c>
      <c r="D25" s="3">
        <f t="shared" si="7"/>
        <v>150000</v>
      </c>
      <c r="E25" s="3">
        <f t="shared" si="7"/>
        <v>150000</v>
      </c>
      <c r="F25" s="3">
        <f t="shared" si="7"/>
        <v>180000</v>
      </c>
      <c r="H25" s="25">
        <f t="shared" si="5"/>
        <v>0.77626191076869333</v>
      </c>
      <c r="J25" s="3">
        <f t="shared" si="6"/>
        <v>170777.62036911253</v>
      </c>
      <c r="K25" s="3">
        <f t="shared" si="1"/>
        <v>116439.28661530399</v>
      </c>
      <c r="L25" s="3">
        <f t="shared" si="2"/>
        <v>116439.28661530399</v>
      </c>
      <c r="M25" s="3">
        <f t="shared" si="3"/>
        <v>139727.14393836481</v>
      </c>
    </row>
    <row r="26" spans="2:13" x14ac:dyDescent="0.35">
      <c r="B26" s="14">
        <v>3</v>
      </c>
      <c r="C26" s="3">
        <f t="shared" ref="C26:F26" si="8">C14</f>
        <v>220000</v>
      </c>
      <c r="D26" s="3">
        <f t="shared" si="8"/>
        <v>220000</v>
      </c>
      <c r="E26" s="3">
        <f t="shared" si="8"/>
        <v>190000</v>
      </c>
      <c r="F26" s="3">
        <f t="shared" si="8"/>
        <v>150000</v>
      </c>
      <c r="H26" s="25">
        <f t="shared" si="5"/>
        <v>0.68393119891514842</v>
      </c>
      <c r="J26" s="3">
        <f t="shared" si="6"/>
        <v>150464.86376133264</v>
      </c>
      <c r="K26" s="3">
        <f t="shared" si="1"/>
        <v>150464.86376133264</v>
      </c>
      <c r="L26" s="3">
        <f t="shared" si="2"/>
        <v>129946.9277938782</v>
      </c>
      <c r="M26" s="3">
        <f t="shared" si="3"/>
        <v>102589.67983727227</v>
      </c>
    </row>
    <row r="27" spans="2:13" x14ac:dyDescent="0.35">
      <c r="B27" s="14">
        <v>4</v>
      </c>
      <c r="C27" s="3">
        <f t="shared" ref="C27:F27" si="9">C15</f>
        <v>220000</v>
      </c>
      <c r="D27" s="3">
        <f t="shared" si="9"/>
        <v>270000</v>
      </c>
      <c r="E27" s="3">
        <f t="shared" si="9"/>
        <v>220000</v>
      </c>
      <c r="F27" s="3">
        <f t="shared" si="9"/>
        <v>120000</v>
      </c>
      <c r="H27" s="25">
        <f t="shared" si="5"/>
        <v>0.60258255411026285</v>
      </c>
      <c r="J27" s="3">
        <f t="shared" si="6"/>
        <v>132568.16190425784</v>
      </c>
      <c r="K27" s="3">
        <f t="shared" si="1"/>
        <v>162697.28960977096</v>
      </c>
      <c r="L27" s="3">
        <f t="shared" si="2"/>
        <v>132568.16190425784</v>
      </c>
      <c r="M27" s="3">
        <f t="shared" si="3"/>
        <v>72309.906493231538</v>
      </c>
    </row>
    <row r="28" spans="2:13" x14ac:dyDescent="0.35">
      <c r="B28" s="14">
        <v>5</v>
      </c>
      <c r="C28" s="3">
        <f t="shared" ref="C28:F28" si="10">C16</f>
        <v>220000</v>
      </c>
      <c r="D28" s="3">
        <f t="shared" si="10"/>
        <v>200000</v>
      </c>
      <c r="E28" s="3">
        <f t="shared" si="10"/>
        <v>350000</v>
      </c>
      <c r="F28" s="3">
        <f t="shared" si="10"/>
        <v>100000</v>
      </c>
      <c r="H28" s="25">
        <f t="shared" si="5"/>
        <v>0.53090973930419638</v>
      </c>
      <c r="J28" s="3">
        <f t="shared" si="6"/>
        <v>116800.14264692321</v>
      </c>
      <c r="K28" s="3">
        <f t="shared" si="1"/>
        <v>106181.94786083928</v>
      </c>
      <c r="L28" s="3">
        <f t="shared" si="2"/>
        <v>185818.40875646874</v>
      </c>
      <c r="M28" s="3">
        <f t="shared" si="3"/>
        <v>53090.973930419641</v>
      </c>
    </row>
    <row r="29" spans="2:13" x14ac:dyDescent="0.35">
      <c r="J29" s="19">
        <f>SUM(J23:J28)</f>
        <v>-35556.612199431038</v>
      </c>
      <c r="K29" s="19">
        <f t="shared" ref="K29:M29" si="11">SUM(K23:K28)</f>
        <v>-187300.31259328188</v>
      </c>
      <c r="L29" s="19">
        <f t="shared" si="11"/>
        <v>-261879.19730894588</v>
      </c>
      <c r="M29" s="19">
        <f t="shared" si="11"/>
        <v>-162017.97862009495</v>
      </c>
    </row>
    <row r="30" spans="2:13" x14ac:dyDescent="0.35">
      <c r="B30" s="1" t="s">
        <v>304</v>
      </c>
    </row>
    <row r="34" spans="2:6" x14ac:dyDescent="0.35">
      <c r="B34" s="26" t="s">
        <v>250</v>
      </c>
    </row>
    <row r="36" spans="2:6" x14ac:dyDescent="0.35">
      <c r="B36" s="14" t="s">
        <v>251</v>
      </c>
      <c r="C36" s="27">
        <f>H21</f>
        <v>0.13500000000000001</v>
      </c>
      <c r="D36" s="27">
        <f>C36+0.5%</f>
        <v>0.14000000000000001</v>
      </c>
      <c r="E36" s="27">
        <f>C36-0.5%</f>
        <v>0.13</v>
      </c>
    </row>
    <row r="37" spans="2:6" x14ac:dyDescent="0.35">
      <c r="B37" s="14">
        <v>0</v>
      </c>
      <c r="C37" s="88">
        <f>1/(POWER((1+C$36),$B37))</f>
        <v>1</v>
      </c>
      <c r="D37" s="88">
        <f t="shared" ref="D37:E42" si="12">1/(POWER((1+D$36),$B37))</f>
        <v>1</v>
      </c>
      <c r="E37" s="88">
        <f t="shared" si="12"/>
        <v>1</v>
      </c>
    </row>
    <row r="38" spans="2:6" x14ac:dyDescent="0.35">
      <c r="B38" s="14">
        <v>1</v>
      </c>
      <c r="C38" s="88">
        <f t="shared" ref="C38:C42" si="13">1/(POWER((1+C$36),$B38))</f>
        <v>0.88105726872246692</v>
      </c>
      <c r="D38" s="88">
        <f t="shared" si="12"/>
        <v>0.8771929824561403</v>
      </c>
      <c r="E38" s="88">
        <f t="shared" si="12"/>
        <v>0.88495575221238942</v>
      </c>
    </row>
    <row r="39" spans="2:6" x14ac:dyDescent="0.35">
      <c r="B39" s="14">
        <v>2</v>
      </c>
      <c r="C39" s="88">
        <f t="shared" si="13"/>
        <v>0.77626191076869333</v>
      </c>
      <c r="D39" s="88">
        <f t="shared" si="12"/>
        <v>0.76946752847029842</v>
      </c>
      <c r="E39" s="88">
        <f t="shared" si="12"/>
        <v>0.78314668337379612</v>
      </c>
    </row>
    <row r="40" spans="2:6" x14ac:dyDescent="0.35">
      <c r="B40" s="14">
        <v>3</v>
      </c>
      <c r="C40" s="88">
        <f t="shared" si="13"/>
        <v>0.68393119891514842</v>
      </c>
      <c r="D40" s="88">
        <f t="shared" si="12"/>
        <v>0.67497151620201612</v>
      </c>
      <c r="E40" s="88">
        <f t="shared" si="12"/>
        <v>0.69305016227769578</v>
      </c>
    </row>
    <row r="41" spans="2:6" x14ac:dyDescent="0.35">
      <c r="B41" s="14">
        <v>4</v>
      </c>
      <c r="C41" s="88">
        <f t="shared" si="13"/>
        <v>0.60258255411026285</v>
      </c>
      <c r="D41" s="88">
        <f t="shared" si="12"/>
        <v>0.59208027737018942</v>
      </c>
      <c r="E41" s="88">
        <f t="shared" si="12"/>
        <v>0.61331872767937679</v>
      </c>
    </row>
    <row r="42" spans="2:6" x14ac:dyDescent="0.35">
      <c r="B42" s="14">
        <v>5</v>
      </c>
      <c r="C42" s="88">
        <f t="shared" si="13"/>
        <v>0.53090973930419638</v>
      </c>
      <c r="D42" s="88">
        <f t="shared" si="12"/>
        <v>0.51936866435981521</v>
      </c>
      <c r="E42" s="88">
        <f t="shared" si="12"/>
        <v>0.54275993599944861</v>
      </c>
    </row>
    <row r="45" spans="2:6" x14ac:dyDescent="0.35">
      <c r="B45" s="1" t="s">
        <v>305</v>
      </c>
    </row>
    <row r="47" spans="2:6" x14ac:dyDescent="0.35">
      <c r="B47" s="21" t="s">
        <v>240</v>
      </c>
      <c r="C47" s="21" t="s">
        <v>204</v>
      </c>
      <c r="D47" s="21" t="s">
        <v>205</v>
      </c>
      <c r="E47" s="21" t="s">
        <v>206</v>
      </c>
      <c r="F47" s="21" t="s">
        <v>207</v>
      </c>
    </row>
    <row r="48" spans="2:6" x14ac:dyDescent="0.35">
      <c r="B48" s="14">
        <v>0</v>
      </c>
      <c r="C48" s="3">
        <f>C23*$D37</f>
        <v>-800000</v>
      </c>
      <c r="D48" s="3">
        <f t="shared" ref="D48:F48" si="14">D23*$D37</f>
        <v>-820000</v>
      </c>
      <c r="E48" s="3">
        <f t="shared" si="14"/>
        <v>-950000</v>
      </c>
      <c r="F48" s="3">
        <f t="shared" si="14"/>
        <v>-750000</v>
      </c>
    </row>
    <row r="49" spans="2:6" x14ac:dyDescent="0.35">
      <c r="B49" s="14">
        <v>1</v>
      </c>
      <c r="C49" s="3">
        <f t="shared" ref="C49:F53" si="15">C24*$D38</f>
        <v>192982.45614035087</v>
      </c>
      <c r="D49" s="3">
        <f t="shared" si="15"/>
        <v>96491.228070175435</v>
      </c>
      <c r="E49" s="3">
        <f t="shared" si="15"/>
        <v>122807.01754385965</v>
      </c>
      <c r="F49" s="3">
        <f t="shared" si="15"/>
        <v>219298.24561403508</v>
      </c>
    </row>
    <row r="50" spans="2:6" x14ac:dyDescent="0.35">
      <c r="B50" s="14">
        <v>2</v>
      </c>
      <c r="C50" s="3">
        <f t="shared" si="15"/>
        <v>169282.85626346566</v>
      </c>
      <c r="D50" s="3">
        <f t="shared" si="15"/>
        <v>115420.12927054477</v>
      </c>
      <c r="E50" s="3">
        <f t="shared" si="15"/>
        <v>115420.12927054477</v>
      </c>
      <c r="F50" s="3">
        <f t="shared" si="15"/>
        <v>138504.15512465371</v>
      </c>
    </row>
    <row r="51" spans="2:6" x14ac:dyDescent="0.35">
      <c r="B51" s="14">
        <v>3</v>
      </c>
      <c r="C51" s="3">
        <f t="shared" si="15"/>
        <v>148493.73356444354</v>
      </c>
      <c r="D51" s="3">
        <f t="shared" si="15"/>
        <v>148493.73356444354</v>
      </c>
      <c r="E51" s="3">
        <f t="shared" si="15"/>
        <v>128244.58807838307</v>
      </c>
      <c r="F51" s="3">
        <f t="shared" si="15"/>
        <v>101245.72743030242</v>
      </c>
    </row>
    <row r="52" spans="2:6" x14ac:dyDescent="0.35">
      <c r="B52" s="14">
        <v>4</v>
      </c>
      <c r="C52" s="3">
        <f t="shared" si="15"/>
        <v>130257.66102144167</v>
      </c>
      <c r="D52" s="3">
        <f t="shared" si="15"/>
        <v>159861.67488995116</v>
      </c>
      <c r="E52" s="3">
        <f t="shared" si="15"/>
        <v>130257.66102144167</v>
      </c>
      <c r="F52" s="3">
        <f t="shared" si="15"/>
        <v>71049.633284422729</v>
      </c>
    </row>
    <row r="53" spans="2:6" x14ac:dyDescent="0.35">
      <c r="B53" s="14">
        <v>5</v>
      </c>
      <c r="C53" s="3">
        <f t="shared" si="15"/>
        <v>114261.10615915935</v>
      </c>
      <c r="D53" s="3">
        <f t="shared" si="15"/>
        <v>103873.73287196305</v>
      </c>
      <c r="E53" s="3">
        <f t="shared" si="15"/>
        <v>181779.03252593533</v>
      </c>
      <c r="F53" s="3">
        <f t="shared" si="15"/>
        <v>51936.866435981523</v>
      </c>
    </row>
    <row r="54" spans="2:6" x14ac:dyDescent="0.35">
      <c r="B54" s="14"/>
      <c r="C54" s="19">
        <f>SUM(C48:C53)</f>
        <v>-44722.186851138875</v>
      </c>
      <c r="D54" s="19">
        <f t="shared" ref="D54:F54" si="16">SUM(D48:D53)</f>
        <v>-195859.50133292214</v>
      </c>
      <c r="E54" s="19">
        <f t="shared" si="16"/>
        <v>-271491.57155983557</v>
      </c>
      <c r="F54" s="19">
        <f t="shared" si="16"/>
        <v>-167965.37211060454</v>
      </c>
    </row>
    <row r="57" spans="2:6" x14ac:dyDescent="0.35">
      <c r="B57" s="1" t="s">
        <v>306</v>
      </c>
    </row>
    <row r="58" spans="2:6" x14ac:dyDescent="0.35">
      <c r="B58" s="21" t="s">
        <v>240</v>
      </c>
      <c r="C58" s="21" t="s">
        <v>204</v>
      </c>
      <c r="D58" s="21" t="s">
        <v>205</v>
      </c>
      <c r="E58" s="21" t="s">
        <v>206</v>
      </c>
      <c r="F58" s="21" t="s">
        <v>207</v>
      </c>
    </row>
    <row r="59" spans="2:6" x14ac:dyDescent="0.35">
      <c r="B59" s="14">
        <v>0</v>
      </c>
      <c r="C59" s="3">
        <f>C23*$E37</f>
        <v>-800000</v>
      </c>
      <c r="D59" s="3">
        <f t="shared" ref="D59:F59" si="17">D23*$E37</f>
        <v>-820000</v>
      </c>
      <c r="E59" s="3">
        <f t="shared" si="17"/>
        <v>-950000</v>
      </c>
      <c r="F59" s="3">
        <f t="shared" si="17"/>
        <v>-750000</v>
      </c>
    </row>
    <row r="60" spans="2:6" x14ac:dyDescent="0.35">
      <c r="B60" s="14">
        <v>1</v>
      </c>
      <c r="C60" s="3">
        <f t="shared" ref="C60:F60" si="18">C24*$E38</f>
        <v>194690.26548672566</v>
      </c>
      <c r="D60" s="3">
        <f t="shared" si="18"/>
        <v>97345.132743362832</v>
      </c>
      <c r="E60" s="3">
        <f t="shared" si="18"/>
        <v>123893.80530973453</v>
      </c>
      <c r="F60" s="3">
        <f t="shared" si="18"/>
        <v>221238.93805309734</v>
      </c>
    </row>
    <row r="61" spans="2:6" x14ac:dyDescent="0.35">
      <c r="B61" s="14">
        <v>2</v>
      </c>
      <c r="C61" s="3">
        <f t="shared" ref="C61:F61" si="19">C25*$E39</f>
        <v>172292.27034223513</v>
      </c>
      <c r="D61" s="3">
        <f t="shared" si="19"/>
        <v>117472.00250606942</v>
      </c>
      <c r="E61" s="3">
        <f t="shared" si="19"/>
        <v>117472.00250606942</v>
      </c>
      <c r="F61" s="3">
        <f t="shared" si="19"/>
        <v>140966.40300728331</v>
      </c>
    </row>
    <row r="62" spans="2:6" x14ac:dyDescent="0.35">
      <c r="B62" s="14">
        <v>3</v>
      </c>
      <c r="C62" s="3">
        <f t="shared" ref="C62:F62" si="20">C26*$E40</f>
        <v>152471.03570109306</v>
      </c>
      <c r="D62" s="3">
        <f t="shared" si="20"/>
        <v>152471.03570109306</v>
      </c>
      <c r="E62" s="3">
        <f t="shared" si="20"/>
        <v>131679.53083276219</v>
      </c>
      <c r="F62" s="3">
        <f t="shared" si="20"/>
        <v>103957.52434165437</v>
      </c>
    </row>
    <row r="63" spans="2:6" x14ac:dyDescent="0.35">
      <c r="B63" s="14">
        <v>4</v>
      </c>
      <c r="C63" s="3">
        <f t="shared" ref="C63:F63" si="21">C27*$E41</f>
        <v>134930.1200894629</v>
      </c>
      <c r="D63" s="3">
        <f t="shared" si="21"/>
        <v>165596.05647343173</v>
      </c>
      <c r="E63" s="3">
        <f t="shared" si="21"/>
        <v>134930.1200894629</v>
      </c>
      <c r="F63" s="3">
        <f t="shared" si="21"/>
        <v>73598.24732152521</v>
      </c>
    </row>
    <row r="64" spans="2:6" x14ac:dyDescent="0.35">
      <c r="B64" s="14">
        <v>5</v>
      </c>
      <c r="C64" s="3">
        <f t="shared" ref="C64:F64" si="22">C28*$E42</f>
        <v>119407.1859198787</v>
      </c>
      <c r="D64" s="3">
        <f t="shared" si="22"/>
        <v>108551.98719988971</v>
      </c>
      <c r="E64" s="3">
        <f t="shared" si="22"/>
        <v>189965.97759980703</v>
      </c>
      <c r="F64" s="3">
        <f t="shared" si="22"/>
        <v>54275.993599944857</v>
      </c>
    </row>
    <row r="65" spans="2:6" x14ac:dyDescent="0.35">
      <c r="B65" s="14"/>
      <c r="C65" s="19">
        <f>SUM(C59:C64)</f>
        <v>-26209.12246060466</v>
      </c>
      <c r="D65" s="19">
        <f t="shared" ref="D65:F65" si="23">SUM(D59:D64)</f>
        <v>-178563.7853761533</v>
      </c>
      <c r="E65" s="19">
        <f t="shared" si="23"/>
        <v>-252058.56366216403</v>
      </c>
      <c r="F65" s="19">
        <f t="shared" si="23"/>
        <v>-155962.89367649486</v>
      </c>
    </row>
  </sheetData>
  <mergeCells count="1">
    <mergeCell ref="B7:F8"/>
  </mergeCells>
  <hyperlinks>
    <hyperlink ref="H22" r:id="rId1" xr:uid="{6D1C53B0-8505-48F5-B12E-413D8266851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615F8-9B07-467F-863B-373ED25B99D7}">
  <sheetPr>
    <tabColor rgb="FF92D050"/>
  </sheetPr>
  <dimension ref="B4:J52"/>
  <sheetViews>
    <sheetView showGridLines="0" zoomScale="80" zoomScaleNormal="80" workbookViewId="0">
      <selection activeCell="C23" sqref="C23:G23"/>
    </sheetView>
  </sheetViews>
  <sheetFormatPr defaultRowHeight="11.5" x14ac:dyDescent="0.35"/>
  <cols>
    <col min="1" max="2" width="8.7265625" style="1"/>
    <col min="3" max="3" width="31" style="1" customWidth="1"/>
    <col min="4" max="5" width="13.90625" style="1" bestFit="1" customWidth="1"/>
    <col min="6" max="6" width="18.6328125" style="1" bestFit="1" customWidth="1"/>
    <col min="7" max="8" width="13.90625" style="1" bestFit="1" customWidth="1"/>
    <col min="9" max="16384" width="8.7265625" style="1"/>
  </cols>
  <sheetData>
    <row r="4" spans="2:10" x14ac:dyDescent="0.35">
      <c r="B4" s="64" t="s">
        <v>354</v>
      </c>
    </row>
    <row r="5" spans="2:10" ht="38" customHeight="1" x14ac:dyDescent="0.35">
      <c r="B5" s="64"/>
      <c r="C5" s="147" t="s">
        <v>348</v>
      </c>
      <c r="D5" s="147"/>
      <c r="E5" s="147"/>
      <c r="F5" s="147"/>
      <c r="G5" s="147"/>
      <c r="H5" s="147"/>
      <c r="J5" s="1" t="s">
        <v>356</v>
      </c>
    </row>
    <row r="7" spans="2:10" x14ac:dyDescent="0.35">
      <c r="C7" s="26" t="s">
        <v>347</v>
      </c>
    </row>
    <row r="8" spans="2:10" x14ac:dyDescent="0.35">
      <c r="C8" s="124" t="s">
        <v>4</v>
      </c>
      <c r="D8" s="125" t="s">
        <v>66</v>
      </c>
      <c r="E8" s="125" t="s">
        <v>67</v>
      </c>
      <c r="F8" s="125" t="s">
        <v>68</v>
      </c>
      <c r="G8" s="125" t="s">
        <v>69</v>
      </c>
      <c r="H8" s="125" t="s">
        <v>70</v>
      </c>
    </row>
    <row r="9" spans="2:10" x14ac:dyDescent="0.35">
      <c r="C9" s="14" t="s">
        <v>2</v>
      </c>
      <c r="D9" s="3">
        <v>26208000</v>
      </c>
      <c r="E9" s="3">
        <v>32139000</v>
      </c>
      <c r="F9" s="3">
        <v>39420000</v>
      </c>
      <c r="G9" s="3">
        <v>48600000</v>
      </c>
      <c r="H9" s="3">
        <v>60768000</v>
      </c>
    </row>
    <row r="10" spans="2:10" x14ac:dyDescent="0.35">
      <c r="C10" s="14" t="s">
        <v>1</v>
      </c>
      <c r="D10" s="3">
        <v>1440000</v>
      </c>
      <c r="E10" s="65">
        <v>1170000</v>
      </c>
      <c r="F10" s="65">
        <v>756000</v>
      </c>
      <c r="G10" s="65">
        <v>1512000</v>
      </c>
      <c r="H10" s="65">
        <v>1620000</v>
      </c>
    </row>
    <row r="11" spans="2:10" x14ac:dyDescent="0.35">
      <c r="C11" s="18" t="s">
        <v>6</v>
      </c>
      <c r="D11" s="19">
        <f>SUM(D9:D10)</f>
        <v>27648000</v>
      </c>
      <c r="E11" s="19">
        <f t="shared" ref="E11:H11" si="0">SUM(E9:E10)</f>
        <v>33309000</v>
      </c>
      <c r="F11" s="19">
        <f t="shared" si="0"/>
        <v>40176000</v>
      </c>
      <c r="G11" s="19">
        <f t="shared" si="0"/>
        <v>50112000</v>
      </c>
      <c r="H11" s="19">
        <f t="shared" si="0"/>
        <v>62388000</v>
      </c>
    </row>
    <row r="12" spans="2:10" x14ac:dyDescent="0.35">
      <c r="C12" s="14" t="s">
        <v>7</v>
      </c>
      <c r="D12" s="3">
        <f>D9*82%</f>
        <v>21490560</v>
      </c>
      <c r="E12" s="3">
        <f t="shared" ref="E12:H12" si="1">E9*82%</f>
        <v>26353980</v>
      </c>
      <c r="F12" s="3">
        <f t="shared" si="1"/>
        <v>32324399.999999996</v>
      </c>
      <c r="G12" s="3">
        <f t="shared" si="1"/>
        <v>39852000</v>
      </c>
      <c r="H12" s="3">
        <f t="shared" si="1"/>
        <v>49829760</v>
      </c>
    </row>
    <row r="13" spans="2:10" x14ac:dyDescent="0.35">
      <c r="C13" s="18" t="s">
        <v>10</v>
      </c>
      <c r="D13" s="19">
        <f>D11-D12</f>
        <v>6157440</v>
      </c>
      <c r="E13" s="19">
        <f t="shared" ref="E13:H13" si="2">E11-E12</f>
        <v>6955020</v>
      </c>
      <c r="F13" s="19">
        <f t="shared" si="2"/>
        <v>7851600.0000000037</v>
      </c>
      <c r="G13" s="19">
        <f t="shared" si="2"/>
        <v>10260000</v>
      </c>
      <c r="H13" s="19">
        <f t="shared" si="2"/>
        <v>12558240</v>
      </c>
    </row>
    <row r="14" spans="2:10" x14ac:dyDescent="0.35">
      <c r="C14" s="14" t="s">
        <v>11</v>
      </c>
      <c r="D14" s="3">
        <v>700000</v>
      </c>
      <c r="E14" s="3">
        <v>660000</v>
      </c>
      <c r="F14" s="3">
        <v>620000</v>
      </c>
      <c r="G14" s="3">
        <v>540000</v>
      </c>
      <c r="H14" s="3">
        <v>500000</v>
      </c>
    </row>
    <row r="15" spans="2:10" x14ac:dyDescent="0.35">
      <c r="C15" s="14" t="s">
        <v>379</v>
      </c>
      <c r="D15" s="3">
        <v>500000</v>
      </c>
      <c r="E15" s="3">
        <v>500000</v>
      </c>
      <c r="F15" s="3">
        <v>500000</v>
      </c>
      <c r="G15" s="3">
        <v>200000</v>
      </c>
      <c r="H15" s="3">
        <v>200000</v>
      </c>
    </row>
    <row r="16" spans="2:10" x14ac:dyDescent="0.35">
      <c r="C16" s="18" t="s">
        <v>13</v>
      </c>
      <c r="D16" s="19">
        <f>D13-D14-D15</f>
        <v>4957440</v>
      </c>
      <c r="E16" s="19">
        <f t="shared" ref="E16:H16" si="3">E13-E14-E15</f>
        <v>5795020</v>
      </c>
      <c r="F16" s="19">
        <f t="shared" si="3"/>
        <v>6731600.0000000037</v>
      </c>
      <c r="G16" s="19">
        <f t="shared" si="3"/>
        <v>9520000</v>
      </c>
      <c r="H16" s="19">
        <f t="shared" si="3"/>
        <v>11858240</v>
      </c>
    </row>
    <row r="17" spans="3:10" x14ac:dyDescent="0.35">
      <c r="C17" s="14" t="s">
        <v>431</v>
      </c>
      <c r="D17" s="3">
        <f>D16*25%</f>
        <v>1239360</v>
      </c>
      <c r="E17" s="3">
        <f t="shared" ref="E17:H17" si="4">E16*25%</f>
        <v>1448755</v>
      </c>
      <c r="F17" s="3">
        <f t="shared" si="4"/>
        <v>1682900.0000000009</v>
      </c>
      <c r="G17" s="3">
        <f t="shared" si="4"/>
        <v>2380000</v>
      </c>
      <c r="H17" s="3">
        <f t="shared" si="4"/>
        <v>2964560</v>
      </c>
    </row>
    <row r="18" spans="3:10" x14ac:dyDescent="0.35">
      <c r="C18" s="18" t="s">
        <v>15</v>
      </c>
      <c r="D18" s="19">
        <f>D16-D17</f>
        <v>3718080</v>
      </c>
      <c r="E18" s="19">
        <f t="shared" ref="E18:H18" si="5">E16-E17</f>
        <v>4346265</v>
      </c>
      <c r="F18" s="19">
        <f t="shared" si="5"/>
        <v>5048700.0000000028</v>
      </c>
      <c r="G18" s="19">
        <f t="shared" si="5"/>
        <v>7140000</v>
      </c>
      <c r="H18" s="19">
        <f t="shared" si="5"/>
        <v>8893680</v>
      </c>
    </row>
    <row r="19" spans="3:10" x14ac:dyDescent="0.35">
      <c r="C19" s="14" t="s">
        <v>16</v>
      </c>
      <c r="D19" s="3">
        <v>250000</v>
      </c>
      <c r="E19" s="3">
        <f>D19*1.1</f>
        <v>275000</v>
      </c>
      <c r="F19" s="3">
        <f t="shared" ref="F19:H19" si="6">E19*1.1</f>
        <v>302500</v>
      </c>
      <c r="G19" s="3">
        <f t="shared" si="6"/>
        <v>332750</v>
      </c>
      <c r="H19" s="3">
        <f t="shared" si="6"/>
        <v>366025.00000000006</v>
      </c>
    </row>
    <row r="20" spans="3:10" x14ac:dyDescent="0.35">
      <c r="C20" s="18" t="s">
        <v>17</v>
      </c>
      <c r="D20" s="19">
        <f>D18-D19</f>
        <v>3468080</v>
      </c>
      <c r="E20" s="19">
        <f t="shared" ref="E20:H20" si="7">E18-E19</f>
        <v>4071265</v>
      </c>
      <c r="F20" s="19">
        <f t="shared" si="7"/>
        <v>4746200.0000000028</v>
      </c>
      <c r="G20" s="19">
        <f t="shared" si="7"/>
        <v>6807250</v>
      </c>
      <c r="H20" s="19">
        <f t="shared" si="7"/>
        <v>8527655</v>
      </c>
    </row>
    <row r="23" spans="3:10" ht="32.5" customHeight="1" x14ac:dyDescent="0.35">
      <c r="C23" s="147" t="s">
        <v>350</v>
      </c>
      <c r="D23" s="147"/>
      <c r="E23" s="147"/>
      <c r="F23" s="147"/>
      <c r="G23" s="147"/>
      <c r="J23" s="1" t="s">
        <v>357</v>
      </c>
    </row>
    <row r="27" spans="3:10" x14ac:dyDescent="0.35">
      <c r="C27" s="13" t="s">
        <v>228</v>
      </c>
    </row>
    <row r="29" spans="3:10" x14ac:dyDescent="0.35">
      <c r="C29" s="1" t="s">
        <v>351</v>
      </c>
    </row>
    <row r="30" spans="3:10" x14ac:dyDescent="0.35">
      <c r="C30" s="69" t="s">
        <v>4</v>
      </c>
      <c r="D30" s="70" t="s">
        <v>66</v>
      </c>
      <c r="E30" s="70" t="s">
        <v>67</v>
      </c>
      <c r="F30" s="70" t="s">
        <v>68</v>
      </c>
      <c r="G30" s="70" t="s">
        <v>69</v>
      </c>
      <c r="H30" s="70" t="s">
        <v>70</v>
      </c>
    </row>
    <row r="31" spans="3:10" x14ac:dyDescent="0.35">
      <c r="C31" s="14" t="s">
        <v>261</v>
      </c>
      <c r="D31" s="23">
        <f>D16</f>
        <v>4957440</v>
      </c>
      <c r="E31" s="23">
        <f t="shared" ref="E31:H31" si="8">E16</f>
        <v>5795020</v>
      </c>
      <c r="F31" s="23">
        <f t="shared" si="8"/>
        <v>6731600.0000000037</v>
      </c>
      <c r="G31" s="23">
        <f t="shared" si="8"/>
        <v>9520000</v>
      </c>
      <c r="H31" s="23">
        <f t="shared" si="8"/>
        <v>11858240</v>
      </c>
    </row>
    <row r="32" spans="3:10" x14ac:dyDescent="0.35">
      <c r="C32" s="14" t="s">
        <v>262</v>
      </c>
      <c r="D32" s="23">
        <f>D14</f>
        <v>700000</v>
      </c>
      <c r="E32" s="23">
        <f t="shared" ref="E32:H32" si="9">E14</f>
        <v>660000</v>
      </c>
      <c r="F32" s="23">
        <f t="shared" si="9"/>
        <v>620000</v>
      </c>
      <c r="G32" s="23">
        <f t="shared" si="9"/>
        <v>540000</v>
      </c>
      <c r="H32" s="23">
        <f t="shared" si="9"/>
        <v>500000</v>
      </c>
    </row>
    <row r="33" spans="3:8" x14ac:dyDescent="0.35">
      <c r="C33" s="14" t="s">
        <v>263</v>
      </c>
      <c r="D33" s="23">
        <f>D15*75%</f>
        <v>375000</v>
      </c>
      <c r="E33" s="23">
        <f t="shared" ref="E33:H33" si="10">E15*75%</f>
        <v>375000</v>
      </c>
      <c r="F33" s="23">
        <f t="shared" si="10"/>
        <v>375000</v>
      </c>
      <c r="G33" s="23">
        <f t="shared" si="10"/>
        <v>150000</v>
      </c>
      <c r="H33" s="23">
        <f t="shared" si="10"/>
        <v>150000</v>
      </c>
    </row>
    <row r="34" spans="3:8" x14ac:dyDescent="0.35">
      <c r="C34" s="18" t="s">
        <v>264</v>
      </c>
      <c r="D34" s="76">
        <f>D31+D32+D33</f>
        <v>6032440</v>
      </c>
      <c r="E34" s="76">
        <f t="shared" ref="E34:H34" si="11">E31+E32+E33</f>
        <v>6830020</v>
      </c>
      <c r="F34" s="76">
        <f t="shared" si="11"/>
        <v>7726600.0000000037</v>
      </c>
      <c r="G34" s="76">
        <f t="shared" si="11"/>
        <v>10210000</v>
      </c>
      <c r="H34" s="76">
        <f t="shared" si="11"/>
        <v>12508240</v>
      </c>
    </row>
    <row r="38" spans="3:8" x14ac:dyDescent="0.35">
      <c r="C38" s="13" t="s">
        <v>352</v>
      </c>
    </row>
    <row r="40" spans="3:8" x14ac:dyDescent="0.35">
      <c r="C40" s="1" t="s">
        <v>257</v>
      </c>
      <c r="D40" s="1" t="s">
        <v>353</v>
      </c>
      <c r="E40" s="1" t="s">
        <v>260</v>
      </c>
      <c r="F40" s="1" t="s">
        <v>256</v>
      </c>
    </row>
    <row r="41" spans="3:8" x14ac:dyDescent="0.35">
      <c r="C41" s="1" t="s">
        <v>259</v>
      </c>
      <c r="D41" s="22">
        <f>0.333333333333333</f>
        <v>0.33333333333333298</v>
      </c>
      <c r="E41" s="80">
        <f>10%*(1-20%)</f>
        <v>8.0000000000000016E-2</v>
      </c>
      <c r="F41" s="22">
        <f>D41*E41</f>
        <v>2.6666666666666644E-2</v>
      </c>
    </row>
    <row r="42" spans="3:8" x14ac:dyDescent="0.35">
      <c r="C42" s="1" t="s">
        <v>258</v>
      </c>
      <c r="D42" s="80">
        <f>1-D41</f>
        <v>0.66666666666666696</v>
      </c>
      <c r="E42" s="80">
        <f>D52</f>
        <v>0.13124999999999998</v>
      </c>
      <c r="F42" s="22">
        <f>D42*E42</f>
        <v>8.7500000000000022E-2</v>
      </c>
    </row>
    <row r="43" spans="3:8" x14ac:dyDescent="0.35">
      <c r="D43" s="80">
        <f>SUM(D41:D42)</f>
        <v>1</v>
      </c>
      <c r="E43" s="80">
        <f t="shared" ref="E43:F43" si="12">SUM(E41:E42)</f>
        <v>0.21124999999999999</v>
      </c>
      <c r="F43" s="83">
        <f t="shared" si="12"/>
        <v>0.11416666666666667</v>
      </c>
    </row>
    <row r="47" spans="3:8" x14ac:dyDescent="0.35">
      <c r="C47" s="1" t="s">
        <v>252</v>
      </c>
    </row>
    <row r="49" spans="3:4" x14ac:dyDescent="0.35">
      <c r="C49" s="1" t="s">
        <v>253</v>
      </c>
      <c r="D49" s="80">
        <v>7.4999999999999997E-2</v>
      </c>
    </row>
    <row r="50" spans="3:4" x14ac:dyDescent="0.35">
      <c r="C50" s="1" t="s">
        <v>255</v>
      </c>
      <c r="D50" s="68">
        <v>0.15</v>
      </c>
    </row>
    <row r="51" spans="3:4" x14ac:dyDescent="0.35">
      <c r="C51" s="1" t="s">
        <v>254</v>
      </c>
      <c r="D51" s="1">
        <v>0.75</v>
      </c>
    </row>
    <row r="52" spans="3:4" x14ac:dyDescent="0.35">
      <c r="C52" s="1" t="s">
        <v>252</v>
      </c>
      <c r="D52" s="80">
        <f>D49+((D50-D49)*D51)</f>
        <v>0.13124999999999998</v>
      </c>
    </row>
  </sheetData>
  <mergeCells count="2">
    <mergeCell ref="C5:H5"/>
    <mergeCell ref="C23:G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2E2E3-48D2-459B-8064-D4BCFF41BC90}">
  <sheetPr>
    <tabColor rgb="FF92D050"/>
  </sheetPr>
  <dimension ref="B3:J35"/>
  <sheetViews>
    <sheetView showGridLines="0" zoomScale="80" zoomScaleNormal="80" workbookViewId="0">
      <selection activeCell="C13" sqref="C13:H13"/>
    </sheetView>
  </sheetViews>
  <sheetFormatPr defaultRowHeight="11.5" x14ac:dyDescent="0.35"/>
  <cols>
    <col min="1" max="16384" width="8.7265625" style="1"/>
  </cols>
  <sheetData>
    <row r="3" spans="2:10" x14ac:dyDescent="0.35">
      <c r="B3" s="1" t="s">
        <v>346</v>
      </c>
    </row>
    <row r="4" spans="2:10" x14ac:dyDescent="0.35">
      <c r="B4" s="64" t="s">
        <v>363</v>
      </c>
      <c r="C4" s="1" t="s">
        <v>358</v>
      </c>
    </row>
    <row r="6" spans="2:10" ht="19.5" customHeight="1" x14ac:dyDescent="0.35">
      <c r="C6" s="147" t="s">
        <v>429</v>
      </c>
      <c r="D6" s="147"/>
      <c r="E6" s="147"/>
      <c r="F6" s="147"/>
      <c r="G6" s="147"/>
      <c r="H6" s="147"/>
      <c r="J6" s="1" t="s">
        <v>357</v>
      </c>
    </row>
    <row r="7" spans="2:10" x14ac:dyDescent="0.35">
      <c r="C7" s="147"/>
      <c r="D7" s="147"/>
      <c r="E7" s="147"/>
      <c r="F7" s="147"/>
      <c r="G7" s="147"/>
      <c r="H7" s="147"/>
    </row>
    <row r="8" spans="2:10" ht="16.5" customHeight="1" x14ac:dyDescent="0.35">
      <c r="C8" s="147"/>
      <c r="D8" s="147"/>
      <c r="E8" s="147"/>
      <c r="F8" s="147"/>
      <c r="G8" s="147"/>
      <c r="H8" s="147"/>
    </row>
    <row r="10" spans="2:10" ht="26" customHeight="1" x14ac:dyDescent="0.35">
      <c r="B10" s="64" t="s">
        <v>349</v>
      </c>
      <c r="C10" s="147" t="s">
        <v>366</v>
      </c>
      <c r="D10" s="147"/>
      <c r="E10" s="147"/>
      <c r="F10" s="147"/>
      <c r="G10" s="147"/>
      <c r="H10" s="147"/>
      <c r="J10" s="1" t="s">
        <v>357</v>
      </c>
    </row>
    <row r="13" spans="2:10" ht="25.5" customHeight="1" x14ac:dyDescent="0.35">
      <c r="B13" s="64" t="s">
        <v>365</v>
      </c>
      <c r="C13" s="147" t="s">
        <v>430</v>
      </c>
      <c r="D13" s="147"/>
      <c r="E13" s="147"/>
      <c r="F13" s="147"/>
      <c r="G13" s="147"/>
      <c r="H13" s="147"/>
      <c r="J13" s="1" t="s">
        <v>367</v>
      </c>
    </row>
    <row r="15" spans="2:10" x14ac:dyDescent="0.35">
      <c r="B15" s="64"/>
    </row>
    <row r="17" spans="2:8" x14ac:dyDescent="0.35">
      <c r="B17" s="13" t="s">
        <v>228</v>
      </c>
    </row>
    <row r="19" spans="2:8" x14ac:dyDescent="0.35">
      <c r="B19" s="1" t="s">
        <v>363</v>
      </c>
      <c r="C19" s="1" t="s">
        <v>359</v>
      </c>
      <c r="D19" s="1">
        <v>35</v>
      </c>
      <c r="F19" s="1" t="s">
        <v>349</v>
      </c>
      <c r="G19" s="1" t="s">
        <v>359</v>
      </c>
      <c r="H19" s="1">
        <f>D19</f>
        <v>35</v>
      </c>
    </row>
    <row r="20" spans="2:8" x14ac:dyDescent="0.35">
      <c r="C20" s="1" t="s">
        <v>253</v>
      </c>
      <c r="D20" s="68">
        <v>7.4999999999999997E-2</v>
      </c>
      <c r="G20" s="1" t="s">
        <v>253</v>
      </c>
      <c r="H20" s="1">
        <f>D20</f>
        <v>7.4999999999999997E-2</v>
      </c>
    </row>
    <row r="21" spans="2:8" x14ac:dyDescent="0.35">
      <c r="C21" s="1" t="s">
        <v>255</v>
      </c>
      <c r="D21" s="68">
        <v>0.18</v>
      </c>
      <c r="G21" s="1" t="s">
        <v>255</v>
      </c>
      <c r="H21" s="77">
        <f>D21</f>
        <v>0.18</v>
      </c>
    </row>
    <row r="22" spans="2:8" x14ac:dyDescent="0.35">
      <c r="C22" s="1" t="s">
        <v>254</v>
      </c>
      <c r="D22" s="1">
        <v>0.65</v>
      </c>
      <c r="G22" s="1" t="s">
        <v>254</v>
      </c>
      <c r="H22" s="78">
        <v>0.8</v>
      </c>
    </row>
    <row r="23" spans="2:8" x14ac:dyDescent="0.35">
      <c r="C23" s="1" t="s">
        <v>360</v>
      </c>
      <c r="D23" s="68">
        <v>0.08</v>
      </c>
      <c r="G23" s="1" t="s">
        <v>360</v>
      </c>
      <c r="H23" s="68">
        <v>7.0000000000000007E-2</v>
      </c>
    </row>
    <row r="24" spans="2:8" x14ac:dyDescent="0.35">
      <c r="C24" s="1" t="s">
        <v>361</v>
      </c>
      <c r="D24" s="82">
        <f>D20+((D21-D20)*D22)</f>
        <v>0.14324999999999999</v>
      </c>
      <c r="G24" s="1" t="s">
        <v>361</v>
      </c>
      <c r="H24" s="82">
        <f>H20+((H21-H20)*H22)</f>
        <v>0.159</v>
      </c>
    </row>
    <row r="26" spans="2:8" x14ac:dyDescent="0.35">
      <c r="C26" s="1" t="s">
        <v>362</v>
      </c>
      <c r="D26" s="84">
        <f>(D19*(1+D23))/(D24-D23)</f>
        <v>597.62845849802386</v>
      </c>
      <c r="G26" s="1" t="s">
        <v>362</v>
      </c>
      <c r="H26" s="84">
        <f>(H19*(1+H23))/(H24-H23)</f>
        <v>420.78651685393265</v>
      </c>
    </row>
    <row r="29" spans="2:8" x14ac:dyDescent="0.35">
      <c r="B29" s="1" t="s">
        <v>365</v>
      </c>
    </row>
    <row r="30" spans="2:8" x14ac:dyDescent="0.35">
      <c r="C30" s="1" t="s">
        <v>359</v>
      </c>
      <c r="D30" s="1">
        <v>50</v>
      </c>
    </row>
    <row r="31" spans="2:8" x14ac:dyDescent="0.35">
      <c r="C31" s="1" t="s">
        <v>360</v>
      </c>
      <c r="D31" s="68">
        <v>0.06</v>
      </c>
    </row>
    <row r="32" spans="2:8" x14ac:dyDescent="0.35">
      <c r="C32" s="1" t="s">
        <v>361</v>
      </c>
      <c r="D32" s="80">
        <v>0.16</v>
      </c>
    </row>
    <row r="33" spans="3:4" x14ac:dyDescent="0.35">
      <c r="C33" s="1" t="s">
        <v>364</v>
      </c>
      <c r="D33" s="1">
        <f>D35</f>
        <v>530</v>
      </c>
    </row>
    <row r="35" spans="3:4" x14ac:dyDescent="0.35">
      <c r="C35" s="1" t="s">
        <v>364</v>
      </c>
      <c r="D35" s="1">
        <f>(D30*(1+D31))/(D32-D31)</f>
        <v>530</v>
      </c>
    </row>
  </sheetData>
  <mergeCells count="3">
    <mergeCell ref="C6:H8"/>
    <mergeCell ref="C13:H13"/>
    <mergeCell ref="C10:H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66AE1-BB0D-4CFD-9D7E-F5F7457491D1}">
  <sheetPr>
    <tabColor rgb="FF92D050"/>
  </sheetPr>
  <dimension ref="B4:I55"/>
  <sheetViews>
    <sheetView showGridLines="0" zoomScale="80" zoomScaleNormal="80" workbookViewId="0">
      <selection activeCell="K13" sqref="K13"/>
    </sheetView>
  </sheetViews>
  <sheetFormatPr defaultColWidth="8.90625" defaultRowHeight="11.5" x14ac:dyDescent="0.35"/>
  <cols>
    <col min="1" max="2" width="8.90625" style="1"/>
    <col min="3" max="3" width="17.1796875" style="1" bestFit="1" customWidth="1"/>
    <col min="4" max="7" width="11.54296875" style="1" bestFit="1" customWidth="1"/>
    <col min="8" max="8" width="11.6328125" style="1" bestFit="1" customWidth="1"/>
    <col min="9" max="9" width="13.08984375" style="1" bestFit="1" customWidth="1"/>
    <col min="10" max="16384" width="8.90625" style="1"/>
  </cols>
  <sheetData>
    <row r="4" spans="2:3" x14ac:dyDescent="0.35">
      <c r="B4" s="1" t="s">
        <v>406</v>
      </c>
    </row>
    <row r="8" spans="2:3" x14ac:dyDescent="0.35">
      <c r="C8" s="13" t="s">
        <v>192</v>
      </c>
    </row>
    <row r="9" spans="2:3" x14ac:dyDescent="0.35">
      <c r="C9" s="66" t="s">
        <v>407</v>
      </c>
    </row>
    <row r="10" spans="2:3" x14ac:dyDescent="0.35">
      <c r="C10" s="66" t="s">
        <v>408</v>
      </c>
    </row>
    <row r="11" spans="2:3" x14ac:dyDescent="0.35">
      <c r="C11" s="66" t="s">
        <v>409</v>
      </c>
    </row>
    <row r="12" spans="2:3" x14ac:dyDescent="0.35">
      <c r="C12" s="66" t="s">
        <v>410</v>
      </c>
    </row>
    <row r="13" spans="2:3" x14ac:dyDescent="0.35">
      <c r="C13" s="1" t="s">
        <v>411</v>
      </c>
    </row>
    <row r="14" spans="2:3" x14ac:dyDescent="0.35">
      <c r="C14" s="1" t="s">
        <v>412</v>
      </c>
    </row>
    <row r="15" spans="2:3" x14ac:dyDescent="0.35">
      <c r="C15" s="66" t="s">
        <v>189</v>
      </c>
    </row>
    <row r="16" spans="2:3" x14ac:dyDescent="0.35">
      <c r="C16" s="66" t="s">
        <v>326</v>
      </c>
    </row>
    <row r="17" spans="3:3" x14ac:dyDescent="0.35">
      <c r="C17" s="66" t="s">
        <v>413</v>
      </c>
    </row>
    <row r="18" spans="3:3" x14ac:dyDescent="0.35">
      <c r="C18" s="66" t="s">
        <v>414</v>
      </c>
    </row>
    <row r="19" spans="3:3" x14ac:dyDescent="0.35">
      <c r="C19" s="1" t="s">
        <v>415</v>
      </c>
    </row>
    <row r="22" spans="3:3" x14ac:dyDescent="0.35">
      <c r="C22" s="67" t="s">
        <v>184</v>
      </c>
    </row>
    <row r="23" spans="3:3" x14ac:dyDescent="0.35">
      <c r="C23" s="1" t="s">
        <v>416</v>
      </c>
    </row>
    <row r="24" spans="3:3" x14ac:dyDescent="0.35">
      <c r="C24" s="1" t="s">
        <v>417</v>
      </c>
    </row>
    <row r="25" spans="3:3" x14ac:dyDescent="0.35">
      <c r="C25" s="1" t="s">
        <v>322</v>
      </c>
    </row>
    <row r="27" spans="3:3" x14ac:dyDescent="0.35">
      <c r="C27" s="67" t="s">
        <v>186</v>
      </c>
    </row>
    <row r="28" spans="3:3" x14ac:dyDescent="0.35">
      <c r="C28" s="1" t="s">
        <v>418</v>
      </c>
    </row>
    <row r="29" spans="3:3" x14ac:dyDescent="0.35">
      <c r="C29" s="1" t="s">
        <v>419</v>
      </c>
    </row>
    <row r="30" spans="3:3" x14ac:dyDescent="0.35">
      <c r="C30" s="1" t="s">
        <v>187</v>
      </c>
    </row>
    <row r="31" spans="3:3" x14ac:dyDescent="0.35">
      <c r="C31" s="66" t="s">
        <v>323</v>
      </c>
    </row>
    <row r="32" spans="3:3" x14ac:dyDescent="0.35">
      <c r="C32" s="1" t="s">
        <v>188</v>
      </c>
    </row>
    <row r="34" spans="3:9" x14ac:dyDescent="0.35">
      <c r="C34" s="13" t="s">
        <v>185</v>
      </c>
    </row>
    <row r="35" spans="3:9" x14ac:dyDescent="0.35">
      <c r="C35" s="1" t="s">
        <v>420</v>
      </c>
    </row>
    <row r="36" spans="3:9" x14ac:dyDescent="0.35">
      <c r="C36" s="1" t="s">
        <v>421</v>
      </c>
    </row>
    <row r="39" spans="3:9" x14ac:dyDescent="0.35">
      <c r="C39" s="13" t="s">
        <v>190</v>
      </c>
    </row>
    <row r="40" spans="3:9" x14ac:dyDescent="0.35">
      <c r="C40" s="1" t="s">
        <v>422</v>
      </c>
    </row>
    <row r="41" spans="3:9" x14ac:dyDescent="0.35">
      <c r="C41" s="1" t="s">
        <v>423</v>
      </c>
    </row>
    <row r="42" spans="3:9" x14ac:dyDescent="0.35">
      <c r="C42" s="1" t="s">
        <v>191</v>
      </c>
    </row>
    <row r="44" spans="3:9" x14ac:dyDescent="0.35">
      <c r="C44" s="13" t="s">
        <v>193</v>
      </c>
    </row>
    <row r="45" spans="3:9" x14ac:dyDescent="0.35">
      <c r="C45" s="1" t="s">
        <v>195</v>
      </c>
    </row>
    <row r="46" spans="3:9" x14ac:dyDescent="0.35">
      <c r="C46" s="134" t="s">
        <v>4</v>
      </c>
      <c r="D46" s="33" t="s">
        <v>66</v>
      </c>
      <c r="E46" s="33" t="s">
        <v>67</v>
      </c>
      <c r="F46" s="33" t="s">
        <v>68</v>
      </c>
      <c r="G46" s="33" t="s">
        <v>69</v>
      </c>
      <c r="H46" s="33" t="s">
        <v>70</v>
      </c>
      <c r="I46" s="33" t="s">
        <v>71</v>
      </c>
    </row>
    <row r="47" spans="3:9" x14ac:dyDescent="0.35">
      <c r="C47" s="65" t="s">
        <v>117</v>
      </c>
      <c r="D47" s="3">
        <f>Q3Working!D190</f>
        <v>0</v>
      </c>
      <c r="E47" s="3">
        <f>Q3Working!E190</f>
        <v>200000</v>
      </c>
      <c r="F47" s="3">
        <f>Q3Working!F190</f>
        <v>200000</v>
      </c>
      <c r="G47" s="3">
        <f>Q3Working!G190</f>
        <v>230000</v>
      </c>
      <c r="H47" s="3">
        <f>Q3Working!H190</f>
        <v>280000</v>
      </c>
      <c r="I47" s="3">
        <f>Q3Working!I190</f>
        <v>350000</v>
      </c>
    </row>
    <row r="48" spans="3:9" x14ac:dyDescent="0.35">
      <c r="C48" s="65" t="s">
        <v>115</v>
      </c>
      <c r="D48" s="3">
        <f>Q3Working!D183</f>
        <v>0</v>
      </c>
      <c r="E48" s="3">
        <f>Q3Working!E183</f>
        <v>250000</v>
      </c>
      <c r="F48" s="3">
        <f>Q3Working!F183</f>
        <v>350000</v>
      </c>
      <c r="G48" s="3">
        <f>Q3Working!G183</f>
        <v>550000</v>
      </c>
      <c r="H48" s="3">
        <f>Q3Working!H183</f>
        <v>1136390</v>
      </c>
      <c r="I48" s="3">
        <f>Q3Working!I183</f>
        <v>1667700</v>
      </c>
    </row>
    <row r="49" spans="3:9" x14ac:dyDescent="0.35">
      <c r="C49" s="1" t="s">
        <v>194</v>
      </c>
    </row>
    <row r="51" spans="3:9" x14ac:dyDescent="0.35">
      <c r="C51" s="1" t="s">
        <v>197</v>
      </c>
    </row>
    <row r="52" spans="3:9" x14ac:dyDescent="0.35">
      <c r="C52" s="134" t="s">
        <v>4</v>
      </c>
      <c r="D52" s="33" t="s">
        <v>66</v>
      </c>
      <c r="E52" s="33" t="s">
        <v>67</v>
      </c>
      <c r="F52" s="33" t="s">
        <v>68</v>
      </c>
      <c r="G52" s="33" t="s">
        <v>69</v>
      </c>
      <c r="H52" s="33" t="s">
        <v>70</v>
      </c>
      <c r="I52" s="33" t="s">
        <v>71</v>
      </c>
    </row>
    <row r="53" spans="3:9" x14ac:dyDescent="0.35">
      <c r="C53" s="14" t="s">
        <v>196</v>
      </c>
      <c r="D53" s="3">
        <f>'Q3Bal Sheet'!D14</f>
        <v>3671300</v>
      </c>
      <c r="E53" s="3">
        <f>'Q3Bal Sheet'!E14</f>
        <v>791120</v>
      </c>
      <c r="F53" s="3">
        <f>'Q3Bal Sheet'!F14</f>
        <v>-274880</v>
      </c>
      <c r="G53" s="3">
        <f>'Q3Bal Sheet'!G14</f>
        <v>111750</v>
      </c>
      <c r="H53" s="3">
        <f>'Q3Bal Sheet'!H14</f>
        <v>65815</v>
      </c>
      <c r="I53" s="3">
        <f>'Q3Bal Sheet'!I14</f>
        <v>848963.5</v>
      </c>
    </row>
    <row r="54" spans="3:9" x14ac:dyDescent="0.35">
      <c r="C54" s="14" t="s">
        <v>139</v>
      </c>
      <c r="D54" s="3">
        <f>'Q3Bal Sheet'!D15</f>
        <v>0</v>
      </c>
      <c r="E54" s="3">
        <f>'Q3Bal Sheet'!E15</f>
        <v>3950000</v>
      </c>
      <c r="F54" s="3">
        <f>'Q3Bal Sheet'!F15</f>
        <v>4785700</v>
      </c>
      <c r="G54" s="3">
        <f>'Q3Bal Sheet'!G15</f>
        <v>4957800</v>
      </c>
      <c r="H54" s="3">
        <f>'Q3Bal Sheet'!H15</f>
        <v>4639840</v>
      </c>
      <c r="I54" s="3">
        <f>'Q3Bal Sheet'!I15</f>
        <v>4875500</v>
      </c>
    </row>
    <row r="55" spans="3:9" x14ac:dyDescent="0.35">
      <c r="C55" s="14" t="s">
        <v>140</v>
      </c>
      <c r="D55" s="3">
        <f>'Q3Bal Sheet'!D34</f>
        <v>0</v>
      </c>
      <c r="E55" s="3">
        <f>'Q3Bal Sheet'!E34</f>
        <v>278700</v>
      </c>
      <c r="F55" s="3">
        <f>'Q3Bal Sheet'!F34</f>
        <v>323280</v>
      </c>
      <c r="G55" s="3">
        <f>'Q3Bal Sheet'!G34</f>
        <v>770260</v>
      </c>
      <c r="H55" s="3">
        <f>'Q3Bal Sheet'!H34</f>
        <v>340550</v>
      </c>
      <c r="I55" s="3">
        <f>'Q3Bal Sheet'!I34</f>
        <v>510395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9A6D7-E04C-40B1-8F5D-C45AC1DECA9C}">
  <sheetPr>
    <tabColor rgb="FF92D050"/>
  </sheetPr>
  <dimension ref="B4:P224"/>
  <sheetViews>
    <sheetView showGridLines="0" zoomScale="80" zoomScaleNormal="80" workbookViewId="0">
      <pane ySplit="4" topLeftCell="A123" activePane="bottomLeft" state="frozen"/>
      <selection activeCell="K13" sqref="K13"/>
      <selection pane="bottomLeft" activeCell="K13" sqref="K13"/>
    </sheetView>
  </sheetViews>
  <sheetFormatPr defaultRowHeight="11.5" x14ac:dyDescent="0.35"/>
  <cols>
    <col min="1" max="2" width="8.7265625" style="1"/>
    <col min="3" max="3" width="34.1796875" style="1" bestFit="1" customWidth="1"/>
    <col min="4" max="9" width="11.90625" style="2" bestFit="1" customWidth="1"/>
    <col min="10" max="10" width="8.7265625" style="1"/>
    <col min="11" max="12" width="9.81640625" style="1" bestFit="1" customWidth="1"/>
    <col min="13" max="13" width="9.453125" style="1" bestFit="1" customWidth="1"/>
    <col min="14" max="16" width="8.81640625" style="1" bestFit="1" customWidth="1"/>
    <col min="17" max="16384" width="8.7265625" style="1"/>
  </cols>
  <sheetData>
    <row r="4" spans="3:11" x14ac:dyDescent="0.35">
      <c r="C4" s="32" t="s">
        <v>4</v>
      </c>
      <c r="D4" s="33" t="s">
        <v>66</v>
      </c>
      <c r="E4" s="33" t="s">
        <v>67</v>
      </c>
      <c r="F4" s="33" t="s">
        <v>68</v>
      </c>
      <c r="G4" s="33" t="s">
        <v>69</v>
      </c>
      <c r="H4" s="33" t="s">
        <v>70</v>
      </c>
      <c r="I4" s="33" t="s">
        <v>71</v>
      </c>
    </row>
    <row r="5" spans="3:11" x14ac:dyDescent="0.35">
      <c r="C5" s="41" t="s">
        <v>324</v>
      </c>
      <c r="D5" s="4">
        <f>D35</f>
        <v>5000000</v>
      </c>
      <c r="E5" s="4">
        <f t="shared" ref="E5:I5" si="0">E35</f>
        <v>6210000</v>
      </c>
      <c r="F5" s="4">
        <f t="shared" si="0"/>
        <v>7592000</v>
      </c>
      <c r="G5" s="4">
        <f t="shared" si="0"/>
        <v>9450000</v>
      </c>
      <c r="H5" s="4">
        <f t="shared" si="0"/>
        <v>11900000</v>
      </c>
      <c r="I5" s="4">
        <f t="shared" si="0"/>
        <v>14680000</v>
      </c>
      <c r="K5" s="30"/>
    </row>
    <row r="6" spans="3:11" x14ac:dyDescent="0.35">
      <c r="C6" s="37" t="s">
        <v>325</v>
      </c>
      <c r="D6" s="5">
        <f>D40</f>
        <v>1200000</v>
      </c>
      <c r="E6" s="5">
        <f t="shared" ref="E6:I6" si="1">E40</f>
        <v>1462000</v>
      </c>
      <c r="F6" s="5">
        <f t="shared" si="1"/>
        <v>1767000</v>
      </c>
      <c r="G6" s="5">
        <f t="shared" si="1"/>
        <v>2100000</v>
      </c>
      <c r="H6" s="5">
        <f t="shared" si="1"/>
        <v>2592000</v>
      </c>
      <c r="I6" s="5">
        <f t="shared" si="1"/>
        <v>3159000</v>
      </c>
      <c r="K6" s="30"/>
    </row>
    <row r="7" spans="3:11" x14ac:dyDescent="0.35">
      <c r="C7" s="37" t="s">
        <v>21</v>
      </c>
      <c r="D7" s="5">
        <f>SUM(D5:D6)</f>
        <v>6200000</v>
      </c>
      <c r="E7" s="5">
        <f t="shared" ref="E7:I7" si="2">SUM(E5:E6)</f>
        <v>7672000</v>
      </c>
      <c r="F7" s="5">
        <f t="shared" si="2"/>
        <v>9359000</v>
      </c>
      <c r="G7" s="5">
        <f t="shared" si="2"/>
        <v>11550000</v>
      </c>
      <c r="H7" s="5">
        <f t="shared" si="2"/>
        <v>14492000</v>
      </c>
      <c r="I7" s="5">
        <f t="shared" si="2"/>
        <v>17839000</v>
      </c>
      <c r="K7" s="30"/>
    </row>
    <row r="8" spans="3:11" x14ac:dyDescent="0.35">
      <c r="C8" s="37" t="s">
        <v>1</v>
      </c>
      <c r="D8" s="5">
        <f>D50</f>
        <v>150000</v>
      </c>
      <c r="E8" s="5">
        <f t="shared" ref="E8:I8" si="3">E50</f>
        <v>168000</v>
      </c>
      <c r="F8" s="5">
        <f t="shared" si="3"/>
        <v>186000</v>
      </c>
      <c r="G8" s="5">
        <f t="shared" si="3"/>
        <v>244800</v>
      </c>
      <c r="H8" s="5">
        <f t="shared" si="3"/>
        <v>578400</v>
      </c>
      <c r="I8" s="5">
        <f t="shared" si="3"/>
        <v>131200</v>
      </c>
      <c r="K8" s="30"/>
    </row>
    <row r="9" spans="3:11" x14ac:dyDescent="0.35">
      <c r="C9" s="18" t="s">
        <v>3</v>
      </c>
      <c r="D9" s="42">
        <f>D7+D8</f>
        <v>6350000</v>
      </c>
      <c r="E9" s="42">
        <f t="shared" ref="E9:I9" si="4">E7+E8</f>
        <v>7840000</v>
      </c>
      <c r="F9" s="42">
        <f t="shared" si="4"/>
        <v>9545000</v>
      </c>
      <c r="G9" s="42">
        <f t="shared" si="4"/>
        <v>11794800</v>
      </c>
      <c r="H9" s="42">
        <f t="shared" si="4"/>
        <v>15070400</v>
      </c>
      <c r="I9" s="42">
        <f t="shared" si="4"/>
        <v>17970200</v>
      </c>
      <c r="K9" s="30"/>
    </row>
    <row r="10" spans="3:11" x14ac:dyDescent="0.35">
      <c r="C10" s="100" t="s">
        <v>26</v>
      </c>
      <c r="D10" s="5"/>
      <c r="E10" s="5"/>
      <c r="F10" s="5"/>
      <c r="G10" s="5"/>
      <c r="H10" s="5"/>
      <c r="I10" s="5"/>
    </row>
    <row r="11" spans="3:11" x14ac:dyDescent="0.35">
      <c r="C11" s="37" t="s">
        <v>28</v>
      </c>
      <c r="D11" s="5">
        <v>0</v>
      </c>
      <c r="E11" s="5">
        <f>D13</f>
        <v>1650000</v>
      </c>
      <c r="F11" s="5">
        <f t="shared" ref="F11:I11" si="5">E13</f>
        <v>3564000</v>
      </c>
      <c r="G11" s="5">
        <f t="shared" si="5"/>
        <v>6005000</v>
      </c>
      <c r="H11" s="5">
        <f t="shared" si="5"/>
        <v>8883000</v>
      </c>
      <c r="I11" s="5">
        <f t="shared" si="5"/>
        <v>12172000</v>
      </c>
      <c r="K11" s="30"/>
    </row>
    <row r="12" spans="3:11" x14ac:dyDescent="0.35">
      <c r="C12" s="37" t="s">
        <v>29</v>
      </c>
      <c r="D12" s="5">
        <f t="shared" ref="D12:I12" si="6">D57+D62</f>
        <v>5400000</v>
      </c>
      <c r="E12" s="5">
        <f t="shared" si="6"/>
        <v>6426000</v>
      </c>
      <c r="F12" s="5">
        <f t="shared" si="6"/>
        <v>7809000</v>
      </c>
      <c r="G12" s="5">
        <f t="shared" si="6"/>
        <v>9387000</v>
      </c>
      <c r="H12" s="5">
        <f t="shared" si="6"/>
        <v>11356000</v>
      </c>
      <c r="I12" s="5">
        <f t="shared" si="6"/>
        <v>13629000</v>
      </c>
      <c r="K12" s="30"/>
    </row>
    <row r="13" spans="3:11" x14ac:dyDescent="0.35">
      <c r="C13" s="37" t="s">
        <v>30</v>
      </c>
      <c r="D13" s="5">
        <f>D72+D81</f>
        <v>1650000</v>
      </c>
      <c r="E13" s="5">
        <f t="shared" ref="E13:I13" si="7">E72+E81</f>
        <v>3564000</v>
      </c>
      <c r="F13" s="5">
        <f t="shared" si="7"/>
        <v>6005000</v>
      </c>
      <c r="G13" s="5">
        <f t="shared" si="7"/>
        <v>8883000</v>
      </c>
      <c r="H13" s="5">
        <f t="shared" si="7"/>
        <v>12172000</v>
      </c>
      <c r="I13" s="5">
        <f t="shared" si="7"/>
        <v>15978000</v>
      </c>
      <c r="K13" s="30"/>
    </row>
    <row r="14" spans="3:11" x14ac:dyDescent="0.35">
      <c r="C14" s="18" t="s">
        <v>26</v>
      </c>
      <c r="D14" s="19">
        <f>D11+D12-D13</f>
        <v>3750000</v>
      </c>
      <c r="E14" s="19">
        <f t="shared" ref="E14:I14" si="8">E11+E12-E13</f>
        <v>4512000</v>
      </c>
      <c r="F14" s="19">
        <f t="shared" si="8"/>
        <v>5368000</v>
      </c>
      <c r="G14" s="19">
        <f t="shared" si="8"/>
        <v>6509000</v>
      </c>
      <c r="H14" s="19">
        <f t="shared" si="8"/>
        <v>8067000</v>
      </c>
      <c r="I14" s="19">
        <f t="shared" si="8"/>
        <v>9823000</v>
      </c>
      <c r="K14" s="30"/>
    </row>
    <row r="15" spans="3:11" x14ac:dyDescent="0.35">
      <c r="C15" s="37"/>
      <c r="D15" s="5"/>
      <c r="E15" s="5"/>
      <c r="F15" s="5"/>
      <c r="G15" s="5"/>
      <c r="H15" s="5"/>
      <c r="I15" s="5"/>
    </row>
    <row r="16" spans="3:11" x14ac:dyDescent="0.35">
      <c r="C16" s="37" t="s">
        <v>8</v>
      </c>
      <c r="D16" s="5">
        <f>D9-D14</f>
        <v>2600000</v>
      </c>
      <c r="E16" s="5">
        <f t="shared" ref="E16:I16" si="9">E9-E14</f>
        <v>3328000</v>
      </c>
      <c r="F16" s="5">
        <f t="shared" si="9"/>
        <v>4177000</v>
      </c>
      <c r="G16" s="5">
        <f t="shared" si="9"/>
        <v>5285800</v>
      </c>
      <c r="H16" s="5">
        <f t="shared" si="9"/>
        <v>7003400</v>
      </c>
      <c r="I16" s="5">
        <f t="shared" si="9"/>
        <v>8147200</v>
      </c>
      <c r="K16" s="30"/>
    </row>
    <row r="17" spans="3:11" x14ac:dyDescent="0.35">
      <c r="C17" s="37" t="s">
        <v>9</v>
      </c>
      <c r="D17" s="5">
        <f>D87+D90</f>
        <v>174000</v>
      </c>
      <c r="E17" s="5">
        <f t="shared" ref="E17:I17" si="10">E87+E90</f>
        <v>215540</v>
      </c>
      <c r="F17" s="5">
        <f t="shared" si="10"/>
        <v>263100</v>
      </c>
      <c r="G17" s="5">
        <f t="shared" si="10"/>
        <v>325500</v>
      </c>
      <c r="H17" s="5">
        <f t="shared" si="10"/>
        <v>408840</v>
      </c>
      <c r="I17" s="5">
        <f t="shared" si="10"/>
        <v>503580</v>
      </c>
      <c r="K17" s="30"/>
    </row>
    <row r="18" spans="3:11" x14ac:dyDescent="0.35">
      <c r="C18" s="18" t="s">
        <v>10</v>
      </c>
      <c r="D18" s="19">
        <f>D16-D17</f>
        <v>2426000</v>
      </c>
      <c r="E18" s="19">
        <f t="shared" ref="E18:I18" si="11">E16-E17</f>
        <v>3112460</v>
      </c>
      <c r="F18" s="19">
        <f t="shared" si="11"/>
        <v>3913900</v>
      </c>
      <c r="G18" s="19">
        <f t="shared" si="11"/>
        <v>4960300</v>
      </c>
      <c r="H18" s="19">
        <f t="shared" si="11"/>
        <v>6594560</v>
      </c>
      <c r="I18" s="19">
        <f t="shared" si="11"/>
        <v>7643620</v>
      </c>
    </row>
    <row r="19" spans="3:11" x14ac:dyDescent="0.35">
      <c r="C19" s="37"/>
      <c r="D19" s="5"/>
      <c r="E19" s="5"/>
      <c r="F19" s="5"/>
      <c r="G19" s="5"/>
      <c r="H19" s="5"/>
      <c r="I19" s="5"/>
    </row>
    <row r="20" spans="3:11" x14ac:dyDescent="0.35">
      <c r="C20" s="37" t="s">
        <v>11</v>
      </c>
      <c r="D20" s="5">
        <f>D99+D108</f>
        <v>330000</v>
      </c>
      <c r="E20" s="5">
        <f t="shared" ref="E20:I20" si="12">E99+E108</f>
        <v>297000</v>
      </c>
      <c r="F20" s="5">
        <f t="shared" si="12"/>
        <v>287300</v>
      </c>
      <c r="G20" s="5">
        <f t="shared" si="12"/>
        <v>258600</v>
      </c>
      <c r="H20" s="5">
        <f t="shared" si="12"/>
        <v>232700</v>
      </c>
      <c r="I20" s="5">
        <f t="shared" si="12"/>
        <v>209400</v>
      </c>
    </row>
    <row r="21" spans="3:11" x14ac:dyDescent="0.35">
      <c r="C21" s="37" t="s">
        <v>12</v>
      </c>
      <c r="D21" s="5">
        <f>D128</f>
        <v>320000</v>
      </c>
      <c r="E21" s="5">
        <f t="shared" ref="E21:I21" si="13">E128</f>
        <v>336000</v>
      </c>
      <c r="F21" s="5">
        <f t="shared" si="13"/>
        <v>272000</v>
      </c>
      <c r="G21" s="5">
        <f t="shared" si="13"/>
        <v>208000</v>
      </c>
      <c r="H21" s="5">
        <f t="shared" si="13"/>
        <v>64000</v>
      </c>
      <c r="I21" s="5">
        <f t="shared" si="13"/>
        <v>0</v>
      </c>
    </row>
    <row r="22" spans="3:11" x14ac:dyDescent="0.35">
      <c r="C22" s="37"/>
      <c r="D22" s="5"/>
      <c r="E22" s="5"/>
      <c r="F22" s="5"/>
      <c r="G22" s="5"/>
      <c r="H22" s="5"/>
      <c r="I22" s="5"/>
    </row>
    <row r="23" spans="3:11" x14ac:dyDescent="0.35">
      <c r="C23" s="18" t="s">
        <v>13</v>
      </c>
      <c r="D23" s="19">
        <f>D18-D20-D21</f>
        <v>1776000</v>
      </c>
      <c r="E23" s="19">
        <f t="shared" ref="E23:I23" si="14">E18-E20-E21</f>
        <v>2479460</v>
      </c>
      <c r="F23" s="19">
        <f t="shared" si="14"/>
        <v>3354600</v>
      </c>
      <c r="G23" s="19">
        <f t="shared" si="14"/>
        <v>4493700</v>
      </c>
      <c r="H23" s="19">
        <f t="shared" si="14"/>
        <v>6297860</v>
      </c>
      <c r="I23" s="19">
        <f t="shared" si="14"/>
        <v>7434220</v>
      </c>
    </row>
    <row r="24" spans="3:11" x14ac:dyDescent="0.35">
      <c r="C24" s="37" t="s">
        <v>53</v>
      </c>
      <c r="D24" s="5">
        <f>D134</f>
        <v>390700</v>
      </c>
      <c r="E24" s="5">
        <f t="shared" ref="E24:I24" si="15">E134</f>
        <v>545500</v>
      </c>
      <c r="F24" s="5">
        <f t="shared" si="15"/>
        <v>738000</v>
      </c>
      <c r="G24" s="5">
        <f t="shared" si="15"/>
        <v>988600</v>
      </c>
      <c r="H24" s="5">
        <f t="shared" si="15"/>
        <v>1385500</v>
      </c>
      <c r="I24" s="5">
        <f t="shared" si="15"/>
        <v>1635500</v>
      </c>
    </row>
    <row r="25" spans="3:11" x14ac:dyDescent="0.35">
      <c r="C25" s="36" t="s">
        <v>17</v>
      </c>
      <c r="D25" s="6">
        <f>D23-D24</f>
        <v>1385300</v>
      </c>
      <c r="E25" s="6">
        <f t="shared" ref="E25:I25" si="16">E23-E24</f>
        <v>1933960</v>
      </c>
      <c r="F25" s="6">
        <f t="shared" si="16"/>
        <v>2616600</v>
      </c>
      <c r="G25" s="6">
        <f t="shared" si="16"/>
        <v>3505100</v>
      </c>
      <c r="H25" s="6">
        <f t="shared" si="16"/>
        <v>4912360</v>
      </c>
      <c r="I25" s="6">
        <f t="shared" si="16"/>
        <v>5798720</v>
      </c>
    </row>
    <row r="26" spans="3:11" x14ac:dyDescent="0.35">
      <c r="C26" s="37" t="s">
        <v>58</v>
      </c>
      <c r="D26" s="5">
        <f>D145</f>
        <v>150000</v>
      </c>
      <c r="E26" s="5">
        <f t="shared" ref="E26:I26" si="17">E145</f>
        <v>165000</v>
      </c>
      <c r="F26" s="5">
        <f t="shared" si="17"/>
        <v>181500.00000000003</v>
      </c>
      <c r="G26" s="5">
        <f t="shared" si="17"/>
        <v>199650.00000000006</v>
      </c>
      <c r="H26" s="5">
        <f t="shared" si="17"/>
        <v>219615.00000000009</v>
      </c>
      <c r="I26" s="5">
        <f t="shared" si="17"/>
        <v>241576.50000000012</v>
      </c>
    </row>
    <row r="27" spans="3:11" x14ac:dyDescent="0.35">
      <c r="C27" s="18" t="s">
        <v>59</v>
      </c>
      <c r="D27" s="19">
        <f>D25-D26</f>
        <v>1235300</v>
      </c>
      <c r="E27" s="19">
        <f t="shared" ref="E27:I27" si="18">E25-E26</f>
        <v>1768960</v>
      </c>
      <c r="F27" s="19">
        <f t="shared" si="18"/>
        <v>2435100</v>
      </c>
      <c r="G27" s="19">
        <f t="shared" si="18"/>
        <v>3305450</v>
      </c>
      <c r="H27" s="19">
        <f t="shared" si="18"/>
        <v>4692745</v>
      </c>
      <c r="I27" s="19">
        <f t="shared" si="18"/>
        <v>5557143.5</v>
      </c>
    </row>
    <row r="28" spans="3:11" x14ac:dyDescent="0.35">
      <c r="C28" s="37" t="s">
        <v>57</v>
      </c>
      <c r="D28" s="5">
        <v>0</v>
      </c>
      <c r="E28" s="5">
        <v>1500000</v>
      </c>
      <c r="F28" s="5">
        <v>1500000</v>
      </c>
      <c r="G28" s="5">
        <v>1500000</v>
      </c>
      <c r="H28" s="5">
        <v>0</v>
      </c>
      <c r="I28" s="5">
        <v>0</v>
      </c>
    </row>
    <row r="29" spans="3:11" x14ac:dyDescent="0.35">
      <c r="C29" s="99" t="s">
        <v>60</v>
      </c>
      <c r="D29" s="7">
        <f>D27-D28</f>
        <v>1235300</v>
      </c>
      <c r="E29" s="7">
        <f t="shared" ref="E29:I29" si="19">E27-E28</f>
        <v>268960</v>
      </c>
      <c r="F29" s="7">
        <f t="shared" si="19"/>
        <v>935100</v>
      </c>
      <c r="G29" s="7">
        <f t="shared" si="19"/>
        <v>1805450</v>
      </c>
      <c r="H29" s="7">
        <f t="shared" si="19"/>
        <v>4692745</v>
      </c>
      <c r="I29" s="7">
        <f t="shared" si="19"/>
        <v>5557143.5</v>
      </c>
    </row>
    <row r="31" spans="3:11" x14ac:dyDescent="0.35">
      <c r="C31" s="101" t="s">
        <v>5</v>
      </c>
      <c r="D31" s="102"/>
      <c r="E31" s="102"/>
      <c r="F31" s="102"/>
      <c r="G31" s="102"/>
      <c r="H31" s="102"/>
      <c r="I31" s="4"/>
    </row>
    <row r="32" spans="3:11" x14ac:dyDescent="0.35">
      <c r="C32" s="103" t="s">
        <v>424</v>
      </c>
      <c r="D32" s="29"/>
      <c r="E32" s="29"/>
      <c r="F32" s="29"/>
      <c r="G32" s="29"/>
      <c r="H32" s="29"/>
      <c r="I32" s="5"/>
    </row>
    <row r="33" spans="2:11" s="2" customFormat="1" x14ac:dyDescent="0.35">
      <c r="B33" s="1" t="s">
        <v>56</v>
      </c>
      <c r="C33" s="135" t="s">
        <v>18</v>
      </c>
      <c r="D33" s="29">
        <v>2000</v>
      </c>
      <c r="E33" s="29">
        <f>ROUND(D33*115%,-2)</f>
        <v>2300</v>
      </c>
      <c r="F33" s="29">
        <f t="shared" ref="F33:I33" si="20">ROUND(E33*115%,-2)</f>
        <v>2600</v>
      </c>
      <c r="G33" s="29">
        <f t="shared" si="20"/>
        <v>3000</v>
      </c>
      <c r="H33" s="29">
        <f t="shared" si="20"/>
        <v>3500</v>
      </c>
      <c r="I33" s="5">
        <f t="shared" si="20"/>
        <v>4000</v>
      </c>
    </row>
    <row r="34" spans="2:11" s="2" customFormat="1" x14ac:dyDescent="0.35">
      <c r="B34" s="1" t="s">
        <v>56</v>
      </c>
      <c r="C34" s="135" t="s">
        <v>19</v>
      </c>
      <c r="D34" s="29">
        <v>2500</v>
      </c>
      <c r="E34" s="29">
        <f>ROUND(D34*108%,-1)</f>
        <v>2700</v>
      </c>
      <c r="F34" s="29">
        <f t="shared" ref="F34:I34" si="21">ROUND(E34*108%,-1)</f>
        <v>2920</v>
      </c>
      <c r="G34" s="29">
        <f t="shared" si="21"/>
        <v>3150</v>
      </c>
      <c r="H34" s="29">
        <f t="shared" si="21"/>
        <v>3400</v>
      </c>
      <c r="I34" s="29">
        <f t="shared" si="21"/>
        <v>3670</v>
      </c>
    </row>
    <row r="35" spans="2:11" s="2" customFormat="1" x14ac:dyDescent="0.35">
      <c r="B35" s="1"/>
      <c r="C35" s="135" t="s">
        <v>20</v>
      </c>
      <c r="D35" s="29">
        <f>D33*D34</f>
        <v>5000000</v>
      </c>
      <c r="E35" s="29">
        <f t="shared" ref="E35:I35" si="22">E33*E34</f>
        <v>6210000</v>
      </c>
      <c r="F35" s="29">
        <f t="shared" si="22"/>
        <v>7592000</v>
      </c>
      <c r="G35" s="29">
        <f t="shared" si="22"/>
        <v>9450000</v>
      </c>
      <c r="H35" s="29">
        <f t="shared" si="22"/>
        <v>11900000</v>
      </c>
      <c r="I35" s="5">
        <f t="shared" si="22"/>
        <v>14680000</v>
      </c>
    </row>
    <row r="36" spans="2:11" x14ac:dyDescent="0.35">
      <c r="C36" s="56"/>
      <c r="D36" s="29"/>
      <c r="E36" s="29"/>
      <c r="F36" s="29"/>
      <c r="G36" s="29"/>
      <c r="H36" s="29"/>
      <c r="I36" s="5"/>
      <c r="K36" s="2"/>
    </row>
    <row r="37" spans="2:11" ht="13" x14ac:dyDescent="0.35">
      <c r="C37" s="136" t="s">
        <v>425</v>
      </c>
      <c r="D37" s="29"/>
      <c r="E37" s="29"/>
      <c r="F37" s="29"/>
      <c r="G37" s="29"/>
      <c r="H37" s="29"/>
      <c r="I37" s="5"/>
      <c r="K37" s="2"/>
    </row>
    <row r="38" spans="2:11" x14ac:dyDescent="0.35">
      <c r="B38" s="1" t="s">
        <v>56</v>
      </c>
      <c r="C38" s="135" t="s">
        <v>18</v>
      </c>
      <c r="D38" s="29">
        <v>1500</v>
      </c>
      <c r="E38" s="29">
        <f>ROUND(D38*112%,-2)</f>
        <v>1700</v>
      </c>
      <c r="F38" s="29">
        <f t="shared" ref="F38:I38" si="23">ROUND(E38*112%,-2)</f>
        <v>1900</v>
      </c>
      <c r="G38" s="29">
        <f t="shared" si="23"/>
        <v>2100</v>
      </c>
      <c r="H38" s="29">
        <f t="shared" si="23"/>
        <v>2400</v>
      </c>
      <c r="I38" s="5">
        <f t="shared" si="23"/>
        <v>2700</v>
      </c>
      <c r="K38" s="2"/>
    </row>
    <row r="39" spans="2:11" x14ac:dyDescent="0.35">
      <c r="B39" s="1" t="s">
        <v>56</v>
      </c>
      <c r="C39" s="135" t="s">
        <v>19</v>
      </c>
      <c r="D39" s="29">
        <v>800</v>
      </c>
      <c r="E39" s="29">
        <f>ROUND(D39*108%,-1)</f>
        <v>860</v>
      </c>
      <c r="F39" s="29">
        <f t="shared" ref="F39:I39" si="24">ROUND(E39*108%,-1)</f>
        <v>930</v>
      </c>
      <c r="G39" s="29">
        <f t="shared" si="24"/>
        <v>1000</v>
      </c>
      <c r="H39" s="29">
        <f t="shared" si="24"/>
        <v>1080</v>
      </c>
      <c r="I39" s="29">
        <f t="shared" si="24"/>
        <v>1170</v>
      </c>
      <c r="K39" s="2"/>
    </row>
    <row r="40" spans="2:11" x14ac:dyDescent="0.35">
      <c r="C40" s="39" t="s">
        <v>20</v>
      </c>
      <c r="D40" s="106">
        <f>D38*D39</f>
        <v>1200000</v>
      </c>
      <c r="E40" s="106">
        <f t="shared" ref="E40:I40" si="25">E38*E39</f>
        <v>1462000</v>
      </c>
      <c r="F40" s="106">
        <f t="shared" si="25"/>
        <v>1767000</v>
      </c>
      <c r="G40" s="106">
        <f t="shared" si="25"/>
        <v>2100000</v>
      </c>
      <c r="H40" s="106">
        <f t="shared" si="25"/>
        <v>2592000</v>
      </c>
      <c r="I40" s="40">
        <f t="shared" si="25"/>
        <v>3159000</v>
      </c>
      <c r="K40" s="2"/>
    </row>
    <row r="41" spans="2:11" x14ac:dyDescent="0.35">
      <c r="K41" s="2"/>
    </row>
    <row r="43" spans="2:11" x14ac:dyDescent="0.35">
      <c r="C43" s="107" t="s">
        <v>1</v>
      </c>
      <c r="D43" s="108"/>
      <c r="E43" s="108"/>
      <c r="F43" s="108"/>
      <c r="G43" s="108"/>
      <c r="H43" s="108"/>
      <c r="I43" s="109"/>
    </row>
    <row r="44" spans="2:11" ht="13" x14ac:dyDescent="0.35">
      <c r="C44" s="105" t="s">
        <v>23</v>
      </c>
      <c r="D44" s="110"/>
      <c r="E44" s="110"/>
      <c r="F44" s="110"/>
      <c r="G44" s="110"/>
      <c r="H44" s="110"/>
      <c r="I44" s="111"/>
    </row>
    <row r="45" spans="2:11" x14ac:dyDescent="0.35">
      <c r="C45" s="104" t="s">
        <v>24</v>
      </c>
      <c r="D45" s="110">
        <f>D154</f>
        <v>6000</v>
      </c>
      <c r="E45" s="110">
        <f t="shared" ref="E45:I45" si="26">E154</f>
        <v>6000</v>
      </c>
      <c r="F45" s="110">
        <f t="shared" si="26"/>
        <v>6000</v>
      </c>
      <c r="G45" s="110">
        <f t="shared" si="26"/>
        <v>7200</v>
      </c>
      <c r="H45" s="110">
        <f t="shared" si="26"/>
        <v>3200</v>
      </c>
      <c r="I45" s="111">
        <f t="shared" si="26"/>
        <v>3200</v>
      </c>
    </row>
    <row r="46" spans="2:11" x14ac:dyDescent="0.35">
      <c r="C46" s="104" t="s">
        <v>25</v>
      </c>
      <c r="D46" s="110">
        <v>25</v>
      </c>
      <c r="E46" s="110">
        <f>ROUND(D46*110%,0)</f>
        <v>28</v>
      </c>
      <c r="F46" s="110">
        <f t="shared" ref="F46:I46" si="27">ROUND(E46*110%,0)</f>
        <v>31</v>
      </c>
      <c r="G46" s="110">
        <f t="shared" si="27"/>
        <v>34</v>
      </c>
      <c r="H46" s="110">
        <f t="shared" si="27"/>
        <v>37</v>
      </c>
      <c r="I46" s="110">
        <f t="shared" si="27"/>
        <v>41</v>
      </c>
    </row>
    <row r="47" spans="2:11" x14ac:dyDescent="0.35">
      <c r="C47" s="104" t="s">
        <v>23</v>
      </c>
      <c r="D47" s="110">
        <f>D45*D46</f>
        <v>150000</v>
      </c>
      <c r="E47" s="110">
        <f t="shared" ref="E47:I47" si="28">E45*E46</f>
        <v>168000</v>
      </c>
      <c r="F47" s="110">
        <f t="shared" si="28"/>
        <v>186000</v>
      </c>
      <c r="G47" s="110">
        <f t="shared" si="28"/>
        <v>244800</v>
      </c>
      <c r="H47" s="110">
        <f t="shared" si="28"/>
        <v>118400</v>
      </c>
      <c r="I47" s="111">
        <f t="shared" si="28"/>
        <v>131200</v>
      </c>
    </row>
    <row r="48" spans="2:11" x14ac:dyDescent="0.35">
      <c r="C48" s="104"/>
      <c r="D48" s="110"/>
      <c r="E48" s="110"/>
      <c r="F48" s="110"/>
      <c r="G48" s="110"/>
      <c r="H48" s="110"/>
      <c r="I48" s="111"/>
    </row>
    <row r="49" spans="2:9" ht="13" x14ac:dyDescent="0.35">
      <c r="C49" s="105" t="s">
        <v>113</v>
      </c>
      <c r="D49" s="110">
        <f>D165</f>
        <v>0</v>
      </c>
      <c r="E49" s="110">
        <f t="shared" ref="E49:I49" si="29">E165</f>
        <v>0</v>
      </c>
      <c r="F49" s="110">
        <f t="shared" si="29"/>
        <v>0</v>
      </c>
      <c r="G49" s="110">
        <f t="shared" si="29"/>
        <v>0</v>
      </c>
      <c r="H49" s="110">
        <f t="shared" si="29"/>
        <v>460000</v>
      </c>
      <c r="I49" s="111">
        <f t="shared" si="29"/>
        <v>0</v>
      </c>
    </row>
    <row r="50" spans="2:9" x14ac:dyDescent="0.35">
      <c r="C50" s="112" t="s">
        <v>114</v>
      </c>
      <c r="D50" s="113">
        <f>D47+D49</f>
        <v>150000</v>
      </c>
      <c r="E50" s="113">
        <f t="shared" ref="E50:I50" si="30">E47+E49</f>
        <v>168000</v>
      </c>
      <c r="F50" s="113">
        <f t="shared" si="30"/>
        <v>186000</v>
      </c>
      <c r="G50" s="113">
        <f t="shared" si="30"/>
        <v>244800</v>
      </c>
      <c r="H50" s="113">
        <f t="shared" si="30"/>
        <v>578400</v>
      </c>
      <c r="I50" s="114">
        <f t="shared" si="30"/>
        <v>131200</v>
      </c>
    </row>
    <row r="53" spans="2:9" x14ac:dyDescent="0.35">
      <c r="C53" s="137" t="s">
        <v>27</v>
      </c>
      <c r="D53" s="102"/>
      <c r="E53" s="102"/>
      <c r="F53" s="102"/>
      <c r="G53" s="102"/>
      <c r="H53" s="102"/>
      <c r="I53" s="4"/>
    </row>
    <row r="54" spans="2:9" x14ac:dyDescent="0.35">
      <c r="C54" s="103" t="str">
        <f>C32</f>
        <v>Office Bag</v>
      </c>
      <c r="D54" s="29"/>
      <c r="E54" s="29"/>
      <c r="F54" s="29"/>
      <c r="G54" s="29"/>
      <c r="H54" s="29"/>
      <c r="I54" s="5"/>
    </row>
    <row r="55" spans="2:9" x14ac:dyDescent="0.35">
      <c r="B55" s="1" t="s">
        <v>56</v>
      </c>
      <c r="C55" s="135" t="s">
        <v>18</v>
      </c>
      <c r="D55" s="29">
        <v>3000</v>
      </c>
      <c r="E55" s="29">
        <f>ROUND(D55*111%,-2)</f>
        <v>3300</v>
      </c>
      <c r="F55" s="29">
        <f t="shared" ref="F55:I55" si="31">ROUND(E55*111%,-2)</f>
        <v>3700</v>
      </c>
      <c r="G55" s="29">
        <f t="shared" si="31"/>
        <v>4100</v>
      </c>
      <c r="H55" s="29">
        <f t="shared" si="31"/>
        <v>4600</v>
      </c>
      <c r="I55" s="29">
        <f t="shared" si="31"/>
        <v>5100</v>
      </c>
    </row>
    <row r="56" spans="2:9" x14ac:dyDescent="0.35">
      <c r="B56" s="1" t="s">
        <v>56</v>
      </c>
      <c r="C56" s="135" t="s">
        <v>19</v>
      </c>
      <c r="D56" s="29">
        <v>1500</v>
      </c>
      <c r="E56" s="29">
        <f>ROUND(D56*108%,-1)</f>
        <v>1620</v>
      </c>
      <c r="F56" s="29">
        <f t="shared" ref="F56:I56" si="32">ROUND(E56*108%,-1)</f>
        <v>1750</v>
      </c>
      <c r="G56" s="29">
        <f t="shared" si="32"/>
        <v>1890</v>
      </c>
      <c r="H56" s="29">
        <f t="shared" si="32"/>
        <v>2040</v>
      </c>
      <c r="I56" s="5">
        <f t="shared" si="32"/>
        <v>2200</v>
      </c>
    </row>
    <row r="57" spans="2:9" x14ac:dyDescent="0.35">
      <c r="C57" s="135" t="s">
        <v>20</v>
      </c>
      <c r="D57" s="29">
        <f>D55*D56</f>
        <v>4500000</v>
      </c>
      <c r="E57" s="29">
        <f t="shared" ref="E57:I57" si="33">E55*E56</f>
        <v>5346000</v>
      </c>
      <c r="F57" s="29">
        <f t="shared" si="33"/>
        <v>6475000</v>
      </c>
      <c r="G57" s="29">
        <f t="shared" si="33"/>
        <v>7749000</v>
      </c>
      <c r="H57" s="29">
        <f t="shared" si="33"/>
        <v>9384000</v>
      </c>
      <c r="I57" s="5">
        <f t="shared" si="33"/>
        <v>11220000</v>
      </c>
    </row>
    <row r="58" spans="2:9" x14ac:dyDescent="0.35">
      <c r="C58" s="56"/>
      <c r="D58" s="29"/>
      <c r="E58" s="29"/>
      <c r="F58" s="29"/>
      <c r="G58" s="29"/>
      <c r="H58" s="29"/>
      <c r="I58" s="5"/>
    </row>
    <row r="59" spans="2:9" ht="13" x14ac:dyDescent="0.35">
      <c r="C59" s="136" t="str">
        <f>C37</f>
        <v>School Bag</v>
      </c>
      <c r="D59" s="29"/>
      <c r="E59" s="29"/>
      <c r="F59" s="29"/>
      <c r="G59" s="29"/>
      <c r="H59" s="29"/>
      <c r="I59" s="5"/>
    </row>
    <row r="60" spans="2:9" x14ac:dyDescent="0.35">
      <c r="B60" s="1" t="s">
        <v>56</v>
      </c>
      <c r="C60" s="135" t="s">
        <v>18</v>
      </c>
      <c r="D60" s="29">
        <v>1800</v>
      </c>
      <c r="E60" s="29">
        <f>ROUND(D60*113%,-2)</f>
        <v>2000</v>
      </c>
      <c r="F60" s="29">
        <f t="shared" ref="F60:I60" si="34">ROUND(E60*113%,-2)</f>
        <v>2300</v>
      </c>
      <c r="G60" s="29">
        <f t="shared" si="34"/>
        <v>2600</v>
      </c>
      <c r="H60" s="29">
        <f t="shared" si="34"/>
        <v>2900</v>
      </c>
      <c r="I60" s="5">
        <f t="shared" si="34"/>
        <v>3300</v>
      </c>
    </row>
    <row r="61" spans="2:9" x14ac:dyDescent="0.35">
      <c r="B61" s="1" t="s">
        <v>56</v>
      </c>
      <c r="C61" s="135" t="s">
        <v>19</v>
      </c>
      <c r="D61" s="29">
        <v>500</v>
      </c>
      <c r="E61" s="29">
        <f>ROUND(D61*108%,-1)</f>
        <v>540</v>
      </c>
      <c r="F61" s="29">
        <f t="shared" ref="F61:I61" si="35">ROUND(E61*108%,-1)</f>
        <v>580</v>
      </c>
      <c r="G61" s="29">
        <f t="shared" si="35"/>
        <v>630</v>
      </c>
      <c r="H61" s="29">
        <f t="shared" si="35"/>
        <v>680</v>
      </c>
      <c r="I61" s="5">
        <f t="shared" si="35"/>
        <v>730</v>
      </c>
    </row>
    <row r="62" spans="2:9" x14ac:dyDescent="0.35">
      <c r="C62" s="39" t="s">
        <v>20</v>
      </c>
      <c r="D62" s="106">
        <f>D60*D61</f>
        <v>900000</v>
      </c>
      <c r="E62" s="106">
        <f t="shared" ref="E62:I62" si="36">E60*E61</f>
        <v>1080000</v>
      </c>
      <c r="F62" s="106">
        <f t="shared" si="36"/>
        <v>1334000</v>
      </c>
      <c r="G62" s="106">
        <f t="shared" si="36"/>
        <v>1638000</v>
      </c>
      <c r="H62" s="106">
        <f t="shared" si="36"/>
        <v>1972000</v>
      </c>
      <c r="I62" s="40">
        <f t="shared" si="36"/>
        <v>2409000</v>
      </c>
    </row>
    <row r="65" spans="3:9" x14ac:dyDescent="0.35">
      <c r="C65" s="137" t="s">
        <v>31</v>
      </c>
      <c r="D65" s="102"/>
      <c r="E65" s="102"/>
      <c r="F65" s="102"/>
      <c r="G65" s="102"/>
      <c r="H65" s="102"/>
      <c r="I65" s="4"/>
    </row>
    <row r="66" spans="3:9" x14ac:dyDescent="0.35">
      <c r="C66" s="103" t="str">
        <f>C54</f>
        <v>Office Bag</v>
      </c>
      <c r="D66" s="29"/>
      <c r="E66" s="29"/>
      <c r="F66" s="29"/>
      <c r="G66" s="29"/>
      <c r="H66" s="29"/>
      <c r="I66" s="5"/>
    </row>
    <row r="67" spans="3:9" x14ac:dyDescent="0.35">
      <c r="C67" s="56" t="s">
        <v>32</v>
      </c>
      <c r="D67" s="29">
        <f>0</f>
        <v>0</v>
      </c>
      <c r="E67" s="29">
        <f>D70</f>
        <v>1000</v>
      </c>
      <c r="F67" s="29">
        <f t="shared" ref="F67:I67" si="37">E70</f>
        <v>2000</v>
      </c>
      <c r="G67" s="29">
        <f t="shared" si="37"/>
        <v>3100</v>
      </c>
      <c r="H67" s="29">
        <f t="shared" si="37"/>
        <v>4200</v>
      </c>
      <c r="I67" s="5">
        <f t="shared" si="37"/>
        <v>5300</v>
      </c>
    </row>
    <row r="68" spans="3:9" x14ac:dyDescent="0.35">
      <c r="C68" s="56" t="s">
        <v>37</v>
      </c>
      <c r="D68" s="29">
        <f t="shared" ref="D68:I68" si="38">D55</f>
        <v>3000</v>
      </c>
      <c r="E68" s="29">
        <f t="shared" si="38"/>
        <v>3300</v>
      </c>
      <c r="F68" s="29">
        <f t="shared" si="38"/>
        <v>3700</v>
      </c>
      <c r="G68" s="29">
        <f t="shared" si="38"/>
        <v>4100</v>
      </c>
      <c r="H68" s="29">
        <f t="shared" si="38"/>
        <v>4600</v>
      </c>
      <c r="I68" s="5">
        <f t="shared" si="38"/>
        <v>5100</v>
      </c>
    </row>
    <row r="69" spans="3:9" x14ac:dyDescent="0.35">
      <c r="C69" s="56" t="s">
        <v>33</v>
      </c>
      <c r="D69" s="29">
        <f t="shared" ref="D69:I69" si="39">D33</f>
        <v>2000</v>
      </c>
      <c r="E69" s="29">
        <f t="shared" si="39"/>
        <v>2300</v>
      </c>
      <c r="F69" s="29">
        <f t="shared" si="39"/>
        <v>2600</v>
      </c>
      <c r="G69" s="29">
        <f t="shared" si="39"/>
        <v>3000</v>
      </c>
      <c r="H69" s="29">
        <f t="shared" si="39"/>
        <v>3500</v>
      </c>
      <c r="I69" s="5">
        <f t="shared" si="39"/>
        <v>4000</v>
      </c>
    </row>
    <row r="70" spans="3:9" x14ac:dyDescent="0.35">
      <c r="C70" s="56" t="s">
        <v>34</v>
      </c>
      <c r="D70" s="102">
        <f>D67+D68-D69</f>
        <v>1000</v>
      </c>
      <c r="E70" s="102">
        <f t="shared" ref="E70:I70" si="40">E67+E68-E69</f>
        <v>2000</v>
      </c>
      <c r="F70" s="102">
        <f t="shared" si="40"/>
        <v>3100</v>
      </c>
      <c r="G70" s="102">
        <f t="shared" si="40"/>
        <v>4200</v>
      </c>
      <c r="H70" s="102">
        <f t="shared" si="40"/>
        <v>5300</v>
      </c>
      <c r="I70" s="4">
        <f t="shared" si="40"/>
        <v>6400</v>
      </c>
    </row>
    <row r="71" spans="3:9" x14ac:dyDescent="0.35">
      <c r="C71" s="56" t="s">
        <v>35</v>
      </c>
      <c r="D71" s="29">
        <f t="shared" ref="D71:I71" si="41">D56</f>
        <v>1500</v>
      </c>
      <c r="E71" s="29">
        <f t="shared" si="41"/>
        <v>1620</v>
      </c>
      <c r="F71" s="29">
        <f t="shared" si="41"/>
        <v>1750</v>
      </c>
      <c r="G71" s="29">
        <f t="shared" si="41"/>
        <v>1890</v>
      </c>
      <c r="H71" s="29">
        <f t="shared" si="41"/>
        <v>2040</v>
      </c>
      <c r="I71" s="5">
        <f t="shared" si="41"/>
        <v>2200</v>
      </c>
    </row>
    <row r="72" spans="3:9" x14ac:dyDescent="0.35">
      <c r="C72" s="56" t="s">
        <v>36</v>
      </c>
      <c r="D72" s="29">
        <f>D70*D71</f>
        <v>1500000</v>
      </c>
      <c r="E72" s="29">
        <f t="shared" ref="E72:I72" si="42">E70*E71</f>
        <v>3240000</v>
      </c>
      <c r="F72" s="29">
        <f t="shared" si="42"/>
        <v>5425000</v>
      </c>
      <c r="G72" s="29">
        <f t="shared" si="42"/>
        <v>7938000</v>
      </c>
      <c r="H72" s="29">
        <f t="shared" si="42"/>
        <v>10812000</v>
      </c>
      <c r="I72" s="5">
        <f t="shared" si="42"/>
        <v>14080000</v>
      </c>
    </row>
    <row r="73" spans="3:9" x14ac:dyDescent="0.35">
      <c r="C73" s="56"/>
      <c r="D73" s="29"/>
      <c r="E73" s="29"/>
      <c r="F73" s="29"/>
      <c r="G73" s="29"/>
      <c r="H73" s="29"/>
      <c r="I73" s="5"/>
    </row>
    <row r="74" spans="3:9" x14ac:dyDescent="0.35">
      <c r="C74" s="56"/>
      <c r="D74" s="29"/>
      <c r="E74" s="29"/>
      <c r="F74" s="29"/>
      <c r="G74" s="29"/>
      <c r="H74" s="29"/>
      <c r="I74" s="5"/>
    </row>
    <row r="75" spans="3:9" ht="13" x14ac:dyDescent="0.35">
      <c r="C75" s="136" t="str">
        <f>C59</f>
        <v>School Bag</v>
      </c>
      <c r="D75" s="29"/>
      <c r="E75" s="29"/>
      <c r="F75" s="29"/>
      <c r="G75" s="29"/>
      <c r="H75" s="29"/>
      <c r="I75" s="5"/>
    </row>
    <row r="76" spans="3:9" x14ac:dyDescent="0.35">
      <c r="C76" s="56" t="s">
        <v>32</v>
      </c>
      <c r="D76" s="29">
        <v>0</v>
      </c>
      <c r="E76" s="29">
        <f>D79</f>
        <v>300</v>
      </c>
      <c r="F76" s="29">
        <f t="shared" ref="F76:I76" si="43">E79</f>
        <v>600</v>
      </c>
      <c r="G76" s="29">
        <f t="shared" si="43"/>
        <v>1000</v>
      </c>
      <c r="H76" s="29">
        <f t="shared" si="43"/>
        <v>1500</v>
      </c>
      <c r="I76" s="5">
        <f t="shared" si="43"/>
        <v>2000</v>
      </c>
    </row>
    <row r="77" spans="3:9" x14ac:dyDescent="0.35">
      <c r="C77" s="56" t="s">
        <v>37</v>
      </c>
      <c r="D77" s="29">
        <f>D60</f>
        <v>1800</v>
      </c>
      <c r="E77" s="29">
        <f t="shared" ref="E77:I77" si="44">E60</f>
        <v>2000</v>
      </c>
      <c r="F77" s="29">
        <f t="shared" si="44"/>
        <v>2300</v>
      </c>
      <c r="G77" s="29">
        <f t="shared" si="44"/>
        <v>2600</v>
      </c>
      <c r="H77" s="29">
        <f t="shared" si="44"/>
        <v>2900</v>
      </c>
      <c r="I77" s="5">
        <f t="shared" si="44"/>
        <v>3300</v>
      </c>
    </row>
    <row r="78" spans="3:9" x14ac:dyDescent="0.35">
      <c r="C78" s="56" t="s">
        <v>33</v>
      </c>
      <c r="D78" s="29">
        <f t="shared" ref="D78:I78" si="45">D38</f>
        <v>1500</v>
      </c>
      <c r="E78" s="29">
        <f t="shared" si="45"/>
        <v>1700</v>
      </c>
      <c r="F78" s="29">
        <f t="shared" si="45"/>
        <v>1900</v>
      </c>
      <c r="G78" s="29">
        <f t="shared" si="45"/>
        <v>2100</v>
      </c>
      <c r="H78" s="29">
        <f t="shared" si="45"/>
        <v>2400</v>
      </c>
      <c r="I78" s="5">
        <f t="shared" si="45"/>
        <v>2700</v>
      </c>
    </row>
    <row r="79" spans="3:9" x14ac:dyDescent="0.35">
      <c r="C79" s="56" t="s">
        <v>34</v>
      </c>
      <c r="D79" s="102">
        <f>D76+D77-D78</f>
        <v>300</v>
      </c>
      <c r="E79" s="102">
        <f t="shared" ref="E79:I79" si="46">E76+E77-E78</f>
        <v>600</v>
      </c>
      <c r="F79" s="102">
        <f t="shared" si="46"/>
        <v>1000</v>
      </c>
      <c r="G79" s="102">
        <f t="shared" si="46"/>
        <v>1500</v>
      </c>
      <c r="H79" s="102">
        <f t="shared" si="46"/>
        <v>2000</v>
      </c>
      <c r="I79" s="4">
        <f t="shared" si="46"/>
        <v>2600</v>
      </c>
    </row>
    <row r="80" spans="3:9" x14ac:dyDescent="0.35">
      <c r="C80" s="56" t="s">
        <v>35</v>
      </c>
      <c r="D80" s="29">
        <f>D61</f>
        <v>500</v>
      </c>
      <c r="E80" s="29">
        <f t="shared" ref="E80:I80" si="47">E61</f>
        <v>540</v>
      </c>
      <c r="F80" s="29">
        <f t="shared" si="47"/>
        <v>580</v>
      </c>
      <c r="G80" s="29">
        <f t="shared" si="47"/>
        <v>630</v>
      </c>
      <c r="H80" s="29">
        <f t="shared" si="47"/>
        <v>680</v>
      </c>
      <c r="I80" s="5">
        <f t="shared" si="47"/>
        <v>730</v>
      </c>
    </row>
    <row r="81" spans="3:11" x14ac:dyDescent="0.35">
      <c r="C81" s="115" t="s">
        <v>36</v>
      </c>
      <c r="D81" s="106">
        <f>D79*D80</f>
        <v>150000</v>
      </c>
      <c r="E81" s="106">
        <f t="shared" ref="E81:I81" si="48">E79*E80</f>
        <v>324000</v>
      </c>
      <c r="F81" s="106">
        <f t="shared" si="48"/>
        <v>580000</v>
      </c>
      <c r="G81" s="106">
        <f t="shared" si="48"/>
        <v>945000</v>
      </c>
      <c r="H81" s="106">
        <f t="shared" si="48"/>
        <v>1360000</v>
      </c>
      <c r="I81" s="40">
        <f t="shared" si="48"/>
        <v>1898000</v>
      </c>
    </row>
    <row r="84" spans="3:11" x14ac:dyDescent="0.35">
      <c r="C84" s="101" t="s">
        <v>38</v>
      </c>
      <c r="D84" s="102"/>
      <c r="E84" s="102"/>
      <c r="F84" s="102"/>
      <c r="G84" s="102"/>
      <c r="H84" s="102"/>
      <c r="I84" s="4"/>
    </row>
    <row r="85" spans="3:11" x14ac:dyDescent="0.35">
      <c r="C85" s="56" t="str">
        <f>C66</f>
        <v>Office Bag</v>
      </c>
      <c r="D85" s="29">
        <f>D35*2%</f>
        <v>100000</v>
      </c>
      <c r="E85" s="29">
        <f t="shared" ref="E85:I85" si="49">E35*2%</f>
        <v>124200</v>
      </c>
      <c r="F85" s="29">
        <f t="shared" si="49"/>
        <v>151840</v>
      </c>
      <c r="G85" s="29">
        <f t="shared" si="49"/>
        <v>189000</v>
      </c>
      <c r="H85" s="29">
        <f t="shared" si="49"/>
        <v>238000</v>
      </c>
      <c r="I85" s="5">
        <f t="shared" si="49"/>
        <v>293600</v>
      </c>
    </row>
    <row r="86" spans="3:11" x14ac:dyDescent="0.35">
      <c r="C86" s="135" t="str">
        <f>C75</f>
        <v>School Bag</v>
      </c>
      <c r="D86" s="29">
        <f>D40*1%</f>
        <v>12000</v>
      </c>
      <c r="E86" s="29">
        <f t="shared" ref="E86:I86" si="50">E40*1%</f>
        <v>14620</v>
      </c>
      <c r="F86" s="29">
        <f t="shared" si="50"/>
        <v>17670</v>
      </c>
      <c r="G86" s="29">
        <f t="shared" si="50"/>
        <v>21000</v>
      </c>
      <c r="H86" s="29">
        <f t="shared" si="50"/>
        <v>25920</v>
      </c>
      <c r="I86" s="5">
        <f t="shared" si="50"/>
        <v>31590</v>
      </c>
    </row>
    <row r="87" spans="3:11" x14ac:dyDescent="0.35">
      <c r="C87" s="115" t="s">
        <v>6</v>
      </c>
      <c r="D87" s="106">
        <f>SUM(D85:D86)</f>
        <v>112000</v>
      </c>
      <c r="E87" s="106">
        <f t="shared" ref="E87:I87" si="51">SUM(E85:E86)</f>
        <v>138820</v>
      </c>
      <c r="F87" s="106">
        <f t="shared" si="51"/>
        <v>169510</v>
      </c>
      <c r="G87" s="106">
        <f t="shared" si="51"/>
        <v>210000</v>
      </c>
      <c r="H87" s="106">
        <f t="shared" si="51"/>
        <v>263920</v>
      </c>
      <c r="I87" s="40">
        <f t="shared" si="51"/>
        <v>325190</v>
      </c>
    </row>
    <row r="89" spans="3:11" x14ac:dyDescent="0.35">
      <c r="C89" s="101" t="s">
        <v>39</v>
      </c>
      <c r="D89" s="102"/>
      <c r="E89" s="102"/>
      <c r="F89" s="102"/>
      <c r="G89" s="102"/>
      <c r="H89" s="102"/>
      <c r="I89" s="4"/>
    </row>
    <row r="90" spans="3:11" x14ac:dyDescent="0.35">
      <c r="C90" s="115" t="s">
        <v>40</v>
      </c>
      <c r="D90" s="106">
        <f>D7*1%</f>
        <v>62000</v>
      </c>
      <c r="E90" s="106">
        <f t="shared" ref="E90:I90" si="52">E7*1%</f>
        <v>76720</v>
      </c>
      <c r="F90" s="106">
        <f t="shared" si="52"/>
        <v>93590</v>
      </c>
      <c r="G90" s="106">
        <f t="shared" si="52"/>
        <v>115500</v>
      </c>
      <c r="H90" s="106">
        <f t="shared" si="52"/>
        <v>144920</v>
      </c>
      <c r="I90" s="106">
        <f t="shared" si="52"/>
        <v>178390</v>
      </c>
    </row>
    <row r="93" spans="3:11" x14ac:dyDescent="0.35">
      <c r="C93" s="101" t="s">
        <v>41</v>
      </c>
      <c r="D93" s="102"/>
      <c r="E93" s="102"/>
      <c r="F93" s="102"/>
      <c r="G93" s="102"/>
      <c r="H93" s="102"/>
      <c r="I93" s="4"/>
      <c r="K93" s="116"/>
    </row>
    <row r="94" spans="3:11" x14ac:dyDescent="0.35">
      <c r="C94" s="103" t="s">
        <v>45</v>
      </c>
      <c r="D94" s="29"/>
      <c r="E94" s="29"/>
      <c r="F94" s="29"/>
      <c r="G94" s="29"/>
      <c r="H94" s="29"/>
      <c r="I94" s="5"/>
    </row>
    <row r="95" spans="3:11" x14ac:dyDescent="0.35">
      <c r="C95" s="56" t="s">
        <v>42</v>
      </c>
      <c r="D95" s="29">
        <v>0</v>
      </c>
      <c r="E95" s="29">
        <f>D100</f>
        <v>2250000</v>
      </c>
      <c r="F95" s="29">
        <f t="shared" ref="F95:I95" si="53">E100</f>
        <v>2025000</v>
      </c>
      <c r="G95" s="29">
        <f t="shared" si="53"/>
        <v>1822500</v>
      </c>
      <c r="H95" s="29">
        <f t="shared" si="53"/>
        <v>1640200</v>
      </c>
      <c r="I95" s="29">
        <f t="shared" si="53"/>
        <v>1476200</v>
      </c>
    </row>
    <row r="96" spans="3:11" x14ac:dyDescent="0.35">
      <c r="C96" s="56" t="s">
        <v>27</v>
      </c>
      <c r="D96" s="29">
        <v>2500000</v>
      </c>
      <c r="E96" s="29">
        <v>0</v>
      </c>
      <c r="F96" s="29">
        <v>0</v>
      </c>
      <c r="G96" s="29">
        <v>0</v>
      </c>
      <c r="H96" s="29">
        <v>0</v>
      </c>
      <c r="I96" s="5">
        <v>0</v>
      </c>
    </row>
    <row r="97" spans="2:16" x14ac:dyDescent="0.35">
      <c r="C97" s="56" t="s">
        <v>0</v>
      </c>
      <c r="D97" s="29">
        <v>0</v>
      </c>
      <c r="E97" s="29">
        <v>0</v>
      </c>
      <c r="F97" s="29">
        <v>0</v>
      </c>
      <c r="G97" s="29">
        <v>0</v>
      </c>
      <c r="H97" s="29">
        <v>0</v>
      </c>
      <c r="I97" s="5"/>
    </row>
    <row r="98" spans="2:16" x14ac:dyDescent="0.35">
      <c r="C98" s="56" t="s">
        <v>43</v>
      </c>
      <c r="D98" s="29">
        <f>D95+D96-D97</f>
        <v>2500000</v>
      </c>
      <c r="E98" s="29">
        <f t="shared" ref="E98:I98" si="54">E95+E96-E97</f>
        <v>2250000</v>
      </c>
      <c r="F98" s="29">
        <f t="shared" si="54"/>
        <v>2025000</v>
      </c>
      <c r="G98" s="29">
        <f t="shared" si="54"/>
        <v>1822500</v>
      </c>
      <c r="H98" s="29">
        <f t="shared" si="54"/>
        <v>1640200</v>
      </c>
      <c r="I98" s="5">
        <f t="shared" si="54"/>
        <v>1476200</v>
      </c>
      <c r="K98" s="116"/>
    </row>
    <row r="99" spans="2:16" x14ac:dyDescent="0.35">
      <c r="B99" s="1" t="s">
        <v>56</v>
      </c>
      <c r="C99" s="56" t="s">
        <v>46</v>
      </c>
      <c r="D99" s="29">
        <f>ROUND(D98*10%,-2)</f>
        <v>250000</v>
      </c>
      <c r="E99" s="29">
        <f t="shared" ref="E99:I99" si="55">ROUND(E98*10%,-2)</f>
        <v>225000</v>
      </c>
      <c r="F99" s="29">
        <f t="shared" si="55"/>
        <v>202500</v>
      </c>
      <c r="G99" s="29">
        <f t="shared" si="55"/>
        <v>182300</v>
      </c>
      <c r="H99" s="29">
        <f t="shared" si="55"/>
        <v>164000</v>
      </c>
      <c r="I99" s="29">
        <f t="shared" si="55"/>
        <v>147600</v>
      </c>
    </row>
    <row r="100" spans="2:16" x14ac:dyDescent="0.35">
      <c r="C100" s="56" t="s">
        <v>44</v>
      </c>
      <c r="D100" s="29">
        <f>D98-D99</f>
        <v>2250000</v>
      </c>
      <c r="E100" s="29">
        <f t="shared" ref="E100:I100" si="56">E98-E99</f>
        <v>2025000</v>
      </c>
      <c r="F100" s="29">
        <f t="shared" si="56"/>
        <v>1822500</v>
      </c>
      <c r="G100" s="29">
        <f t="shared" si="56"/>
        <v>1640200</v>
      </c>
      <c r="H100" s="29">
        <f t="shared" si="56"/>
        <v>1476200</v>
      </c>
      <c r="I100" s="5">
        <f t="shared" si="56"/>
        <v>1328600</v>
      </c>
    </row>
    <row r="101" spans="2:16" x14ac:dyDescent="0.35">
      <c r="C101" s="56"/>
      <c r="D101" s="29"/>
      <c r="E101" s="29"/>
      <c r="F101" s="29"/>
      <c r="G101" s="29"/>
      <c r="H101" s="29"/>
      <c r="I101" s="5"/>
    </row>
    <row r="102" spans="2:16" x14ac:dyDescent="0.35">
      <c r="C102" s="56"/>
      <c r="D102" s="29"/>
      <c r="E102" s="29"/>
      <c r="F102" s="29"/>
      <c r="G102" s="29"/>
      <c r="H102" s="29"/>
      <c r="I102" s="5"/>
    </row>
    <row r="103" spans="2:16" x14ac:dyDescent="0.35">
      <c r="C103" s="103" t="s">
        <v>426</v>
      </c>
      <c r="D103" s="29"/>
      <c r="E103" s="29"/>
      <c r="F103" s="29"/>
      <c r="G103" s="29"/>
      <c r="H103" s="29"/>
      <c r="I103" s="5"/>
    </row>
    <row r="104" spans="2:16" x14ac:dyDescent="0.35">
      <c r="C104" s="56" t="s">
        <v>42</v>
      </c>
      <c r="D104" s="29">
        <v>0</v>
      </c>
      <c r="E104" s="29">
        <f>D109</f>
        <v>720000</v>
      </c>
      <c r="F104" s="29">
        <f t="shared" ref="F104:I104" si="57">E109</f>
        <v>648000</v>
      </c>
      <c r="G104" s="29">
        <f t="shared" si="57"/>
        <v>763200</v>
      </c>
      <c r="H104" s="29">
        <f t="shared" si="57"/>
        <v>686900</v>
      </c>
      <c r="I104" s="5">
        <f t="shared" si="57"/>
        <v>618200</v>
      </c>
      <c r="K104" s="13"/>
    </row>
    <row r="105" spans="2:16" x14ac:dyDescent="0.35">
      <c r="C105" s="56" t="s">
        <v>27</v>
      </c>
      <c r="D105" s="29">
        <v>800000</v>
      </c>
      <c r="E105" s="29">
        <v>0</v>
      </c>
      <c r="F105" s="29">
        <v>200000</v>
      </c>
      <c r="G105" s="29">
        <v>0</v>
      </c>
      <c r="H105" s="29">
        <v>0</v>
      </c>
      <c r="I105" s="5">
        <v>0</v>
      </c>
    </row>
    <row r="106" spans="2:16" x14ac:dyDescent="0.35">
      <c r="C106" s="56" t="s">
        <v>0</v>
      </c>
      <c r="D106" s="29">
        <v>0</v>
      </c>
      <c r="E106" s="29">
        <v>0</v>
      </c>
      <c r="F106" s="29">
        <v>0</v>
      </c>
      <c r="G106" s="29">
        <v>0</v>
      </c>
      <c r="H106" s="29">
        <v>0</v>
      </c>
      <c r="I106" s="5">
        <v>0</v>
      </c>
    </row>
    <row r="107" spans="2:16" x14ac:dyDescent="0.35">
      <c r="C107" s="56" t="s">
        <v>43</v>
      </c>
      <c r="D107" s="29">
        <f>D104+D105-D106</f>
        <v>800000</v>
      </c>
      <c r="E107" s="29">
        <f t="shared" ref="E107:I107" si="58">E104+E105-E106</f>
        <v>720000</v>
      </c>
      <c r="F107" s="29">
        <f t="shared" si="58"/>
        <v>848000</v>
      </c>
      <c r="G107" s="29">
        <f t="shared" si="58"/>
        <v>763200</v>
      </c>
      <c r="H107" s="29">
        <f t="shared" si="58"/>
        <v>686900</v>
      </c>
      <c r="I107" s="5">
        <f t="shared" si="58"/>
        <v>618200</v>
      </c>
    </row>
    <row r="108" spans="2:16" x14ac:dyDescent="0.35">
      <c r="B108" s="1" t="s">
        <v>56</v>
      </c>
      <c r="C108" s="56" t="s">
        <v>46</v>
      </c>
      <c r="D108" s="29">
        <f>ROUND(D107*10%,-2)</f>
        <v>80000</v>
      </c>
      <c r="E108" s="29">
        <f t="shared" ref="E108:I108" si="59">ROUND(E107*10%,-2)</f>
        <v>72000</v>
      </c>
      <c r="F108" s="29">
        <f t="shared" si="59"/>
        <v>84800</v>
      </c>
      <c r="G108" s="29">
        <f t="shared" si="59"/>
        <v>76300</v>
      </c>
      <c r="H108" s="29">
        <f t="shared" si="59"/>
        <v>68700</v>
      </c>
      <c r="I108" s="29">
        <f t="shared" si="59"/>
        <v>61800</v>
      </c>
    </row>
    <row r="109" spans="2:16" x14ac:dyDescent="0.35">
      <c r="C109" s="115" t="s">
        <v>44</v>
      </c>
      <c r="D109" s="106">
        <f>D107-D108</f>
        <v>720000</v>
      </c>
      <c r="E109" s="106">
        <f t="shared" ref="E109:I109" si="60">E107-E108</f>
        <v>648000</v>
      </c>
      <c r="F109" s="106">
        <f t="shared" si="60"/>
        <v>763200</v>
      </c>
      <c r="G109" s="106">
        <f t="shared" si="60"/>
        <v>686900</v>
      </c>
      <c r="H109" s="106">
        <f t="shared" si="60"/>
        <v>618200</v>
      </c>
      <c r="I109" s="40">
        <f t="shared" si="60"/>
        <v>556400</v>
      </c>
    </row>
    <row r="111" spans="2:16" x14ac:dyDescent="0.35">
      <c r="C111" s="30"/>
      <c r="K111" s="30"/>
      <c r="L111" s="30"/>
      <c r="M111" s="30"/>
      <c r="N111" s="30"/>
      <c r="O111" s="30"/>
      <c r="P111" s="30"/>
    </row>
    <row r="113" spans="3:9" x14ac:dyDescent="0.35">
      <c r="C113" s="101" t="s">
        <v>47</v>
      </c>
      <c r="D113" s="102"/>
      <c r="E113" s="102"/>
      <c r="F113" s="102"/>
      <c r="G113" s="102"/>
      <c r="H113" s="102"/>
      <c r="I113" s="4"/>
    </row>
    <row r="114" spans="3:9" x14ac:dyDescent="0.35">
      <c r="C114" s="56" t="s">
        <v>48</v>
      </c>
      <c r="D114" s="29"/>
      <c r="E114" s="29"/>
      <c r="F114" s="29"/>
      <c r="G114" s="29"/>
      <c r="H114" s="29"/>
      <c r="I114" s="5"/>
    </row>
    <row r="115" spans="3:9" x14ac:dyDescent="0.35">
      <c r="C115" s="56" t="s">
        <v>42</v>
      </c>
      <c r="D115" s="29">
        <v>0</v>
      </c>
      <c r="E115" s="29">
        <f>D118</f>
        <v>4000000</v>
      </c>
      <c r="F115" s="29">
        <f t="shared" ref="F115:I115" si="61">E118</f>
        <v>3200000</v>
      </c>
      <c r="G115" s="29">
        <f t="shared" si="61"/>
        <v>2400000</v>
      </c>
      <c r="H115" s="29">
        <f t="shared" si="61"/>
        <v>1600000</v>
      </c>
      <c r="I115" s="5">
        <f t="shared" si="61"/>
        <v>800000</v>
      </c>
    </row>
    <row r="116" spans="3:9" x14ac:dyDescent="0.35">
      <c r="C116" s="56" t="s">
        <v>49</v>
      </c>
      <c r="D116" s="29">
        <v>4000000</v>
      </c>
      <c r="E116" s="29"/>
      <c r="F116" s="29"/>
      <c r="G116" s="29"/>
      <c r="H116" s="29"/>
      <c r="I116" s="5"/>
    </row>
    <row r="117" spans="3:9" x14ac:dyDescent="0.35">
      <c r="C117" s="56" t="s">
        <v>50</v>
      </c>
      <c r="D117" s="29">
        <v>0</v>
      </c>
      <c r="E117" s="29">
        <f>D116/5</f>
        <v>800000</v>
      </c>
      <c r="F117" s="29">
        <f>E117</f>
        <v>800000</v>
      </c>
      <c r="G117" s="29">
        <f>F117</f>
        <v>800000</v>
      </c>
      <c r="H117" s="29">
        <f>G117</f>
        <v>800000</v>
      </c>
      <c r="I117" s="5">
        <f>H117</f>
        <v>800000</v>
      </c>
    </row>
    <row r="118" spans="3:9" x14ac:dyDescent="0.35">
      <c r="C118" s="56" t="s">
        <v>43</v>
      </c>
      <c r="D118" s="29">
        <f>D115+D116-D117</f>
        <v>4000000</v>
      </c>
      <c r="E118" s="29">
        <f t="shared" ref="E118:I118" si="62">E115+E116-E117</f>
        <v>3200000</v>
      </c>
      <c r="F118" s="29">
        <f t="shared" si="62"/>
        <v>2400000</v>
      </c>
      <c r="G118" s="29">
        <f t="shared" si="62"/>
        <v>1600000</v>
      </c>
      <c r="H118" s="29">
        <f t="shared" si="62"/>
        <v>800000</v>
      </c>
      <c r="I118" s="5">
        <f t="shared" si="62"/>
        <v>0</v>
      </c>
    </row>
    <row r="119" spans="3:9" x14ac:dyDescent="0.35">
      <c r="C119" s="56" t="s">
        <v>51</v>
      </c>
      <c r="D119" s="29">
        <f>D118*8%</f>
        <v>320000</v>
      </c>
      <c r="E119" s="29">
        <f t="shared" ref="E119:I119" si="63">E118*8%</f>
        <v>256000</v>
      </c>
      <c r="F119" s="29">
        <f t="shared" si="63"/>
        <v>192000</v>
      </c>
      <c r="G119" s="29">
        <f t="shared" si="63"/>
        <v>128000</v>
      </c>
      <c r="H119" s="29">
        <f t="shared" si="63"/>
        <v>64000</v>
      </c>
      <c r="I119" s="5">
        <f t="shared" si="63"/>
        <v>0</v>
      </c>
    </row>
    <row r="120" spans="3:9" x14ac:dyDescent="0.35">
      <c r="C120" s="56"/>
      <c r="D120" s="29"/>
      <c r="E120" s="29"/>
      <c r="F120" s="29"/>
      <c r="G120" s="29"/>
      <c r="H120" s="29"/>
      <c r="I120" s="5"/>
    </row>
    <row r="121" spans="3:9" x14ac:dyDescent="0.35">
      <c r="C121" s="56" t="s">
        <v>141</v>
      </c>
      <c r="D121" s="29"/>
      <c r="E121" s="29"/>
      <c r="F121" s="29"/>
      <c r="G121" s="29"/>
      <c r="H121" s="29"/>
      <c r="I121" s="5"/>
    </row>
    <row r="122" spans="3:9" x14ac:dyDescent="0.35">
      <c r="C122" s="56" t="s">
        <v>42</v>
      </c>
      <c r="D122" s="29">
        <v>0</v>
      </c>
      <c r="E122" s="29">
        <f>D125</f>
        <v>0</v>
      </c>
      <c r="F122" s="29">
        <f t="shared" ref="F122:I122" si="64">E125</f>
        <v>1000000</v>
      </c>
      <c r="G122" s="29">
        <f t="shared" si="64"/>
        <v>1000000</v>
      </c>
      <c r="H122" s="29">
        <f t="shared" si="64"/>
        <v>1000000</v>
      </c>
      <c r="I122" s="5">
        <f t="shared" si="64"/>
        <v>0</v>
      </c>
    </row>
    <row r="123" spans="3:9" x14ac:dyDescent="0.35">
      <c r="C123" s="56" t="s">
        <v>49</v>
      </c>
      <c r="D123" s="29">
        <v>0</v>
      </c>
      <c r="E123" s="29">
        <v>1000000</v>
      </c>
      <c r="F123" s="29">
        <v>0</v>
      </c>
      <c r="G123" s="29">
        <v>0</v>
      </c>
      <c r="H123" s="29">
        <v>0</v>
      </c>
      <c r="I123" s="5">
        <v>0</v>
      </c>
    </row>
    <row r="124" spans="3:9" x14ac:dyDescent="0.35">
      <c r="C124" s="56" t="s">
        <v>50</v>
      </c>
      <c r="D124" s="29">
        <v>0</v>
      </c>
      <c r="E124" s="29"/>
      <c r="F124" s="29"/>
      <c r="G124" s="29"/>
      <c r="H124" s="29">
        <v>1000000</v>
      </c>
      <c r="I124" s="5"/>
    </row>
    <row r="125" spans="3:9" x14ac:dyDescent="0.35">
      <c r="C125" s="56" t="s">
        <v>43</v>
      </c>
      <c r="D125" s="29">
        <f>D122+D123-D124</f>
        <v>0</v>
      </c>
      <c r="E125" s="29">
        <f t="shared" ref="E125:I125" si="65">E122+E123-E124</f>
        <v>1000000</v>
      </c>
      <c r="F125" s="29">
        <f t="shared" si="65"/>
        <v>1000000</v>
      </c>
      <c r="G125" s="29">
        <f t="shared" si="65"/>
        <v>1000000</v>
      </c>
      <c r="H125" s="29">
        <f t="shared" si="65"/>
        <v>0</v>
      </c>
      <c r="I125" s="5">
        <f t="shared" si="65"/>
        <v>0</v>
      </c>
    </row>
    <row r="126" spans="3:9" x14ac:dyDescent="0.35">
      <c r="C126" s="56" t="s">
        <v>51</v>
      </c>
      <c r="D126" s="29">
        <f>D125*8%</f>
        <v>0</v>
      </c>
      <c r="E126" s="29">
        <f t="shared" ref="E126:I126" si="66">E125*8%</f>
        <v>80000</v>
      </c>
      <c r="F126" s="29">
        <f t="shared" si="66"/>
        <v>80000</v>
      </c>
      <c r="G126" s="29">
        <f t="shared" si="66"/>
        <v>80000</v>
      </c>
      <c r="H126" s="29">
        <f t="shared" si="66"/>
        <v>0</v>
      </c>
      <c r="I126" s="5">
        <f t="shared" si="66"/>
        <v>0</v>
      </c>
    </row>
    <row r="127" spans="3:9" x14ac:dyDescent="0.35">
      <c r="C127" s="56"/>
      <c r="D127" s="29"/>
      <c r="E127" s="29"/>
      <c r="F127" s="29"/>
      <c r="G127" s="29"/>
      <c r="H127" s="29"/>
      <c r="I127" s="5"/>
    </row>
    <row r="128" spans="3:9" x14ac:dyDescent="0.35">
      <c r="C128" s="115" t="s">
        <v>52</v>
      </c>
      <c r="D128" s="106">
        <f>D119+D126</f>
        <v>320000</v>
      </c>
      <c r="E128" s="106">
        <f t="shared" ref="E128:I128" si="67">E119+E126</f>
        <v>336000</v>
      </c>
      <c r="F128" s="106">
        <f t="shared" si="67"/>
        <v>272000</v>
      </c>
      <c r="G128" s="106">
        <f t="shared" si="67"/>
        <v>208000</v>
      </c>
      <c r="H128" s="106">
        <f t="shared" si="67"/>
        <v>64000</v>
      </c>
      <c r="I128" s="40">
        <f t="shared" si="67"/>
        <v>0</v>
      </c>
    </row>
    <row r="131" spans="2:9" x14ac:dyDescent="0.35">
      <c r="C131" s="101" t="s">
        <v>53</v>
      </c>
      <c r="D131" s="102"/>
      <c r="E131" s="102"/>
      <c r="F131" s="102"/>
      <c r="G131" s="102"/>
      <c r="H131" s="102"/>
      <c r="I131" s="4"/>
    </row>
    <row r="132" spans="2:9" x14ac:dyDescent="0.35">
      <c r="C132" s="56" t="s">
        <v>13</v>
      </c>
      <c r="D132" s="29">
        <f>D23</f>
        <v>1776000</v>
      </c>
      <c r="E132" s="29">
        <f t="shared" ref="E132:I132" si="68">E23</f>
        <v>2479460</v>
      </c>
      <c r="F132" s="29">
        <f t="shared" si="68"/>
        <v>3354600</v>
      </c>
      <c r="G132" s="29">
        <f t="shared" si="68"/>
        <v>4493700</v>
      </c>
      <c r="H132" s="29">
        <f t="shared" si="68"/>
        <v>6297860</v>
      </c>
      <c r="I132" s="5">
        <f t="shared" si="68"/>
        <v>7434220</v>
      </c>
    </row>
    <row r="133" spans="2:9" x14ac:dyDescent="0.35">
      <c r="C133" s="56" t="s">
        <v>54</v>
      </c>
      <c r="D133" s="117">
        <v>0.22</v>
      </c>
      <c r="E133" s="117">
        <f>D133</f>
        <v>0.22</v>
      </c>
      <c r="F133" s="117">
        <f t="shared" ref="F133:I133" si="69">E133</f>
        <v>0.22</v>
      </c>
      <c r="G133" s="117">
        <f t="shared" si="69"/>
        <v>0.22</v>
      </c>
      <c r="H133" s="117">
        <f t="shared" si="69"/>
        <v>0.22</v>
      </c>
      <c r="I133" s="118">
        <f t="shared" si="69"/>
        <v>0.22</v>
      </c>
    </row>
    <row r="134" spans="2:9" x14ac:dyDescent="0.35">
      <c r="B134" s="1" t="s">
        <v>56</v>
      </c>
      <c r="C134" s="115" t="s">
        <v>55</v>
      </c>
      <c r="D134" s="106">
        <f>ROUND(D132*D133,-2)</f>
        <v>390700</v>
      </c>
      <c r="E134" s="106">
        <f t="shared" ref="E134:I134" si="70">ROUND(E132*E133,-2)</f>
        <v>545500</v>
      </c>
      <c r="F134" s="106">
        <f t="shared" si="70"/>
        <v>738000</v>
      </c>
      <c r="G134" s="106">
        <f t="shared" si="70"/>
        <v>988600</v>
      </c>
      <c r="H134" s="106">
        <f t="shared" si="70"/>
        <v>1385500</v>
      </c>
      <c r="I134" s="40">
        <f t="shared" si="70"/>
        <v>1635500</v>
      </c>
    </row>
    <row r="137" spans="2:9" x14ac:dyDescent="0.35">
      <c r="C137" s="101" t="s">
        <v>61</v>
      </c>
      <c r="D137" s="102"/>
      <c r="E137" s="102"/>
      <c r="F137" s="102"/>
      <c r="G137" s="102"/>
      <c r="H137" s="102"/>
      <c r="I137" s="4"/>
    </row>
    <row r="138" spans="2:9" x14ac:dyDescent="0.35">
      <c r="C138" s="56" t="s">
        <v>62</v>
      </c>
      <c r="D138" s="29"/>
      <c r="E138" s="29"/>
      <c r="F138" s="29"/>
      <c r="G138" s="29"/>
      <c r="H138" s="29"/>
      <c r="I138" s="5"/>
    </row>
    <row r="139" spans="2:9" x14ac:dyDescent="0.35">
      <c r="C139" s="56" t="s">
        <v>42</v>
      </c>
      <c r="D139" s="29">
        <f>0</f>
        <v>0</v>
      </c>
      <c r="E139" s="29">
        <f>D141</f>
        <v>300000</v>
      </c>
      <c r="F139" s="29">
        <f t="shared" ref="F139:I139" si="71">E141</f>
        <v>300000</v>
      </c>
      <c r="G139" s="29">
        <f t="shared" si="71"/>
        <v>300000</v>
      </c>
      <c r="H139" s="29">
        <f t="shared" si="71"/>
        <v>300000</v>
      </c>
      <c r="I139" s="5">
        <f t="shared" si="71"/>
        <v>300000</v>
      </c>
    </row>
    <row r="140" spans="2:9" x14ac:dyDescent="0.35">
      <c r="C140" s="56" t="s">
        <v>63</v>
      </c>
      <c r="D140" s="29">
        <v>300000</v>
      </c>
      <c r="E140" s="29">
        <f>0</f>
        <v>0</v>
      </c>
      <c r="F140" s="29">
        <f>0</f>
        <v>0</v>
      </c>
      <c r="G140" s="29">
        <f>0</f>
        <v>0</v>
      </c>
      <c r="H140" s="29">
        <f>0</f>
        <v>0</v>
      </c>
      <c r="I140" s="5">
        <f>0</f>
        <v>0</v>
      </c>
    </row>
    <row r="141" spans="2:9" x14ac:dyDescent="0.35">
      <c r="C141" s="56" t="s">
        <v>43</v>
      </c>
      <c r="D141" s="29">
        <f>D139+D140</f>
        <v>300000</v>
      </c>
      <c r="E141" s="29">
        <f t="shared" ref="E141:I141" si="72">E139+E140</f>
        <v>300000</v>
      </c>
      <c r="F141" s="29">
        <f t="shared" si="72"/>
        <v>300000</v>
      </c>
      <c r="G141" s="29">
        <f t="shared" si="72"/>
        <v>300000</v>
      </c>
      <c r="H141" s="29">
        <f t="shared" si="72"/>
        <v>300000</v>
      </c>
      <c r="I141" s="5">
        <f t="shared" si="72"/>
        <v>300000</v>
      </c>
    </row>
    <row r="142" spans="2:9" x14ac:dyDescent="0.35">
      <c r="C142" s="56" t="s">
        <v>64</v>
      </c>
      <c r="D142" s="29">
        <v>10</v>
      </c>
      <c r="E142" s="29">
        <v>10</v>
      </c>
      <c r="F142" s="29">
        <v>10</v>
      </c>
      <c r="G142" s="29">
        <v>10</v>
      </c>
      <c r="H142" s="29">
        <v>10</v>
      </c>
      <c r="I142" s="5">
        <v>10</v>
      </c>
    </row>
    <row r="143" spans="2:9" x14ac:dyDescent="0.35">
      <c r="C143" s="56" t="s">
        <v>61</v>
      </c>
      <c r="D143" s="29">
        <f>D141*D142</f>
        <v>3000000</v>
      </c>
      <c r="E143" s="29">
        <f t="shared" ref="E143:I143" si="73">E141*E142</f>
        <v>3000000</v>
      </c>
      <c r="F143" s="29">
        <f t="shared" si="73"/>
        <v>3000000</v>
      </c>
      <c r="G143" s="29">
        <f t="shared" si="73"/>
        <v>3000000</v>
      </c>
      <c r="H143" s="29">
        <f t="shared" si="73"/>
        <v>3000000</v>
      </c>
      <c r="I143" s="5">
        <f t="shared" si="73"/>
        <v>3000000</v>
      </c>
    </row>
    <row r="144" spans="2:9" x14ac:dyDescent="0.35">
      <c r="C144" s="56" t="s">
        <v>25</v>
      </c>
      <c r="D144" s="119">
        <v>0.5</v>
      </c>
      <c r="E144" s="119">
        <f>D144*110%</f>
        <v>0.55000000000000004</v>
      </c>
      <c r="F144" s="119">
        <f t="shared" ref="F144:I144" si="74">E144*110%</f>
        <v>0.60500000000000009</v>
      </c>
      <c r="G144" s="119">
        <f t="shared" si="74"/>
        <v>0.6655000000000002</v>
      </c>
      <c r="H144" s="119">
        <f t="shared" si="74"/>
        <v>0.73205000000000031</v>
      </c>
      <c r="I144" s="120">
        <f t="shared" si="74"/>
        <v>0.80525500000000039</v>
      </c>
    </row>
    <row r="145" spans="3:9" x14ac:dyDescent="0.35">
      <c r="C145" s="115" t="s">
        <v>65</v>
      </c>
      <c r="D145" s="106">
        <f>D141*D144</f>
        <v>150000</v>
      </c>
      <c r="E145" s="106">
        <f t="shared" ref="E145:I145" si="75">E141*E144</f>
        <v>165000</v>
      </c>
      <c r="F145" s="106">
        <f t="shared" si="75"/>
        <v>181500.00000000003</v>
      </c>
      <c r="G145" s="106">
        <f t="shared" si="75"/>
        <v>199650.00000000006</v>
      </c>
      <c r="H145" s="106">
        <f t="shared" si="75"/>
        <v>219615.00000000009</v>
      </c>
      <c r="I145" s="40">
        <f t="shared" si="75"/>
        <v>241576.50000000012</v>
      </c>
    </row>
    <row r="146" spans="3:9" x14ac:dyDescent="0.35">
      <c r="E146" s="77"/>
      <c r="F146" s="77"/>
      <c r="G146" s="77"/>
      <c r="H146" s="77"/>
      <c r="I146" s="77"/>
    </row>
    <row r="148" spans="3:9" x14ac:dyDescent="0.35">
      <c r="C148" s="101" t="s">
        <v>98</v>
      </c>
      <c r="D148" s="102"/>
      <c r="E148" s="102"/>
      <c r="F148" s="102"/>
      <c r="G148" s="102"/>
      <c r="H148" s="102"/>
      <c r="I148" s="4"/>
    </row>
    <row r="149" spans="3:9" x14ac:dyDescent="0.35">
      <c r="C149" s="56" t="s">
        <v>99</v>
      </c>
      <c r="D149" s="29"/>
      <c r="E149" s="29"/>
      <c r="F149" s="29"/>
      <c r="G149" s="29"/>
      <c r="H149" s="29"/>
      <c r="I149" s="5"/>
    </row>
    <row r="150" spans="3:9" x14ac:dyDescent="0.35">
      <c r="C150" s="56" t="s">
        <v>100</v>
      </c>
      <c r="D150" s="29"/>
      <c r="E150" s="29"/>
      <c r="F150" s="29"/>
      <c r="G150" s="29"/>
      <c r="H150" s="29"/>
      <c r="I150" s="5"/>
    </row>
    <row r="151" spans="3:9" x14ac:dyDescent="0.35">
      <c r="C151" s="56" t="s">
        <v>104</v>
      </c>
      <c r="D151" s="29">
        <v>0</v>
      </c>
      <c r="E151" s="29">
        <f>D154</f>
        <v>6000</v>
      </c>
      <c r="F151" s="29">
        <f t="shared" ref="F151:I151" si="76">E154</f>
        <v>6000</v>
      </c>
      <c r="G151" s="29">
        <f t="shared" si="76"/>
        <v>6000</v>
      </c>
      <c r="H151" s="29">
        <f t="shared" si="76"/>
        <v>7200</v>
      </c>
      <c r="I151" s="5">
        <f t="shared" si="76"/>
        <v>3200</v>
      </c>
    </row>
    <row r="152" spans="3:9" x14ac:dyDescent="0.35">
      <c r="C152" s="56" t="s">
        <v>105</v>
      </c>
      <c r="D152" s="29">
        <v>6000</v>
      </c>
      <c r="E152" s="29"/>
      <c r="F152" s="29"/>
      <c r="G152" s="29">
        <v>1200</v>
      </c>
      <c r="H152" s="29"/>
      <c r="I152" s="5"/>
    </row>
    <row r="153" spans="3:9" x14ac:dyDescent="0.35">
      <c r="C153" s="56" t="s">
        <v>106</v>
      </c>
      <c r="D153" s="29">
        <v>0</v>
      </c>
      <c r="E153" s="29">
        <v>0</v>
      </c>
      <c r="F153" s="29">
        <v>0</v>
      </c>
      <c r="G153" s="29">
        <v>0</v>
      </c>
      <c r="H153" s="29">
        <v>4000</v>
      </c>
      <c r="I153" s="5"/>
    </row>
    <row r="154" spans="3:9" x14ac:dyDescent="0.35">
      <c r="C154" s="56" t="s">
        <v>107</v>
      </c>
      <c r="D154" s="29">
        <f>D151+D152-D153</f>
        <v>6000</v>
      </c>
      <c r="E154" s="29">
        <f t="shared" ref="E154:I154" si="77">E151+E152-E153</f>
        <v>6000</v>
      </c>
      <c r="F154" s="29">
        <f t="shared" si="77"/>
        <v>6000</v>
      </c>
      <c r="G154" s="29">
        <f t="shared" si="77"/>
        <v>7200</v>
      </c>
      <c r="H154" s="29">
        <f t="shared" si="77"/>
        <v>3200</v>
      </c>
      <c r="I154" s="5">
        <f t="shared" si="77"/>
        <v>3200</v>
      </c>
    </row>
    <row r="155" spans="3:9" x14ac:dyDescent="0.35">
      <c r="C155" s="56" t="s">
        <v>110</v>
      </c>
      <c r="D155" s="29">
        <v>60</v>
      </c>
      <c r="E155" s="29">
        <f>D155</f>
        <v>60</v>
      </c>
      <c r="F155" s="29">
        <f>E155</f>
        <v>60</v>
      </c>
      <c r="G155" s="29">
        <v>135</v>
      </c>
      <c r="H155" s="29">
        <v>175</v>
      </c>
      <c r="I155" s="5">
        <v>80</v>
      </c>
    </row>
    <row r="156" spans="3:9" x14ac:dyDescent="0.35">
      <c r="C156" s="56"/>
      <c r="D156" s="29"/>
      <c r="E156" s="29"/>
      <c r="F156" s="29"/>
      <c r="G156" s="29"/>
      <c r="H156" s="29"/>
      <c r="I156" s="5"/>
    </row>
    <row r="157" spans="3:9" x14ac:dyDescent="0.35">
      <c r="C157" s="103" t="s">
        <v>101</v>
      </c>
      <c r="D157" s="29"/>
      <c r="E157" s="29"/>
      <c r="F157" s="29"/>
      <c r="G157" s="29"/>
      <c r="H157" s="29"/>
      <c r="I157" s="5"/>
    </row>
    <row r="158" spans="3:9" x14ac:dyDescent="0.35">
      <c r="C158" s="56" t="s">
        <v>108</v>
      </c>
      <c r="D158" s="29">
        <v>0</v>
      </c>
      <c r="E158" s="29">
        <f>D161</f>
        <v>360000</v>
      </c>
      <c r="F158" s="29">
        <f t="shared" ref="F158:I158" si="78">E161</f>
        <v>360000</v>
      </c>
      <c r="G158" s="29">
        <f t="shared" si="78"/>
        <v>360000</v>
      </c>
      <c r="H158" s="29">
        <f t="shared" si="78"/>
        <v>522000</v>
      </c>
      <c r="I158" s="5">
        <f t="shared" si="78"/>
        <v>282000</v>
      </c>
    </row>
    <row r="159" spans="3:9" x14ac:dyDescent="0.35">
      <c r="C159" s="56" t="s">
        <v>109</v>
      </c>
      <c r="D159" s="29">
        <f>D152*D155</f>
        <v>360000</v>
      </c>
      <c r="E159" s="29">
        <f t="shared" ref="E159:I159" si="79">E152*E155</f>
        <v>0</v>
      </c>
      <c r="F159" s="29">
        <f t="shared" si="79"/>
        <v>0</v>
      </c>
      <c r="G159" s="29">
        <f t="shared" si="79"/>
        <v>162000</v>
      </c>
      <c r="H159" s="29">
        <f t="shared" si="79"/>
        <v>0</v>
      </c>
      <c r="I159" s="5">
        <f t="shared" si="79"/>
        <v>0</v>
      </c>
    </row>
    <row r="160" spans="3:9" x14ac:dyDescent="0.35">
      <c r="C160" s="56" t="s">
        <v>111</v>
      </c>
      <c r="D160" s="29">
        <f>D153*D155</f>
        <v>0</v>
      </c>
      <c r="E160" s="29">
        <f t="shared" ref="E160:I160" si="80">E153*E155</f>
        <v>0</v>
      </c>
      <c r="F160" s="29">
        <f t="shared" si="80"/>
        <v>0</v>
      </c>
      <c r="G160" s="29">
        <f t="shared" si="80"/>
        <v>0</v>
      </c>
      <c r="H160" s="29">
        <f>(H153*D155)</f>
        <v>240000</v>
      </c>
      <c r="I160" s="5">
        <f t="shared" si="80"/>
        <v>0</v>
      </c>
    </row>
    <row r="161" spans="3:9" x14ac:dyDescent="0.35">
      <c r="C161" s="56" t="s">
        <v>103</v>
      </c>
      <c r="D161" s="29">
        <f>D158+D159-D160</f>
        <v>360000</v>
      </c>
      <c r="E161" s="29">
        <f t="shared" ref="E161:I161" si="81">E158+E159-E160</f>
        <v>360000</v>
      </c>
      <c r="F161" s="29">
        <f t="shared" si="81"/>
        <v>360000</v>
      </c>
      <c r="G161" s="29">
        <f t="shared" si="81"/>
        <v>522000</v>
      </c>
      <c r="H161" s="29">
        <f t="shared" si="81"/>
        <v>282000</v>
      </c>
      <c r="I161" s="5">
        <f t="shared" si="81"/>
        <v>282000</v>
      </c>
    </row>
    <row r="162" spans="3:9" x14ac:dyDescent="0.35">
      <c r="C162" s="56"/>
      <c r="D162" s="29"/>
      <c r="E162" s="29"/>
      <c r="F162" s="29"/>
      <c r="G162" s="29"/>
      <c r="H162" s="29"/>
      <c r="I162" s="5"/>
    </row>
    <row r="163" spans="3:9" x14ac:dyDescent="0.35">
      <c r="C163" s="56" t="s">
        <v>102</v>
      </c>
      <c r="D163" s="29">
        <f>D153*D155</f>
        <v>0</v>
      </c>
      <c r="E163" s="29">
        <f t="shared" ref="E163:I163" si="82">E153*E155</f>
        <v>0</v>
      </c>
      <c r="F163" s="29">
        <f t="shared" si="82"/>
        <v>0</v>
      </c>
      <c r="G163" s="29">
        <f t="shared" si="82"/>
        <v>0</v>
      </c>
      <c r="H163" s="29">
        <f t="shared" si="82"/>
        <v>700000</v>
      </c>
      <c r="I163" s="5">
        <f t="shared" si="82"/>
        <v>0</v>
      </c>
    </row>
    <row r="164" spans="3:9" x14ac:dyDescent="0.35">
      <c r="C164" s="56" t="s">
        <v>111</v>
      </c>
      <c r="D164" s="29">
        <f>D160</f>
        <v>0</v>
      </c>
      <c r="E164" s="29">
        <f t="shared" ref="E164:I164" si="83">E160</f>
        <v>0</v>
      </c>
      <c r="F164" s="29">
        <f t="shared" si="83"/>
        <v>0</v>
      </c>
      <c r="G164" s="29">
        <f t="shared" si="83"/>
        <v>0</v>
      </c>
      <c r="H164" s="29">
        <f t="shared" si="83"/>
        <v>240000</v>
      </c>
      <c r="I164" s="5">
        <f t="shared" si="83"/>
        <v>0</v>
      </c>
    </row>
    <row r="165" spans="3:9" x14ac:dyDescent="0.35">
      <c r="C165" s="56" t="s">
        <v>112</v>
      </c>
      <c r="D165" s="29">
        <f>D163-D164</f>
        <v>0</v>
      </c>
      <c r="E165" s="29">
        <f t="shared" ref="E165:I165" si="84">E163-E164</f>
        <v>0</v>
      </c>
      <c r="F165" s="29">
        <f t="shared" si="84"/>
        <v>0</v>
      </c>
      <c r="G165" s="29">
        <f t="shared" si="84"/>
        <v>0</v>
      </c>
      <c r="H165" s="29">
        <f t="shared" si="84"/>
        <v>460000</v>
      </c>
      <c r="I165" s="5">
        <f t="shared" si="84"/>
        <v>0</v>
      </c>
    </row>
    <row r="166" spans="3:9" x14ac:dyDescent="0.35">
      <c r="C166" s="115"/>
      <c r="D166" s="106"/>
      <c r="E166" s="106"/>
      <c r="F166" s="106"/>
      <c r="G166" s="106"/>
      <c r="H166" s="106"/>
      <c r="I166" s="40"/>
    </row>
    <row r="169" spans="3:9" x14ac:dyDescent="0.35">
      <c r="C169" s="121" t="s">
        <v>119</v>
      </c>
      <c r="D169" s="102"/>
      <c r="E169" s="102"/>
      <c r="F169" s="102"/>
      <c r="G169" s="102"/>
      <c r="H169" s="102"/>
      <c r="I169" s="4"/>
    </row>
    <row r="170" spans="3:9" x14ac:dyDescent="0.35">
      <c r="C170" s="56" t="s">
        <v>116</v>
      </c>
      <c r="D170" s="29">
        <f>D12</f>
        <v>5400000</v>
      </c>
      <c r="E170" s="29">
        <f t="shared" ref="E170:I170" si="85">E12</f>
        <v>6426000</v>
      </c>
      <c r="F170" s="29">
        <f t="shared" si="85"/>
        <v>7809000</v>
      </c>
      <c r="G170" s="29">
        <f t="shared" si="85"/>
        <v>9387000</v>
      </c>
      <c r="H170" s="29">
        <f t="shared" si="85"/>
        <v>11356000</v>
      </c>
      <c r="I170" s="5">
        <f t="shared" si="85"/>
        <v>13629000</v>
      </c>
    </row>
    <row r="171" spans="3:9" x14ac:dyDescent="0.35">
      <c r="C171" s="56" t="s">
        <v>142</v>
      </c>
      <c r="D171" s="29">
        <f>D170*90%</f>
        <v>4860000</v>
      </c>
      <c r="E171" s="29">
        <f t="shared" ref="E171:I171" si="86">E170*90%</f>
        <v>5783400</v>
      </c>
      <c r="F171" s="29">
        <f t="shared" si="86"/>
        <v>7028100</v>
      </c>
      <c r="G171" s="29">
        <f t="shared" si="86"/>
        <v>8448300</v>
      </c>
      <c r="H171" s="29">
        <f t="shared" si="86"/>
        <v>10220400</v>
      </c>
      <c r="I171" s="5">
        <f t="shared" si="86"/>
        <v>12266100</v>
      </c>
    </row>
    <row r="172" spans="3:9" x14ac:dyDescent="0.35">
      <c r="C172" s="115" t="s">
        <v>143</v>
      </c>
      <c r="D172" s="106">
        <f>D170-D171</f>
        <v>540000</v>
      </c>
      <c r="E172" s="106">
        <f t="shared" ref="E172:I172" si="87">E170-E171</f>
        <v>642600</v>
      </c>
      <c r="F172" s="106">
        <f t="shared" si="87"/>
        <v>780900</v>
      </c>
      <c r="G172" s="106">
        <f t="shared" si="87"/>
        <v>938700</v>
      </c>
      <c r="H172" s="106">
        <f t="shared" si="87"/>
        <v>1135600</v>
      </c>
      <c r="I172" s="40">
        <f t="shared" si="87"/>
        <v>1362900</v>
      </c>
    </row>
    <row r="175" spans="3:9" x14ac:dyDescent="0.35">
      <c r="C175" s="121" t="s">
        <v>120</v>
      </c>
      <c r="D175" s="102"/>
      <c r="E175" s="102"/>
      <c r="F175" s="102"/>
      <c r="G175" s="102"/>
      <c r="H175" s="102"/>
      <c r="I175" s="4"/>
    </row>
    <row r="176" spans="3:9" x14ac:dyDescent="0.35">
      <c r="C176" s="56" t="s">
        <v>118</v>
      </c>
      <c r="D176" s="29">
        <f>D7</f>
        <v>6200000</v>
      </c>
      <c r="E176" s="29">
        <f t="shared" ref="E176:I176" si="88">E7</f>
        <v>7672000</v>
      </c>
      <c r="F176" s="29">
        <f t="shared" si="88"/>
        <v>9359000</v>
      </c>
      <c r="G176" s="29">
        <f t="shared" si="88"/>
        <v>11550000</v>
      </c>
      <c r="H176" s="29">
        <f t="shared" si="88"/>
        <v>14492000</v>
      </c>
      <c r="I176" s="5">
        <f t="shared" si="88"/>
        <v>17839000</v>
      </c>
    </row>
    <row r="177" spans="3:9" x14ac:dyDescent="0.35">
      <c r="C177" s="56" t="s">
        <v>138</v>
      </c>
      <c r="D177" s="29">
        <f>D176*98%</f>
        <v>6076000</v>
      </c>
      <c r="E177" s="29">
        <f t="shared" ref="E177:I177" si="89">E176*98%</f>
        <v>7518560</v>
      </c>
      <c r="F177" s="29">
        <f t="shared" si="89"/>
        <v>9171820</v>
      </c>
      <c r="G177" s="29">
        <f t="shared" si="89"/>
        <v>11319000</v>
      </c>
      <c r="H177" s="29">
        <f t="shared" si="89"/>
        <v>14202160</v>
      </c>
      <c r="I177" s="5">
        <f t="shared" si="89"/>
        <v>17482220</v>
      </c>
    </row>
    <row r="178" spans="3:9" x14ac:dyDescent="0.35">
      <c r="C178" s="115" t="s">
        <v>321</v>
      </c>
      <c r="D178" s="106">
        <f>D176-D177</f>
        <v>124000</v>
      </c>
      <c r="E178" s="106">
        <f t="shared" ref="E178:I178" si="90">E176-E177</f>
        <v>153440</v>
      </c>
      <c r="F178" s="106">
        <f t="shared" si="90"/>
        <v>187180</v>
      </c>
      <c r="G178" s="106">
        <f t="shared" si="90"/>
        <v>231000</v>
      </c>
      <c r="H178" s="106">
        <f t="shared" si="90"/>
        <v>289840</v>
      </c>
      <c r="I178" s="40">
        <f t="shared" si="90"/>
        <v>356780</v>
      </c>
    </row>
    <row r="180" spans="3:9" x14ac:dyDescent="0.35">
      <c r="C180" s="101" t="s">
        <v>115</v>
      </c>
      <c r="D180" s="102"/>
      <c r="E180" s="102"/>
      <c r="F180" s="102"/>
      <c r="G180" s="102"/>
      <c r="H180" s="102"/>
      <c r="I180" s="4"/>
    </row>
    <row r="181" spans="3:9" x14ac:dyDescent="0.35">
      <c r="C181" s="56" t="s">
        <v>42</v>
      </c>
      <c r="D181" s="29">
        <v>0</v>
      </c>
      <c r="E181" s="29">
        <f>D184</f>
        <v>540000</v>
      </c>
      <c r="F181" s="29">
        <f t="shared" ref="F181:I181" si="91">E184</f>
        <v>932600</v>
      </c>
      <c r="G181" s="29">
        <f t="shared" si="91"/>
        <v>1363500</v>
      </c>
      <c r="H181" s="29">
        <f t="shared" si="91"/>
        <v>1752200</v>
      </c>
      <c r="I181" s="5">
        <f t="shared" si="91"/>
        <v>1751410</v>
      </c>
    </row>
    <row r="182" spans="3:9" x14ac:dyDescent="0.35">
      <c r="C182" s="56" t="s">
        <v>121</v>
      </c>
      <c r="D182" s="29">
        <f>D172</f>
        <v>540000</v>
      </c>
      <c r="E182" s="29">
        <f t="shared" ref="E182:I182" si="92">E172</f>
        <v>642600</v>
      </c>
      <c r="F182" s="29">
        <f t="shared" si="92"/>
        <v>780900</v>
      </c>
      <c r="G182" s="29">
        <f t="shared" si="92"/>
        <v>938700</v>
      </c>
      <c r="H182" s="29">
        <f t="shared" si="92"/>
        <v>1135600</v>
      </c>
      <c r="I182" s="5">
        <f t="shared" si="92"/>
        <v>1362900</v>
      </c>
    </row>
    <row r="183" spans="3:9" x14ac:dyDescent="0.35">
      <c r="C183" s="56" t="s">
        <v>50</v>
      </c>
      <c r="D183" s="29">
        <v>0</v>
      </c>
      <c r="E183" s="29">
        <v>250000</v>
      </c>
      <c r="F183" s="29">
        <v>350000</v>
      </c>
      <c r="G183" s="29">
        <f t="shared" ref="G183" si="93">F183+200000</f>
        <v>550000</v>
      </c>
      <c r="H183" s="29">
        <v>1136390</v>
      </c>
      <c r="I183" s="5">
        <v>1667700</v>
      </c>
    </row>
    <row r="184" spans="3:9" x14ac:dyDescent="0.35">
      <c r="C184" s="115" t="s">
        <v>43</v>
      </c>
      <c r="D184" s="106">
        <f>D181+D182-D183</f>
        <v>540000</v>
      </c>
      <c r="E184" s="106">
        <f t="shared" ref="E184:I184" si="94">E181+E182-E183</f>
        <v>932600</v>
      </c>
      <c r="F184" s="106">
        <f t="shared" si="94"/>
        <v>1363500</v>
      </c>
      <c r="G184" s="106">
        <f t="shared" si="94"/>
        <v>1752200</v>
      </c>
      <c r="H184" s="106">
        <f t="shared" si="94"/>
        <v>1751410</v>
      </c>
      <c r="I184" s="40">
        <f t="shared" si="94"/>
        <v>1446610</v>
      </c>
    </row>
    <row r="187" spans="3:9" x14ac:dyDescent="0.35">
      <c r="C187" s="101" t="s">
        <v>117</v>
      </c>
      <c r="D187" s="102"/>
      <c r="E187" s="102"/>
      <c r="F187" s="102"/>
      <c r="G187" s="102"/>
      <c r="H187" s="102"/>
      <c r="I187" s="4"/>
    </row>
    <row r="188" spans="3:9" x14ac:dyDescent="0.35">
      <c r="C188" s="56" t="s">
        <v>42</v>
      </c>
      <c r="D188" s="29">
        <v>0</v>
      </c>
      <c r="E188" s="29">
        <f>D191</f>
        <v>124000</v>
      </c>
      <c r="F188" s="29">
        <f t="shared" ref="F188:I188" si="95">E191</f>
        <v>77440</v>
      </c>
      <c r="G188" s="29">
        <f t="shared" si="95"/>
        <v>64620</v>
      </c>
      <c r="H188" s="29">
        <f t="shared" si="95"/>
        <v>65620</v>
      </c>
      <c r="I188" s="5">
        <f t="shared" si="95"/>
        <v>75460</v>
      </c>
    </row>
    <row r="189" spans="3:9" x14ac:dyDescent="0.35">
      <c r="C189" s="56" t="s">
        <v>121</v>
      </c>
      <c r="D189" s="29">
        <f>D178</f>
        <v>124000</v>
      </c>
      <c r="E189" s="29">
        <f t="shared" ref="E189:I189" si="96">E178</f>
        <v>153440</v>
      </c>
      <c r="F189" s="29">
        <f t="shared" si="96"/>
        <v>187180</v>
      </c>
      <c r="G189" s="29">
        <f t="shared" si="96"/>
        <v>231000</v>
      </c>
      <c r="H189" s="29">
        <f t="shared" si="96"/>
        <v>289840</v>
      </c>
      <c r="I189" s="5">
        <f t="shared" si="96"/>
        <v>356780</v>
      </c>
    </row>
    <row r="190" spans="3:9" x14ac:dyDescent="0.35">
      <c r="C190" s="56" t="s">
        <v>122</v>
      </c>
      <c r="D190" s="29">
        <v>0</v>
      </c>
      <c r="E190" s="29">
        <v>200000</v>
      </c>
      <c r="F190" s="29">
        <v>200000</v>
      </c>
      <c r="G190" s="29">
        <v>230000</v>
      </c>
      <c r="H190" s="29">
        <v>280000</v>
      </c>
      <c r="I190" s="5">
        <v>350000</v>
      </c>
    </row>
    <row r="191" spans="3:9" x14ac:dyDescent="0.35">
      <c r="C191" s="115" t="s">
        <v>43</v>
      </c>
      <c r="D191" s="106">
        <f>D188+D189-D190</f>
        <v>124000</v>
      </c>
      <c r="E191" s="106">
        <f t="shared" ref="E191:I191" si="97">E188+E189-E190</f>
        <v>77440</v>
      </c>
      <c r="F191" s="106">
        <f t="shared" si="97"/>
        <v>64620</v>
      </c>
      <c r="G191" s="106">
        <f t="shared" si="97"/>
        <v>65620</v>
      </c>
      <c r="H191" s="106">
        <f t="shared" si="97"/>
        <v>75460</v>
      </c>
      <c r="I191" s="40">
        <f t="shared" si="97"/>
        <v>82240</v>
      </c>
    </row>
    <row r="195" spans="3:9" x14ac:dyDescent="0.35">
      <c r="C195" s="101" t="s">
        <v>123</v>
      </c>
      <c r="D195" s="102"/>
      <c r="E195" s="102"/>
      <c r="F195" s="102"/>
      <c r="G195" s="102"/>
      <c r="H195" s="102"/>
      <c r="I195" s="4"/>
    </row>
    <row r="196" spans="3:9" x14ac:dyDescent="0.35">
      <c r="C196" s="56" t="s">
        <v>61</v>
      </c>
      <c r="D196" s="29">
        <f>D143</f>
        <v>3000000</v>
      </c>
      <c r="E196" s="29">
        <f>E143-D143</f>
        <v>0</v>
      </c>
      <c r="F196" s="29">
        <f>F143-E143</f>
        <v>0</v>
      </c>
      <c r="G196" s="29">
        <f>G143-F143</f>
        <v>0</v>
      </c>
      <c r="H196" s="29">
        <f>H143-G143</f>
        <v>0</v>
      </c>
      <c r="I196" s="5">
        <f>I143-H143</f>
        <v>0</v>
      </c>
    </row>
    <row r="197" spans="3:9" x14ac:dyDescent="0.35">
      <c r="C197" s="56" t="s">
        <v>181</v>
      </c>
      <c r="D197" s="29">
        <f>D116+D123</f>
        <v>4000000</v>
      </c>
      <c r="E197" s="29">
        <f t="shared" ref="E197:I197" si="98">E116+E123</f>
        <v>1000000</v>
      </c>
      <c r="F197" s="29">
        <f t="shared" si="98"/>
        <v>0</v>
      </c>
      <c r="G197" s="29">
        <f t="shared" si="98"/>
        <v>0</v>
      </c>
      <c r="H197" s="29">
        <f t="shared" si="98"/>
        <v>0</v>
      </c>
      <c r="I197" s="29">
        <f t="shared" si="98"/>
        <v>0</v>
      </c>
    </row>
    <row r="198" spans="3:9" x14ac:dyDescent="0.35">
      <c r="C198" s="56" t="s">
        <v>182</v>
      </c>
      <c r="D198" s="29">
        <f>-D117-D124</f>
        <v>0</v>
      </c>
      <c r="E198" s="29">
        <f t="shared" ref="E198:I198" si="99">-E117-E124</f>
        <v>-800000</v>
      </c>
      <c r="F198" s="29">
        <f t="shared" si="99"/>
        <v>-800000</v>
      </c>
      <c r="G198" s="29">
        <f t="shared" si="99"/>
        <v>-800000</v>
      </c>
      <c r="H198" s="29">
        <f t="shared" si="99"/>
        <v>-1800000</v>
      </c>
      <c r="I198" s="29">
        <f t="shared" si="99"/>
        <v>-800000</v>
      </c>
    </row>
    <row r="199" spans="3:9" x14ac:dyDescent="0.35">
      <c r="C199" s="56" t="s">
        <v>129</v>
      </c>
      <c r="D199" s="29">
        <f t="shared" ref="D199:I199" si="100">-D159</f>
        <v>-360000</v>
      </c>
      <c r="E199" s="29">
        <f t="shared" si="100"/>
        <v>0</v>
      </c>
      <c r="F199" s="29">
        <f t="shared" si="100"/>
        <v>0</v>
      </c>
      <c r="G199" s="29">
        <f t="shared" si="100"/>
        <v>-162000</v>
      </c>
      <c r="H199" s="29">
        <f t="shared" si="100"/>
        <v>0</v>
      </c>
      <c r="I199" s="5">
        <f t="shared" si="100"/>
        <v>0</v>
      </c>
    </row>
    <row r="200" spans="3:9" x14ac:dyDescent="0.35">
      <c r="C200" s="56" t="s">
        <v>130</v>
      </c>
      <c r="D200" s="29">
        <f t="shared" ref="D200:I200" si="101">D163</f>
        <v>0</v>
      </c>
      <c r="E200" s="29">
        <f t="shared" si="101"/>
        <v>0</v>
      </c>
      <c r="F200" s="29">
        <f t="shared" si="101"/>
        <v>0</v>
      </c>
      <c r="G200" s="29">
        <f t="shared" si="101"/>
        <v>0</v>
      </c>
      <c r="H200" s="29">
        <f t="shared" si="101"/>
        <v>700000</v>
      </c>
      <c r="I200" s="5">
        <f t="shared" si="101"/>
        <v>0</v>
      </c>
    </row>
    <row r="201" spans="3:9" x14ac:dyDescent="0.35">
      <c r="C201" s="56" t="s">
        <v>124</v>
      </c>
      <c r="D201" s="29">
        <f t="shared" ref="D201:I201" si="102">-(D96+D105)</f>
        <v>-3300000</v>
      </c>
      <c r="E201" s="29">
        <f t="shared" si="102"/>
        <v>0</v>
      </c>
      <c r="F201" s="29">
        <f t="shared" si="102"/>
        <v>-200000</v>
      </c>
      <c r="G201" s="29">
        <f t="shared" si="102"/>
        <v>0</v>
      </c>
      <c r="H201" s="29">
        <f t="shared" si="102"/>
        <v>0</v>
      </c>
      <c r="I201" s="5">
        <f t="shared" si="102"/>
        <v>0</v>
      </c>
    </row>
    <row r="202" spans="3:9" x14ac:dyDescent="0.35">
      <c r="C202" s="56" t="s">
        <v>125</v>
      </c>
      <c r="D202" s="29">
        <f t="shared" ref="D202:I202" si="103">D177</f>
        <v>6076000</v>
      </c>
      <c r="E202" s="29">
        <f t="shared" si="103"/>
        <v>7518560</v>
      </c>
      <c r="F202" s="29">
        <f t="shared" si="103"/>
        <v>9171820</v>
      </c>
      <c r="G202" s="29">
        <f t="shared" si="103"/>
        <v>11319000</v>
      </c>
      <c r="H202" s="29">
        <f t="shared" si="103"/>
        <v>14202160</v>
      </c>
      <c r="I202" s="5">
        <f t="shared" si="103"/>
        <v>17482220</v>
      </c>
    </row>
    <row r="203" spans="3:9" x14ac:dyDescent="0.35">
      <c r="C203" s="56" t="s">
        <v>126</v>
      </c>
      <c r="D203" s="29">
        <f t="shared" ref="D203:I203" si="104">-D171</f>
        <v>-4860000</v>
      </c>
      <c r="E203" s="29">
        <f t="shared" si="104"/>
        <v>-5783400</v>
      </c>
      <c r="F203" s="29">
        <f t="shared" si="104"/>
        <v>-7028100</v>
      </c>
      <c r="G203" s="29">
        <f t="shared" si="104"/>
        <v>-8448300</v>
      </c>
      <c r="H203" s="29">
        <f t="shared" si="104"/>
        <v>-10220400</v>
      </c>
      <c r="I203" s="5">
        <f t="shared" si="104"/>
        <v>-12266100</v>
      </c>
    </row>
    <row r="204" spans="3:9" x14ac:dyDescent="0.35">
      <c r="C204" s="56" t="s">
        <v>127</v>
      </c>
      <c r="D204" s="29">
        <f t="shared" ref="D204:I204" si="105">D190</f>
        <v>0</v>
      </c>
      <c r="E204" s="29">
        <f t="shared" si="105"/>
        <v>200000</v>
      </c>
      <c r="F204" s="29">
        <f t="shared" si="105"/>
        <v>200000</v>
      </c>
      <c r="G204" s="29">
        <f t="shared" si="105"/>
        <v>230000</v>
      </c>
      <c r="H204" s="29">
        <f t="shared" si="105"/>
        <v>280000</v>
      </c>
      <c r="I204" s="5">
        <f t="shared" si="105"/>
        <v>350000</v>
      </c>
    </row>
    <row r="205" spans="3:9" x14ac:dyDescent="0.35">
      <c r="C205" s="56" t="s">
        <v>128</v>
      </c>
      <c r="D205" s="29">
        <f t="shared" ref="D205:I205" si="106">-D183</f>
        <v>0</v>
      </c>
      <c r="E205" s="29">
        <f t="shared" si="106"/>
        <v>-250000</v>
      </c>
      <c r="F205" s="29">
        <f t="shared" si="106"/>
        <v>-350000</v>
      </c>
      <c r="G205" s="29">
        <f t="shared" si="106"/>
        <v>-550000</v>
      </c>
      <c r="H205" s="29">
        <f t="shared" si="106"/>
        <v>-1136390</v>
      </c>
      <c r="I205" s="5">
        <f t="shared" si="106"/>
        <v>-1667700</v>
      </c>
    </row>
    <row r="206" spans="3:9" x14ac:dyDescent="0.35">
      <c r="C206" s="56" t="s">
        <v>131</v>
      </c>
      <c r="D206" s="29">
        <f t="shared" ref="D206:I206" si="107">D47</f>
        <v>150000</v>
      </c>
      <c r="E206" s="29">
        <f t="shared" si="107"/>
        <v>168000</v>
      </c>
      <c r="F206" s="29">
        <f t="shared" si="107"/>
        <v>186000</v>
      </c>
      <c r="G206" s="29">
        <f t="shared" si="107"/>
        <v>244800</v>
      </c>
      <c r="H206" s="29">
        <f t="shared" si="107"/>
        <v>118400</v>
      </c>
      <c r="I206" s="5">
        <f t="shared" si="107"/>
        <v>131200</v>
      </c>
    </row>
    <row r="207" spans="3:9" x14ac:dyDescent="0.35">
      <c r="C207" s="56" t="s">
        <v>58</v>
      </c>
      <c r="D207" s="29">
        <f t="shared" ref="D207:I207" si="108">-D26</f>
        <v>-150000</v>
      </c>
      <c r="E207" s="29">
        <f t="shared" si="108"/>
        <v>-165000</v>
      </c>
      <c r="F207" s="29">
        <f t="shared" si="108"/>
        <v>-181500.00000000003</v>
      </c>
      <c r="G207" s="29">
        <f t="shared" si="108"/>
        <v>-199650.00000000006</v>
      </c>
      <c r="H207" s="29">
        <f t="shared" si="108"/>
        <v>-219615.00000000009</v>
      </c>
      <c r="I207" s="5">
        <f t="shared" si="108"/>
        <v>-241576.50000000012</v>
      </c>
    </row>
    <row r="208" spans="3:9" x14ac:dyDescent="0.35">
      <c r="C208" s="56" t="s">
        <v>135</v>
      </c>
      <c r="D208" s="29">
        <f t="shared" ref="D208:I208" si="109">-D24</f>
        <v>-390700</v>
      </c>
      <c r="E208" s="29">
        <f t="shared" si="109"/>
        <v>-545500</v>
      </c>
      <c r="F208" s="29">
        <f t="shared" si="109"/>
        <v>-738000</v>
      </c>
      <c r="G208" s="29">
        <f t="shared" si="109"/>
        <v>-988600</v>
      </c>
      <c r="H208" s="29">
        <f t="shared" si="109"/>
        <v>-1385500</v>
      </c>
      <c r="I208" s="5">
        <f t="shared" si="109"/>
        <v>-1635500</v>
      </c>
    </row>
    <row r="209" spans="3:9" x14ac:dyDescent="0.35">
      <c r="C209" s="56" t="s">
        <v>136</v>
      </c>
      <c r="D209" s="29">
        <f t="shared" ref="D209:I209" si="110">-D17</f>
        <v>-174000</v>
      </c>
      <c r="E209" s="29">
        <f t="shared" si="110"/>
        <v>-215540</v>
      </c>
      <c r="F209" s="29">
        <f t="shared" si="110"/>
        <v>-263100</v>
      </c>
      <c r="G209" s="29">
        <f t="shared" si="110"/>
        <v>-325500</v>
      </c>
      <c r="H209" s="29">
        <f t="shared" si="110"/>
        <v>-408840</v>
      </c>
      <c r="I209" s="5">
        <f t="shared" si="110"/>
        <v>-503580</v>
      </c>
    </row>
    <row r="210" spans="3:9" x14ac:dyDescent="0.35">
      <c r="C210" s="56" t="s">
        <v>137</v>
      </c>
      <c r="D210" s="29">
        <f t="shared" ref="D210:I210" si="111">-D21</f>
        <v>-320000</v>
      </c>
      <c r="E210" s="29">
        <f t="shared" si="111"/>
        <v>-336000</v>
      </c>
      <c r="F210" s="29">
        <f t="shared" si="111"/>
        <v>-272000</v>
      </c>
      <c r="G210" s="29">
        <f t="shared" si="111"/>
        <v>-208000</v>
      </c>
      <c r="H210" s="29">
        <f t="shared" si="111"/>
        <v>-64000</v>
      </c>
      <c r="I210" s="5">
        <f t="shared" si="111"/>
        <v>0</v>
      </c>
    </row>
    <row r="211" spans="3:9" x14ac:dyDescent="0.35">
      <c r="C211" s="56"/>
      <c r="D211" s="29"/>
      <c r="E211" s="29"/>
      <c r="F211" s="29"/>
      <c r="G211" s="29"/>
      <c r="H211" s="29"/>
      <c r="I211" s="5"/>
    </row>
    <row r="212" spans="3:9" x14ac:dyDescent="0.35">
      <c r="C212" s="122" t="s">
        <v>132</v>
      </c>
      <c r="D212" s="123">
        <f>SUM(D196:D211)</f>
        <v>3671300</v>
      </c>
      <c r="E212" s="123">
        <f t="shared" ref="E212:I212" si="112">SUM(E196:E211)</f>
        <v>791120</v>
      </c>
      <c r="F212" s="123">
        <f t="shared" si="112"/>
        <v>-274880</v>
      </c>
      <c r="G212" s="123">
        <f t="shared" si="112"/>
        <v>111750</v>
      </c>
      <c r="H212" s="123">
        <f t="shared" si="112"/>
        <v>65815</v>
      </c>
      <c r="I212" s="7">
        <f t="shared" si="112"/>
        <v>848963.5</v>
      </c>
    </row>
    <row r="216" spans="3:9" x14ac:dyDescent="0.35">
      <c r="C216" s="101" t="s">
        <v>133</v>
      </c>
      <c r="D216" s="102"/>
      <c r="E216" s="102"/>
      <c r="F216" s="102"/>
      <c r="G216" s="102"/>
      <c r="H216" s="102"/>
      <c r="I216" s="4"/>
    </row>
    <row r="217" spans="3:9" x14ac:dyDescent="0.35">
      <c r="C217" s="56" t="s">
        <v>42</v>
      </c>
      <c r="D217" s="29">
        <v>0</v>
      </c>
      <c r="E217" s="29">
        <f>D220</f>
        <v>1235300</v>
      </c>
      <c r="F217" s="29">
        <f t="shared" ref="F217:I217" si="113">E220</f>
        <v>3004260</v>
      </c>
      <c r="G217" s="29">
        <f t="shared" si="113"/>
        <v>5439360</v>
      </c>
      <c r="H217" s="29">
        <f t="shared" si="113"/>
        <v>8744810</v>
      </c>
      <c r="I217" s="5">
        <f t="shared" si="113"/>
        <v>13437555</v>
      </c>
    </row>
    <row r="218" spans="3:9" x14ac:dyDescent="0.35">
      <c r="C218" s="56" t="s">
        <v>49</v>
      </c>
      <c r="D218" s="29">
        <f>D27</f>
        <v>1235300</v>
      </c>
      <c r="E218" s="29">
        <f t="shared" ref="E218:I218" si="114">E27</f>
        <v>1768960</v>
      </c>
      <c r="F218" s="29">
        <f t="shared" si="114"/>
        <v>2435100</v>
      </c>
      <c r="G218" s="29">
        <f t="shared" si="114"/>
        <v>3305450</v>
      </c>
      <c r="H218" s="29">
        <f t="shared" si="114"/>
        <v>4692745</v>
      </c>
      <c r="I218" s="5">
        <f t="shared" si="114"/>
        <v>5557143.5</v>
      </c>
    </row>
    <row r="219" spans="3:9" x14ac:dyDescent="0.35">
      <c r="C219" s="56" t="s">
        <v>134</v>
      </c>
      <c r="D219" s="29">
        <v>0</v>
      </c>
      <c r="E219" s="29"/>
      <c r="F219" s="29"/>
      <c r="G219" s="29"/>
      <c r="H219" s="29"/>
      <c r="I219" s="5"/>
    </row>
    <row r="220" spans="3:9" x14ac:dyDescent="0.35">
      <c r="C220" s="115" t="s">
        <v>43</v>
      </c>
      <c r="D220" s="106">
        <f>D217+D218-D219</f>
        <v>1235300</v>
      </c>
      <c r="E220" s="106">
        <f t="shared" ref="E220:I220" si="115">E217+E218-E219</f>
        <v>3004260</v>
      </c>
      <c r="F220" s="106">
        <f t="shared" si="115"/>
        <v>5439360</v>
      </c>
      <c r="G220" s="106">
        <f t="shared" si="115"/>
        <v>8744810</v>
      </c>
      <c r="H220" s="106">
        <f t="shared" si="115"/>
        <v>13437555</v>
      </c>
      <c r="I220" s="40">
        <f t="shared" si="115"/>
        <v>18994698.5</v>
      </c>
    </row>
    <row r="222" spans="3:9" x14ac:dyDescent="0.35">
      <c r="D222" s="2">
        <f>'Q3Bal Sheet'!D39</f>
        <v>0</v>
      </c>
      <c r="E222" s="2">
        <f>'Q3Bal Sheet'!E39</f>
        <v>0</v>
      </c>
      <c r="F222" s="2">
        <f>'Q3Bal Sheet'!F39</f>
        <v>0</v>
      </c>
      <c r="G222" s="2">
        <f>'Q3Bal Sheet'!G39</f>
        <v>0</v>
      </c>
      <c r="H222" s="2">
        <f>'Q3Bal Sheet'!H39</f>
        <v>0</v>
      </c>
      <c r="I222" s="2">
        <f>'Q3Bal Sheet'!I39</f>
        <v>0</v>
      </c>
    </row>
    <row r="223" spans="3:9" x14ac:dyDescent="0.35">
      <c r="C223" s="54" t="s">
        <v>139</v>
      </c>
      <c r="D223" s="102">
        <v>0</v>
      </c>
      <c r="E223" s="102">
        <v>3950000</v>
      </c>
      <c r="F223" s="102">
        <v>4785700</v>
      </c>
      <c r="G223" s="102">
        <v>4957800</v>
      </c>
      <c r="H223" s="102">
        <v>4639840</v>
      </c>
      <c r="I223" s="4">
        <v>4875500</v>
      </c>
    </row>
    <row r="224" spans="3:9" x14ac:dyDescent="0.35">
      <c r="C224" s="115" t="s">
        <v>140</v>
      </c>
      <c r="D224" s="106">
        <v>0</v>
      </c>
      <c r="E224" s="106">
        <v>278700</v>
      </c>
      <c r="F224" s="106">
        <v>323280</v>
      </c>
      <c r="G224" s="106">
        <v>770260</v>
      </c>
      <c r="H224" s="106">
        <v>340550</v>
      </c>
      <c r="I224" s="40">
        <v>510395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CADCA-0E35-486E-8E68-319003678985}">
  <sheetPr>
    <tabColor rgb="FF92D050"/>
  </sheetPr>
  <dimension ref="C5:I19"/>
  <sheetViews>
    <sheetView showGridLines="0" zoomScale="80" zoomScaleNormal="80" workbookViewId="0">
      <selection activeCell="K13" sqref="K13"/>
    </sheetView>
  </sheetViews>
  <sheetFormatPr defaultColWidth="8.90625" defaultRowHeight="11.5" x14ac:dyDescent="0.35"/>
  <cols>
    <col min="1" max="2" width="8.90625" style="1"/>
    <col min="3" max="3" width="19.6328125" style="1" bestFit="1" customWidth="1"/>
    <col min="4" max="4" width="14.08984375" style="2" customWidth="1"/>
    <col min="5" max="5" width="13.08984375" style="2" customWidth="1"/>
    <col min="6" max="6" width="14" style="2" customWidth="1"/>
    <col min="7" max="7" width="13.81640625" style="2" customWidth="1"/>
    <col min="8" max="9" width="13.90625" style="2" customWidth="1"/>
    <col min="10" max="16384" width="8.90625" style="1"/>
  </cols>
  <sheetData>
    <row r="5" spans="3:9" x14ac:dyDescent="0.35">
      <c r="C5" s="97" t="s">
        <v>4</v>
      </c>
      <c r="D5" s="98" t="s">
        <v>66</v>
      </c>
      <c r="E5" s="98" t="s">
        <v>67</v>
      </c>
      <c r="F5" s="98" t="s">
        <v>68</v>
      </c>
      <c r="G5" s="98" t="s">
        <v>69</v>
      </c>
      <c r="H5" s="98" t="s">
        <v>70</v>
      </c>
      <c r="I5" s="98" t="s">
        <v>71</v>
      </c>
    </row>
    <row r="6" spans="3:9" x14ac:dyDescent="0.35">
      <c r="C6" s="41" t="s">
        <v>2</v>
      </c>
      <c r="D6" s="4">
        <f>Q3Working!D7</f>
        <v>6200000</v>
      </c>
      <c r="E6" s="4">
        <f>Q3Working!E7</f>
        <v>7672000</v>
      </c>
      <c r="F6" s="4">
        <f>Q3Working!F7</f>
        <v>9359000</v>
      </c>
      <c r="G6" s="4">
        <f>Q3Working!G7</f>
        <v>11550000</v>
      </c>
      <c r="H6" s="4">
        <f>Q3Working!H7</f>
        <v>14492000</v>
      </c>
      <c r="I6" s="4">
        <f>Q3Working!I7</f>
        <v>17839000</v>
      </c>
    </row>
    <row r="7" spans="3:9" x14ac:dyDescent="0.35">
      <c r="C7" s="37" t="s">
        <v>1</v>
      </c>
      <c r="D7" s="5">
        <f>Q3Working!D8</f>
        <v>150000</v>
      </c>
      <c r="E7" s="5">
        <f>Q3Working!E8</f>
        <v>168000</v>
      </c>
      <c r="F7" s="5">
        <f>Q3Working!F8</f>
        <v>186000</v>
      </c>
      <c r="G7" s="5">
        <f>Q3Working!G8</f>
        <v>244800</v>
      </c>
      <c r="H7" s="5">
        <f>Q3Working!H8</f>
        <v>578400</v>
      </c>
      <c r="I7" s="5">
        <f>Q3Working!I8</f>
        <v>131200</v>
      </c>
    </row>
    <row r="8" spans="3:9" x14ac:dyDescent="0.35">
      <c r="C8" s="36" t="s">
        <v>6</v>
      </c>
      <c r="D8" s="6">
        <f>SUM(D6:D7)</f>
        <v>6350000</v>
      </c>
      <c r="E8" s="6">
        <f t="shared" ref="E8:I8" si="0">SUM(E6:E7)</f>
        <v>7840000</v>
      </c>
      <c r="F8" s="6">
        <f t="shared" si="0"/>
        <v>9545000</v>
      </c>
      <c r="G8" s="6">
        <f t="shared" si="0"/>
        <v>11794800</v>
      </c>
      <c r="H8" s="6">
        <f t="shared" si="0"/>
        <v>15070400</v>
      </c>
      <c r="I8" s="6">
        <f t="shared" si="0"/>
        <v>17970200</v>
      </c>
    </row>
    <row r="9" spans="3:9" x14ac:dyDescent="0.35">
      <c r="C9" s="37" t="s">
        <v>7</v>
      </c>
      <c r="D9" s="5">
        <f>Q3Working!D14</f>
        <v>3750000</v>
      </c>
      <c r="E9" s="5">
        <f>Q3Working!E14</f>
        <v>4512000</v>
      </c>
      <c r="F9" s="5">
        <f>Q3Working!F14</f>
        <v>5368000</v>
      </c>
      <c r="G9" s="5">
        <f>Q3Working!G14</f>
        <v>6509000</v>
      </c>
      <c r="H9" s="5">
        <f>Q3Working!H14</f>
        <v>8067000</v>
      </c>
      <c r="I9" s="5">
        <f>Q3Working!I14</f>
        <v>9823000</v>
      </c>
    </row>
    <row r="10" spans="3:9" x14ac:dyDescent="0.35">
      <c r="C10" s="36" t="s">
        <v>8</v>
      </c>
      <c r="D10" s="6">
        <f>D8-D9</f>
        <v>2600000</v>
      </c>
      <c r="E10" s="6">
        <f t="shared" ref="E10:I10" si="1">E8-E9</f>
        <v>3328000</v>
      </c>
      <c r="F10" s="6">
        <f t="shared" si="1"/>
        <v>4177000</v>
      </c>
      <c r="G10" s="6">
        <f t="shared" si="1"/>
        <v>5285800</v>
      </c>
      <c r="H10" s="6">
        <f t="shared" si="1"/>
        <v>7003400</v>
      </c>
      <c r="I10" s="6">
        <f t="shared" si="1"/>
        <v>8147200</v>
      </c>
    </row>
    <row r="11" spans="3:9" x14ac:dyDescent="0.35">
      <c r="C11" s="37" t="s">
        <v>9</v>
      </c>
      <c r="D11" s="5">
        <f>Q3Working!D17</f>
        <v>174000</v>
      </c>
      <c r="E11" s="5">
        <f>Q3Working!E17</f>
        <v>215540</v>
      </c>
      <c r="F11" s="5">
        <f>Q3Working!F17</f>
        <v>263100</v>
      </c>
      <c r="G11" s="5">
        <f>Q3Working!G17</f>
        <v>325500</v>
      </c>
      <c r="H11" s="5">
        <f>Q3Working!H17</f>
        <v>408840</v>
      </c>
      <c r="I11" s="5">
        <f>Q3Working!I17</f>
        <v>503580</v>
      </c>
    </row>
    <row r="12" spans="3:9" x14ac:dyDescent="0.35">
      <c r="C12" s="36" t="s">
        <v>10</v>
      </c>
      <c r="D12" s="6">
        <f>D10-D11</f>
        <v>2426000</v>
      </c>
      <c r="E12" s="6">
        <f t="shared" ref="E12:I12" si="2">E10-E11</f>
        <v>3112460</v>
      </c>
      <c r="F12" s="6">
        <f t="shared" si="2"/>
        <v>3913900</v>
      </c>
      <c r="G12" s="6">
        <f t="shared" si="2"/>
        <v>4960300</v>
      </c>
      <c r="H12" s="6">
        <f t="shared" si="2"/>
        <v>6594560</v>
      </c>
      <c r="I12" s="6">
        <f t="shared" si="2"/>
        <v>7643620</v>
      </c>
    </row>
    <row r="13" spans="3:9" x14ac:dyDescent="0.35">
      <c r="C13" s="37" t="s">
        <v>11</v>
      </c>
      <c r="D13" s="5">
        <f>Q3Working!D20</f>
        <v>330000</v>
      </c>
      <c r="E13" s="5">
        <f>Q3Working!E20</f>
        <v>297000</v>
      </c>
      <c r="F13" s="5">
        <f>Q3Working!F20</f>
        <v>287300</v>
      </c>
      <c r="G13" s="5">
        <f>Q3Working!G20</f>
        <v>258600</v>
      </c>
      <c r="H13" s="5">
        <f>Q3Working!H20</f>
        <v>232700</v>
      </c>
      <c r="I13" s="5">
        <f>Q3Working!I20</f>
        <v>209400</v>
      </c>
    </row>
    <row r="14" spans="3:9" x14ac:dyDescent="0.35">
      <c r="C14" s="37" t="s">
        <v>12</v>
      </c>
      <c r="D14" s="5">
        <f>Q3Working!D21</f>
        <v>320000</v>
      </c>
      <c r="E14" s="5">
        <f>Q3Working!E21</f>
        <v>336000</v>
      </c>
      <c r="F14" s="5">
        <f>Q3Working!F21</f>
        <v>272000</v>
      </c>
      <c r="G14" s="5">
        <f>Q3Working!G21</f>
        <v>208000</v>
      </c>
      <c r="H14" s="5">
        <f>Q3Working!H21</f>
        <v>64000</v>
      </c>
      <c r="I14" s="5">
        <f>Q3Working!I21</f>
        <v>0</v>
      </c>
    </row>
    <row r="15" spans="3:9" x14ac:dyDescent="0.35">
      <c r="C15" s="36" t="s">
        <v>13</v>
      </c>
      <c r="D15" s="6">
        <f>D12-D13-D14</f>
        <v>1776000</v>
      </c>
      <c r="E15" s="6">
        <f t="shared" ref="E15:I15" si="3">E12-E13-E14</f>
        <v>2479460</v>
      </c>
      <c r="F15" s="6">
        <f t="shared" si="3"/>
        <v>3354600</v>
      </c>
      <c r="G15" s="6">
        <f t="shared" si="3"/>
        <v>4493700</v>
      </c>
      <c r="H15" s="6">
        <f t="shared" si="3"/>
        <v>6297860</v>
      </c>
      <c r="I15" s="6">
        <f t="shared" si="3"/>
        <v>7434220</v>
      </c>
    </row>
    <row r="16" spans="3:9" x14ac:dyDescent="0.35">
      <c r="C16" s="37" t="s">
        <v>14</v>
      </c>
      <c r="D16" s="5">
        <f>Q3Working!D24</f>
        <v>390700</v>
      </c>
      <c r="E16" s="5">
        <f>Q3Working!E24</f>
        <v>545500</v>
      </c>
      <c r="F16" s="5">
        <f>Q3Working!F24</f>
        <v>738000</v>
      </c>
      <c r="G16" s="5">
        <f>Q3Working!G24</f>
        <v>988600</v>
      </c>
      <c r="H16" s="5">
        <f>Q3Working!H24</f>
        <v>1385500</v>
      </c>
      <c r="I16" s="5">
        <f>Q3Working!I24</f>
        <v>1635500</v>
      </c>
    </row>
    <row r="17" spans="3:9" x14ac:dyDescent="0.35">
      <c r="C17" s="36" t="s">
        <v>15</v>
      </c>
      <c r="D17" s="6">
        <f>D15-D16</f>
        <v>1385300</v>
      </c>
      <c r="E17" s="6">
        <f t="shared" ref="E17:I17" si="4">E15-E16</f>
        <v>1933960</v>
      </c>
      <c r="F17" s="6">
        <f t="shared" si="4"/>
        <v>2616600</v>
      </c>
      <c r="G17" s="6">
        <f t="shared" si="4"/>
        <v>3505100</v>
      </c>
      <c r="H17" s="6">
        <f t="shared" si="4"/>
        <v>4912360</v>
      </c>
      <c r="I17" s="6">
        <f t="shared" si="4"/>
        <v>5798720</v>
      </c>
    </row>
    <row r="18" spans="3:9" x14ac:dyDescent="0.35">
      <c r="C18" s="37" t="s">
        <v>16</v>
      </c>
      <c r="D18" s="5">
        <f>Q3Working!D26</f>
        <v>150000</v>
      </c>
      <c r="E18" s="5">
        <f>Q3Working!E26</f>
        <v>165000</v>
      </c>
      <c r="F18" s="5">
        <f>Q3Working!F26</f>
        <v>181500.00000000003</v>
      </c>
      <c r="G18" s="5">
        <f>Q3Working!G26</f>
        <v>199650.00000000006</v>
      </c>
      <c r="H18" s="5">
        <f>Q3Working!H26</f>
        <v>219615.00000000009</v>
      </c>
      <c r="I18" s="5">
        <f>Q3Working!I26</f>
        <v>241576.50000000012</v>
      </c>
    </row>
    <row r="19" spans="3:9" x14ac:dyDescent="0.35">
      <c r="C19" s="99" t="s">
        <v>17</v>
      </c>
      <c r="D19" s="7">
        <f>D17-D18</f>
        <v>1235300</v>
      </c>
      <c r="E19" s="7">
        <f t="shared" ref="E19:I19" si="5">E17-E18</f>
        <v>1768960</v>
      </c>
      <c r="F19" s="7">
        <f t="shared" si="5"/>
        <v>2435100</v>
      </c>
      <c r="G19" s="7">
        <f t="shared" si="5"/>
        <v>3305450</v>
      </c>
      <c r="H19" s="7">
        <f t="shared" si="5"/>
        <v>4692745</v>
      </c>
      <c r="I19" s="7">
        <f t="shared" si="5"/>
        <v>5557143.5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Q1A</vt:lpstr>
      <vt:lpstr>Q1B</vt:lpstr>
      <vt:lpstr>Q1C</vt:lpstr>
      <vt:lpstr>Q2A</vt:lpstr>
      <vt:lpstr>Q2B</vt:lpstr>
      <vt:lpstr>Q2C</vt:lpstr>
      <vt:lpstr>Q3Instructions</vt:lpstr>
      <vt:lpstr>Q3Working</vt:lpstr>
      <vt:lpstr>Q3P&amp;L</vt:lpstr>
      <vt:lpstr>Q3Bal Sheet</vt:lpstr>
      <vt:lpstr>Q3Cash Flow</vt:lpstr>
      <vt:lpstr>Q4A</vt:lpstr>
      <vt:lpstr>Q4B</vt:lpstr>
      <vt:lpstr>Q4C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Deepak Tiwari</dc:creator>
  <cp:lastModifiedBy>Deepak Tiwari</cp:lastModifiedBy>
  <cp:lastPrinted>2025-03-03T20:16:20Z</cp:lastPrinted>
  <dcterms:created xsi:type="dcterms:W3CDTF">2015-06-05T18:17:20Z</dcterms:created>
  <dcterms:modified xsi:type="dcterms:W3CDTF">2025-03-08T10:54:37Z</dcterms:modified>
</cp:coreProperties>
</file>