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1116"/>
  <workbookPr/>
  <mc:AlternateContent xmlns:mc="http://schemas.openxmlformats.org/markup-compatibility/2006">
    <mc:Choice Requires="x15">
      <x15ac:absPath xmlns:x15ac="http://schemas.microsoft.com/office/spreadsheetml/2010/11/ac" url="/Users/vanshikapaharia/Desktop/IAQS/"/>
    </mc:Choice>
  </mc:AlternateContent>
  <xr:revisionPtr revIDLastSave="0" documentId="13_ncr:1_{4BDEACF2-DFBA-8C4E-9F43-8E3DFCE20274}" xr6:coauthVersionLast="47" xr6:coauthVersionMax="47" xr10:uidLastSave="{00000000-0000-0000-0000-000000000000}"/>
  <bookViews>
    <workbookView xWindow="0" yWindow="500" windowWidth="28800" windowHeight="15800" xr2:uid="{00000000-000D-0000-FFFF-FFFF00000000}"/>
  </bookViews>
  <sheets>
    <sheet name="Investment Indices" sheetId="1" r:id="rId1"/>
    <sheet name="Relative Performance" sheetId="3" r:id="rId2"/>
    <sheet name="Risk Adjusted Returns" sheetId="4" r:id="rId3"/>
    <sheet name="Rate of Return" sheetId="5"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24" i="1" l="1"/>
  <c r="B23" i="1"/>
  <c r="I5" i="5"/>
  <c r="S18" i="4"/>
  <c r="P18" i="4"/>
  <c r="P17" i="4"/>
  <c r="S16" i="4"/>
  <c r="S15" i="4"/>
  <c r="P15" i="4"/>
  <c r="P7" i="4"/>
  <c r="V5" i="4"/>
  <c r="V4" i="4" s="1"/>
  <c r="V3" i="4"/>
  <c r="S4" i="4" s="1"/>
  <c r="S3" i="4"/>
  <c r="P3" i="4"/>
  <c r="S6" i="4" l="1"/>
  <c r="V7" i="4"/>
  <c r="P5" i="4"/>
  <c r="S5" i="4"/>
  <c r="P13" i="4"/>
  <c r="S13" i="4"/>
  <c r="S17" i="4" s="1"/>
  <c r="S19" i="4" s="1"/>
  <c r="P6" i="4"/>
  <c r="P14" i="4"/>
  <c r="S14" i="4"/>
  <c r="P4" i="4"/>
  <c r="P16" i="4" l="1"/>
  <c r="P19" i="4" s="1"/>
  <c r="P20" i="4" s="1"/>
  <c r="P8" i="4"/>
  <c r="P9" i="4" s="1"/>
  <c r="I8" i="5"/>
  <c r="I7" i="5"/>
  <c r="I6" i="5"/>
  <c r="B11" i="5"/>
  <c r="H9" i="5"/>
  <c r="H8" i="5"/>
  <c r="H7" i="5"/>
  <c r="H6" i="5"/>
  <c r="H5" i="5"/>
  <c r="G8" i="5"/>
  <c r="G7" i="5"/>
  <c r="G6" i="5"/>
  <c r="G5" i="5"/>
  <c r="C5" i="3"/>
  <c r="B16" i="3" s="1"/>
  <c r="C12" i="4"/>
  <c r="B12" i="4"/>
  <c r="B11" i="4"/>
  <c r="C11" i="4"/>
  <c r="C10" i="4"/>
  <c r="B10" i="4"/>
  <c r="C9" i="4"/>
  <c r="B9" i="4"/>
  <c r="C7" i="4"/>
  <c r="B7" i="4"/>
  <c r="E38" i="3"/>
  <c r="C33" i="3"/>
  <c r="B33" i="3"/>
  <c r="E33" i="3"/>
  <c r="D33" i="3"/>
  <c r="D35" i="3" s="1"/>
  <c r="B29" i="3"/>
  <c r="E29" i="3"/>
  <c r="E35" i="3" s="1"/>
  <c r="D29" i="3"/>
  <c r="C29" i="3"/>
  <c r="E16" i="3"/>
  <c r="E39" i="3" s="1"/>
  <c r="E11" i="3"/>
  <c r="E26" i="3"/>
  <c r="E41" i="3" s="1"/>
  <c r="E21" i="3"/>
  <c r="E40" i="3" s="1"/>
  <c r="F24" i="3"/>
  <c r="D26" i="3" s="1"/>
  <c r="D41" i="3" s="1"/>
  <c r="F19" i="3"/>
  <c r="D21" i="3" s="1"/>
  <c r="D40" i="3" s="1"/>
  <c r="F14" i="3"/>
  <c r="D16" i="3" s="1"/>
  <c r="D39" i="3" s="1"/>
  <c r="F9" i="3"/>
  <c r="D11" i="3" s="1"/>
  <c r="C26" i="3"/>
  <c r="C41" i="3" s="1"/>
  <c r="C21" i="3"/>
  <c r="C40" i="3" s="1"/>
  <c r="C11" i="3"/>
  <c r="C38" i="3" s="1"/>
  <c r="C16" i="3"/>
  <c r="C39" i="3" s="1"/>
  <c r="E5" i="3"/>
  <c r="B26" i="3" s="1"/>
  <c r="B41" i="3" s="1"/>
  <c r="D5" i="3"/>
  <c r="B21" i="3" s="1"/>
  <c r="B40" i="3" s="1"/>
  <c r="B5" i="3"/>
  <c r="B11" i="3" s="1"/>
  <c r="B38" i="3" s="1"/>
  <c r="F29" i="3" l="1"/>
  <c r="B35" i="3"/>
  <c r="C35" i="3"/>
  <c r="D30" i="3"/>
  <c r="D34" i="3" s="1"/>
  <c r="E30" i="3"/>
  <c r="E31" i="3" s="1"/>
  <c r="D38" i="3"/>
  <c r="C30" i="3"/>
  <c r="C34" i="3" s="1"/>
  <c r="B30" i="3"/>
  <c r="B39" i="3"/>
  <c r="F30" i="3" l="1"/>
  <c r="F31" i="3" s="1"/>
  <c r="B34" i="3"/>
  <c r="C31" i="3"/>
  <c r="B31" i="3"/>
  <c r="D31" i="3"/>
  <c r="E34" i="3"/>
</calcChain>
</file>

<file path=xl/sharedStrings.xml><?xml version="1.0" encoding="utf-8"?>
<sst xmlns="http://schemas.openxmlformats.org/spreadsheetml/2006/main" count="340" uniqueCount="244">
  <si>
    <t>FTSE UK Index Series</t>
  </si>
  <si>
    <t>Dow Jones Industrial Average</t>
  </si>
  <si>
    <t>S&amp;P500</t>
  </si>
  <si>
    <t>NASDAQ</t>
  </si>
  <si>
    <t>Nikkei</t>
  </si>
  <si>
    <t>Topix</t>
  </si>
  <si>
    <t>DAX</t>
  </si>
  <si>
    <t>Free float</t>
  </si>
  <si>
    <t>500 leading companies of the USA</t>
  </si>
  <si>
    <t>30 shares quoted in various stock exchanges</t>
  </si>
  <si>
    <t>suitable for performance measurement</t>
  </si>
  <si>
    <t>250 shares</t>
  </si>
  <si>
    <t>VIX - volatility index</t>
  </si>
  <si>
    <t>30 day expiry put and call options on S&amp;P 500 index</t>
  </si>
  <si>
    <t>Consituents</t>
  </si>
  <si>
    <t>Float</t>
  </si>
  <si>
    <t>Index Type</t>
  </si>
  <si>
    <t>Weights</t>
  </si>
  <si>
    <t>Consists of all stocks wholly quoted in the UK equity market</t>
  </si>
  <si>
    <t>Weighted index</t>
  </si>
  <si>
    <t>Mcap as weight</t>
  </si>
  <si>
    <t>Other Properties</t>
  </si>
  <si>
    <t>UK</t>
  </si>
  <si>
    <t>USA</t>
  </si>
  <si>
    <t>Japan</t>
  </si>
  <si>
    <t>Germany</t>
  </si>
  <si>
    <t>France</t>
  </si>
  <si>
    <t>International</t>
  </si>
  <si>
    <t>FTSE Global EQ Index Series</t>
  </si>
  <si>
    <t>Morgan Stanley Capital Int. Index</t>
  </si>
  <si>
    <t>Fixed Income</t>
  </si>
  <si>
    <t>FTSE Gilts Index Series</t>
  </si>
  <si>
    <t>FTSE Global Bond Index Series</t>
  </si>
  <si>
    <t>Markit Iboxx Fixed Income Indices</t>
  </si>
  <si>
    <t>Credit Derivative Indices</t>
  </si>
  <si>
    <t>Itraxx Europe Main</t>
  </si>
  <si>
    <t>Geography/Subtype</t>
  </si>
  <si>
    <t>Representation</t>
  </si>
  <si>
    <t>Performance Measurement Suitability</t>
  </si>
  <si>
    <t>Dividend Payment</t>
  </si>
  <si>
    <t>Investible?</t>
  </si>
  <si>
    <t>Sub-Indices</t>
  </si>
  <si>
    <t>Used as basis for ETFs and Derivatives</t>
  </si>
  <si>
    <t>Underlying?</t>
  </si>
  <si>
    <t>1. FTSE 100 Index (100 largest by Mcap)
2. FTSE 250 Index (250 just below top 100)
3. FTSe 350 Supersectors (combination of 1&amp;2)
4. FTSE SmallCap (below the top 350 and activelt traded)
5. FTSe All Share - Combines 3,4
6. FTSE Fledgling Index - Remaining, marketable but smaller than smallcap index
7. FTSE Aim Index Series - AI market, free float</t>
  </si>
  <si>
    <t>Unweighted Index (Arithmetic)</t>
  </si>
  <si>
    <t>No weights</t>
  </si>
  <si>
    <t>Not representative of the American equity market however it is very widely reported</t>
  </si>
  <si>
    <t>not very suitable for performance measurement as a small consitituent can have large impact on the index value - only 30 shares, no weighting</t>
  </si>
  <si>
    <t>No</t>
  </si>
  <si>
    <t>Represents a broad cross section of all sectors of the market</t>
  </si>
  <si>
    <t>Suitable for performance measurement of a fund's portfolio of USA equities</t>
  </si>
  <si>
    <t>Used as basis of stock index futures</t>
  </si>
  <si>
    <t>Yes</t>
  </si>
  <si>
    <t>Sub indices for sectors are present</t>
  </si>
  <si>
    <t>1. NASDAQ 100 (top non fin companies)
2. NASDAQ Financial 100</t>
  </si>
  <si>
    <t>Unweighted Index</t>
  </si>
  <si>
    <t>Represents entire UK market - main indicator of short term movements</t>
  </si>
  <si>
    <t>Indicator of short term movements in the Japanese market</t>
  </si>
  <si>
    <t>225 constituents - not the largest (50% of market value of tokyo stock exchange)</t>
  </si>
  <si>
    <t>Approx 1700 shares</t>
  </si>
  <si>
    <t>Leading companies in market</t>
  </si>
  <si>
    <t>More comprehensive than Nikkei and more suitable for performance measurement</t>
  </si>
  <si>
    <t>Less suitable than Topix since not top companies and unweighted</t>
  </si>
  <si>
    <t>Real time index of 40 leading shares</t>
  </si>
  <si>
    <t>Total Return</t>
  </si>
  <si>
    <t>CAC General Index</t>
  </si>
  <si>
    <t>1. CAC 40 - 40 largest stocks</t>
  </si>
  <si>
    <t>Perception of Risk</t>
  </si>
  <si>
    <t>Weighted Index</t>
  </si>
  <si>
    <t>- Level of index quoted in annualised percentage terms
- risk neutral expectation of volatility on the S&amp;P index over a 30 day period
- Uses prices of options to calculate implied volatility</t>
  </si>
  <si>
    <t>8000 securities in 48 countries</t>
  </si>
  <si>
    <t>More suitable for performance measurement than local indices sometimes</t>
  </si>
  <si>
    <t>Shown for each country in US Dollars and local currency terms</t>
  </si>
  <si>
    <t>-Easier to obtain than local currencies
- Stock not available to foreign investors not included</t>
  </si>
  <si>
    <t>Developed and emerging markets</t>
  </si>
  <si>
    <t>Covers Conventional and Index linked gilts</t>
  </si>
  <si>
    <t>Price, Total Return and Yield Indices</t>
  </si>
  <si>
    <t>- Calculated using dirty prices
- Rebalanced whenever changes to market constituents, chain linked
- Constructed by fitting curve to gross redemption yields of the stocks (UK yield index)</t>
  </si>
  <si>
    <t>Fixed income indices covering principal bond markets - US, France, Germany, Japan and global emerging markets</t>
  </si>
  <si>
    <t>1. FTSE Global Govt Bond Indices - 22 countries in domestic currency, sub indices for maturities
2. FTSE Covered Bond Indices - securitised issues; Jumbo pfandbrief and Obligations Foncieres from France
3. FTSE Corp Bond - Investment grade bonds from corp entities
4. FTSE Euro Emerging Market Bond Indices - euro denominated govt bonds from emerging markets</t>
  </si>
  <si>
    <t>Euro, Sterling, Asian, US dollar, European High Yield Bond markets</t>
  </si>
  <si>
    <t>Comprise liquid investment grade bond indices in categories -
1. Sovereigns
2. Sub Sovereigns
3. Collateralised
4. Corporates
5. Financials
6. Non Fin</t>
  </si>
  <si>
    <t xml:space="preserve">Bid and ask bond prices by leading investment banks </t>
  </si>
  <si>
    <t>Top 125 names in terms of CDS volume trades in 6 months prior to this</t>
  </si>
  <si>
    <t>Unweighted Average (of the CDS premium)</t>
  </si>
  <si>
    <t>No weight</t>
  </si>
  <si>
    <t>Sub Sector Indices present for different industries</t>
  </si>
  <si>
    <t>- Changed every 6 months (rolling the index)
- 3,4,5,7,10 year maturity CDS</t>
  </si>
  <si>
    <t>Index</t>
  </si>
  <si>
    <t>Actual Allocation</t>
  </si>
  <si>
    <t>Cash</t>
  </si>
  <si>
    <t>Strategic Allocation/Notional</t>
  </si>
  <si>
    <t>Q1</t>
  </si>
  <si>
    <t>Q2</t>
  </si>
  <si>
    <t>Q3</t>
  </si>
  <si>
    <t>Q4</t>
  </si>
  <si>
    <t>Dom - Eq</t>
  </si>
  <si>
    <t>Value</t>
  </si>
  <si>
    <t>BM Return</t>
  </si>
  <si>
    <t>Actual Return</t>
  </si>
  <si>
    <t>Benchmark Returns</t>
  </si>
  <si>
    <t>Total</t>
  </si>
  <si>
    <t>Starting Values (Actual)</t>
  </si>
  <si>
    <t>Rebalanced at Q2</t>
  </si>
  <si>
    <t>Underperformance/Overperformance</t>
  </si>
  <si>
    <t>Stock Selection</t>
  </si>
  <si>
    <t>Sector Selection</t>
  </si>
  <si>
    <t>Faa - Fan</t>
  </si>
  <si>
    <t>Fan - Fnn</t>
  </si>
  <si>
    <t>Fund Return (Actual/Notional)</t>
  </si>
  <si>
    <t>Stock performance for whole fund</t>
  </si>
  <si>
    <t>Sector performance for whole fund</t>
  </si>
  <si>
    <t>Overseas - Eq</t>
  </si>
  <si>
    <t>Bond</t>
  </si>
  <si>
    <t>Stock Selection - Class Wise</t>
  </si>
  <si>
    <t>RFR</t>
  </si>
  <si>
    <t>Annual Return</t>
  </si>
  <si>
    <t>A</t>
  </si>
  <si>
    <t>B</t>
  </si>
  <si>
    <t>SD</t>
  </si>
  <si>
    <t>Correlation Coeff with Index</t>
  </si>
  <si>
    <t>Beta</t>
  </si>
  <si>
    <t>Sharpe</t>
  </si>
  <si>
    <t>Treynor</t>
  </si>
  <si>
    <t>Jensen</t>
  </si>
  <si>
    <t>Pre-Spec</t>
  </si>
  <si>
    <t>Limitations</t>
  </si>
  <si>
    <t>1. Only considers variance risk, not actuarial risk of not meeting objectives or strategic risk of being away from benchmark allocations.</t>
  </si>
  <si>
    <t xml:space="preserve">3. It is possible the investor has good risk adjusted returns only because they are taking more risk. 
It does not necessarily mean good decision making regarding different allocations from benchmark allocation.
The relative performance against benchmark is not analysed here.
</t>
  </si>
  <si>
    <t>4. No guarantee of future performance following past performance. It is possible asset allocation within trust is changed later or recession.</t>
  </si>
  <si>
    <t>5. Costs and tax status impact is not visible</t>
  </si>
  <si>
    <t>2. Does not consider timescales - both investors might have different time horizons of risk and return measurement/ A different time period would give different results.</t>
  </si>
  <si>
    <t>6. We do not know if entire wealth is in the trust or a part of it. Only then can we understand which risk adjusted measures are the right ones to use.</t>
  </si>
  <si>
    <t xml:space="preserve"> </t>
  </si>
  <si>
    <t>Relative to Benchmark - Sum</t>
  </si>
  <si>
    <t>Performance Can be Measured in 3 ways</t>
  </si>
  <si>
    <t>Against Manager's Benchmark</t>
  </si>
  <si>
    <t>Against Competitors</t>
  </si>
  <si>
    <t>Relative to Actual/Notional PF</t>
  </si>
  <si>
    <t>Sector/Stock Selection Formula</t>
  </si>
  <si>
    <t>Stock Selection - Asset Class</t>
  </si>
  <si>
    <t>Sector Selection - Asset Class</t>
  </si>
  <si>
    <t>Wa * (Ra-Rn)</t>
  </si>
  <si>
    <t>(Wa-Wn) * (Rn-Rbm)</t>
  </si>
  <si>
    <t>Relevance</t>
  </si>
  <si>
    <t>Ease of Calculation</t>
  </si>
  <si>
    <t>Date</t>
  </si>
  <si>
    <t>Manager's skill</t>
  </si>
  <si>
    <t>Fee Calculation</t>
  </si>
  <si>
    <t>Corresponds directly with manager's objectives</t>
  </si>
  <si>
    <t>Other funds may have different objectives and not comparable</t>
  </si>
  <si>
    <t>Index may be inappropriate for investor's objectives</t>
  </si>
  <si>
    <t>Simple</t>
  </si>
  <si>
    <t>Available as uses mainly published indices</t>
  </si>
  <si>
    <t>May be a lack of readily available data</t>
  </si>
  <si>
    <t>Reflects skill at meeting overall target</t>
  </si>
  <si>
    <t>Shows relative skill, but not a fair comparison</t>
  </si>
  <si>
    <t>Shows stock selection and asset allocation skills separately</t>
  </si>
  <si>
    <t>Allows calc of fees</t>
  </si>
  <si>
    <t>Not relevant to fees</t>
  </si>
  <si>
    <t>Period</t>
  </si>
  <si>
    <t>MV of fund</t>
  </si>
  <si>
    <t>Index Value</t>
  </si>
  <si>
    <t>Div Yield on Index</t>
  </si>
  <si>
    <t>CF</t>
  </si>
  <si>
    <t>Income on Fund</t>
  </si>
  <si>
    <t>TWRR</t>
  </si>
  <si>
    <t>MWRR</t>
  </si>
  <si>
    <t>Linked IRR</t>
  </si>
  <si>
    <t>Index Return</t>
  </si>
  <si>
    <t>Q0</t>
  </si>
  <si>
    <t>Total Return Index</t>
  </si>
  <si>
    <t>t</t>
  </si>
  <si>
    <t>Cap Index</t>
  </si>
  <si>
    <t>Accumulated Dividend at t</t>
  </si>
  <si>
    <t>Return in Y1</t>
  </si>
  <si>
    <t>Return in Y2</t>
  </si>
  <si>
    <t>Treynor Measure (T)</t>
  </si>
  <si>
    <t>Sharpe Measure (S)</t>
  </si>
  <si>
    <t>Return from portfolio (Rp)</t>
  </si>
  <si>
    <t>risk free rate ( r)</t>
  </si>
  <si>
    <t>Correlation (portfolio return, Benchmark return) = Cov(Portfolio returns, market returns)/(SD of Market * SD of Portfolio)</t>
  </si>
  <si>
    <t>Correlation (portfolio return, Benchmark return)</t>
  </si>
  <si>
    <t>Standard deviation of Portfolio (sigma_p)</t>
  </si>
  <si>
    <t>S = (Rp-r)/sigma</t>
  </si>
  <si>
    <t>Standard deviation of Benchmark (sigma_m)</t>
  </si>
  <si>
    <t>Beta (correlation (portfolio, BM)* SD (portfolio)/SD(BM)</t>
  </si>
  <si>
    <t>Return from Benchmark (Rm)</t>
  </si>
  <si>
    <t>T = (Rp-r)/Beta</t>
  </si>
  <si>
    <t>Jenson Measure (J)</t>
  </si>
  <si>
    <t>Pre-Specified Standard Deviation (D)</t>
  </si>
  <si>
    <t>Rb = r+ (Sigma_p/sigma_m)*(Rm-r)</t>
  </si>
  <si>
    <t>Rb = r + Beta *(Rm-r)</t>
  </si>
  <si>
    <t>D = Rp-Rb</t>
  </si>
  <si>
    <t>J = Rp-Rb</t>
  </si>
  <si>
    <t>-Reviewed twice a year</t>
  </si>
  <si>
    <t>Uses of Indices</t>
  </si>
  <si>
    <t>Measure short term market movements</t>
  </si>
  <si>
    <t>history of market movements and levels</t>
  </si>
  <si>
    <t>Estimate future movements in market based on trends</t>
  </si>
  <si>
    <t>benchmark against which performance to be assessed of inv pfs</t>
  </si>
  <si>
    <t>valuing notional pf</t>
  </si>
  <si>
    <t>analysing subsectors of market</t>
  </si>
  <si>
    <t>Acts as basis of index funds that track index or market</t>
  </si>
  <si>
    <t>Basis of creation of derivatives</t>
  </si>
  <si>
    <t>std against which yields on fixed income inv can be assessed</t>
  </si>
  <si>
    <t>Equity</t>
  </si>
  <si>
    <t>Approximate val of fixed interest pf</t>
  </si>
  <si>
    <t>Proving a picture of general yield structure of fixed int inv</t>
  </si>
  <si>
    <t>yield indices allow comparison to be made with yields on ordinary shares as a measure of yield gap between debt and equity</t>
  </si>
  <si>
    <t>Risk Adjusted Return Calc</t>
  </si>
  <si>
    <t>C</t>
  </si>
  <si>
    <t>D</t>
  </si>
  <si>
    <t>Rate of Return Calculations</t>
  </si>
  <si>
    <t>Uses of Relative Performance</t>
  </si>
  <si>
    <t>1. To Improve future performance</t>
  </si>
  <si>
    <t>2. Comparison of rate achieved against a target rate</t>
  </si>
  <si>
    <t>3. Comparison against performance of other PF/Index/Benchmark</t>
  </si>
  <si>
    <t>4. To Appraise and remunerate investement manager</t>
  </si>
  <si>
    <t>1. Projection of Past Returns - past returns may not recur in future, same techniques not useful for changed future</t>
  </si>
  <si>
    <t xml:space="preserve">2.Risk - measurement of relative performance should take risk into consideration
</t>
  </si>
  <si>
    <t>3. Timescale - frequency of relative measurement calculation - avoid spuriousness but frequently enough</t>
  </si>
  <si>
    <t>4. Differing Fund Objectives - Different funds have diff constraints and objectives. Comparison not valid. Different tax, costs etc.</t>
  </si>
  <si>
    <t>5. Impact on Fund manager Behaviour - might encourage higher risk, short term approach</t>
  </si>
  <si>
    <t>6. Costs</t>
  </si>
  <si>
    <t>-Euro index value is computed
- For each index, avg net dividend cover, actual dividend yield, price earnings ratio and ex dividend adjustment
- Reviewed every quarter</t>
  </si>
  <si>
    <t>All stocks traded on the NASDAQ market, about 500</t>
  </si>
  <si>
    <t>1. FTSE Developed All Cap Index
2. FTSE All World Index - Large/MidCap aggregate of around 2700 stocks
3. Developed, Advanced Emerging, Secondary Emerging
4. FTSE Global Climate Index Series</t>
  </si>
  <si>
    <t>Included - total returns index also calculated</t>
  </si>
  <si>
    <t>Weighted Index and total returns also</t>
  </si>
  <si>
    <t>1. MSCI ACWI (All Country World Index) - 46 county indices, (23 developed and 23 emerging)</t>
  </si>
  <si>
    <t>India</t>
  </si>
  <si>
    <t>Mcap</t>
  </si>
  <si>
    <t>Weighted</t>
  </si>
  <si>
    <t>Benchmarking, Index funds and index based derivatives</t>
  </si>
  <si>
    <t>Managed by India Index Services and Products Ltd (IISL)</t>
  </si>
  <si>
    <t>Index based derivatives</t>
  </si>
  <si>
    <t>Cap wise, and sector wise broken down</t>
  </si>
  <si>
    <t>Flagship NSE index. Blue chip companies tracked. (1996)</t>
  </si>
  <si>
    <t>1986 - BSE Index,  30 components, large, well estabilished and financially sound companies</t>
  </si>
  <si>
    <t>Sensex (S&amp;P)</t>
  </si>
  <si>
    <t>NIFTY 50 (IISL)</t>
  </si>
  <si>
    <t>Indian stock market and economy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</si>
</sst>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_ * #,##0.0000_ ;_ * \-#,##0.0000_ ;_ * &quot;-&quot;??_ ;_ @_ "/>
    <numFmt numFmtId="166" formatCode="0.0%"/>
    <numFmt numFmtId="167" formatCode="0.0000"/>
    <numFmt numFmtId="168" formatCode="0.000"/>
  </numFmts>
  <fonts count="5" x14ac:knownFonts="1">
    <font>
      <sz val="11"/>
      <color theme="1"/>
      <name val="Calibri"/>
      <family val="2"/>
      <scheme val="minor"/>
    </font>
    <font>
      <b/>
      <sz val="10"/>
      <color theme="1"/>
      <name val="Arial"/>
      <family val="2"/>
    </font>
    <font>
      <sz val="10"/>
      <color theme="1"/>
      <name val="Arial"/>
      <family val="2"/>
    </font>
    <font>
      <sz val="11"/>
      <color theme="1"/>
      <name val="Calibri"/>
      <family val="2"/>
      <scheme val="minor"/>
    </font>
    <font>
      <b/>
      <sz val="11"/>
      <color theme="1"/>
      <name val="Calibri"/>
      <family val="2"/>
      <scheme val="minor"/>
    </font>
  </fonts>
  <fills count="8">
    <fill>
      <patternFill patternType="none"/>
    </fill>
    <fill>
      <patternFill patternType="gray125"/>
    </fill>
    <fill>
      <patternFill patternType="solid">
        <fgColor theme="0" tint="-0.14999847407452621"/>
        <bgColor indexed="64"/>
      </patternFill>
    </fill>
    <fill>
      <patternFill patternType="solid">
        <fgColor theme="4" tint="0.79998168889431442"/>
        <bgColor indexed="64"/>
      </patternFill>
    </fill>
    <fill>
      <patternFill patternType="solid">
        <fgColor theme="7" tint="0.79998168889431442"/>
        <bgColor indexed="64"/>
      </patternFill>
    </fill>
    <fill>
      <patternFill patternType="solid">
        <fgColor theme="0"/>
        <bgColor indexed="64"/>
      </patternFill>
    </fill>
    <fill>
      <patternFill patternType="solid">
        <fgColor theme="0" tint="-0.249977111117893"/>
        <bgColor indexed="64"/>
      </patternFill>
    </fill>
    <fill>
      <patternFill patternType="solid">
        <fgColor theme="9" tint="0.79998168889431442"/>
        <bgColor indexed="64"/>
      </patternFill>
    </fill>
  </fills>
  <borders count="3">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n">
        <color theme="0" tint="-0.249977111117893"/>
      </left>
      <right style="thin">
        <color theme="0" tint="-0.249977111117893"/>
      </right>
      <top/>
      <bottom style="thin">
        <color theme="0" tint="-0.249977111117893"/>
      </bottom>
      <diagonal/>
    </border>
  </borders>
  <cellStyleXfs count="3">
    <xf numFmtId="0" fontId="0" fillId="0" borderId="0"/>
    <xf numFmtId="9" fontId="3" fillId="0" borderId="0" applyFont="0" applyFill="0" applyBorder="0" applyAlignment="0" applyProtection="0"/>
    <xf numFmtId="164" fontId="3" fillId="0" borderId="0" applyFont="0" applyFill="0" applyBorder="0" applyAlignment="0" applyProtection="0"/>
  </cellStyleXfs>
  <cellXfs count="61">
    <xf numFmtId="0" fontId="0" fillId="0" borderId="0" xfId="0"/>
    <xf numFmtId="0" fontId="1" fillId="0" borderId="0" xfId="0" applyFont="1" applyAlignment="1">
      <alignment vertical="center" wrapText="1"/>
    </xf>
    <xf numFmtId="0" fontId="2" fillId="0" borderId="0" xfId="0" applyFont="1" applyAlignment="1">
      <alignment vertical="center" wrapText="1"/>
    </xf>
    <xf numFmtId="0" fontId="2" fillId="0" borderId="1" xfId="0" applyFont="1" applyBorder="1" applyAlignment="1">
      <alignment vertical="center" wrapText="1"/>
    </xf>
    <xf numFmtId="0" fontId="1" fillId="2" borderId="0" xfId="0" applyFont="1" applyFill="1" applyAlignment="1">
      <alignment horizontal="center" vertical="center" wrapText="1"/>
    </xf>
    <xf numFmtId="0" fontId="1" fillId="3" borderId="1" xfId="0" applyFont="1" applyFill="1" applyBorder="1" applyAlignment="1">
      <alignment horizontal="center" vertical="center" wrapText="1"/>
    </xf>
    <xf numFmtId="0" fontId="2" fillId="0" borderId="0" xfId="0" applyFont="1" applyAlignment="1">
      <alignment horizontal="center" vertical="center" wrapText="1"/>
    </xf>
    <xf numFmtId="0" fontId="2" fillId="0" borderId="1" xfId="0" quotePrefix="1" applyFont="1" applyBorder="1" applyAlignment="1">
      <alignment vertical="center" wrapText="1"/>
    </xf>
    <xf numFmtId="0" fontId="1" fillId="0" borderId="0" xfId="0" applyFont="1" applyAlignment="1">
      <alignment horizontal="center" vertical="center" wrapText="1"/>
    </xf>
    <xf numFmtId="0" fontId="1" fillId="2" borderId="2" xfId="0" applyFont="1" applyFill="1" applyBorder="1" applyAlignment="1">
      <alignment horizontal="center" vertical="center" wrapText="1"/>
    </xf>
    <xf numFmtId="0" fontId="1" fillId="4" borderId="1" xfId="0" applyFont="1" applyFill="1" applyBorder="1" applyAlignment="1">
      <alignment horizontal="center" vertical="center" wrapText="1"/>
    </xf>
    <xf numFmtId="0" fontId="2" fillId="2" borderId="1" xfId="0" applyFont="1" applyFill="1" applyBorder="1" applyAlignment="1">
      <alignment vertical="center" wrapText="1"/>
    </xf>
    <xf numFmtId="0" fontId="2" fillId="5" borderId="1" xfId="0" quotePrefix="1" applyFont="1" applyFill="1" applyBorder="1" applyAlignment="1">
      <alignment vertical="center" wrapText="1"/>
    </xf>
    <xf numFmtId="0" fontId="2" fillId="0" borderId="0" xfId="0" applyFont="1" applyAlignment="1">
      <alignment vertical="center"/>
    </xf>
    <xf numFmtId="0" fontId="2" fillId="0" borderId="0" xfId="0" applyFont="1" applyAlignment="1">
      <alignment horizontal="center" vertical="center"/>
    </xf>
    <xf numFmtId="0" fontId="2" fillId="0" borderId="0" xfId="0" applyFont="1" applyAlignment="1">
      <alignment horizontal="left" vertical="center" wrapText="1"/>
    </xf>
    <xf numFmtId="0" fontId="1" fillId="0" borderId="0" xfId="0" applyFont="1" applyAlignment="1">
      <alignment vertical="center"/>
    </xf>
    <xf numFmtId="0" fontId="1" fillId="0" borderId="0" xfId="0" applyFont="1" applyAlignment="1">
      <alignment horizontal="left" vertical="center"/>
    </xf>
    <xf numFmtId="10" fontId="0" fillId="0" borderId="0" xfId="0" applyNumberFormat="1"/>
    <xf numFmtId="10" fontId="0" fillId="0" borderId="0" xfId="1" applyNumberFormat="1" applyFont="1"/>
    <xf numFmtId="0" fontId="4" fillId="0" borderId="0" xfId="0" applyFont="1"/>
    <xf numFmtId="167" fontId="0" fillId="0" borderId="0" xfId="0" applyNumberFormat="1"/>
    <xf numFmtId="9" fontId="0" fillId="0" borderId="0" xfId="0" applyNumberFormat="1"/>
    <xf numFmtId="167" fontId="0" fillId="0" borderId="0" xfId="1" applyNumberFormat="1" applyFont="1"/>
    <xf numFmtId="2" fontId="0" fillId="0" borderId="0" xfId="1" applyNumberFormat="1" applyFont="1"/>
    <xf numFmtId="166" fontId="0" fillId="0" borderId="0" xfId="0" applyNumberFormat="1"/>
    <xf numFmtId="2" fontId="0" fillId="0" borderId="0" xfId="0" applyNumberFormat="1"/>
    <xf numFmtId="168" fontId="0" fillId="0" borderId="0" xfId="0" applyNumberFormat="1"/>
    <xf numFmtId="0" fontId="2" fillId="0" borderId="1" xfId="0" applyFont="1" applyBorder="1" applyAlignment="1">
      <alignment horizontal="center" vertical="center" wrapText="1"/>
    </xf>
    <xf numFmtId="10" fontId="2" fillId="0" borderId="1" xfId="1" applyNumberFormat="1" applyFont="1" applyBorder="1" applyAlignment="1">
      <alignment vertical="center" wrapText="1"/>
    </xf>
    <xf numFmtId="0" fontId="2" fillId="6" borderId="1"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2" fillId="0" borderId="0" xfId="0" applyFont="1" applyAlignment="1">
      <alignment horizontal="left" vertical="center"/>
    </xf>
    <xf numFmtId="0" fontId="2" fillId="0" borderId="1" xfId="0" applyFont="1" applyBorder="1" applyAlignment="1">
      <alignment horizontal="left" vertical="center" wrapText="1"/>
    </xf>
    <xf numFmtId="0" fontId="2" fillId="0" borderId="1" xfId="0" applyFont="1" applyBorder="1" applyAlignment="1">
      <alignment horizontal="center" vertical="center"/>
    </xf>
    <xf numFmtId="0" fontId="2" fillId="0" borderId="1" xfId="0" applyFont="1" applyBorder="1" applyAlignment="1">
      <alignment vertical="center"/>
    </xf>
    <xf numFmtId="0" fontId="2" fillId="6" borderId="1" xfId="0" applyFont="1" applyFill="1" applyBorder="1" applyAlignment="1">
      <alignment horizontal="center" vertical="center"/>
    </xf>
    <xf numFmtId="10" fontId="2" fillId="0" borderId="1" xfId="1" applyNumberFormat="1" applyFont="1" applyBorder="1" applyAlignment="1">
      <alignment horizontal="center" vertical="center"/>
    </xf>
    <xf numFmtId="10" fontId="2" fillId="0" borderId="1" xfId="0" applyNumberFormat="1" applyFont="1" applyBorder="1" applyAlignment="1">
      <alignment horizontal="center" vertical="center"/>
    </xf>
    <xf numFmtId="0" fontId="1" fillId="6" borderId="1" xfId="0" applyFont="1" applyFill="1" applyBorder="1" applyAlignment="1">
      <alignment horizontal="center" vertical="center"/>
    </xf>
    <xf numFmtId="0" fontId="2" fillId="6" borderId="1" xfId="0" applyFont="1" applyFill="1" applyBorder="1" applyAlignment="1">
      <alignment vertical="center"/>
    </xf>
    <xf numFmtId="0" fontId="1" fillId="6" borderId="1" xfId="0" applyFont="1" applyFill="1" applyBorder="1" applyAlignment="1">
      <alignment vertical="center"/>
    </xf>
    <xf numFmtId="9" fontId="2" fillId="0" borderId="1" xfId="0" applyNumberFormat="1" applyFont="1" applyBorder="1" applyAlignment="1">
      <alignment vertical="center"/>
    </xf>
    <xf numFmtId="10" fontId="2" fillId="0" borderId="1" xfId="0" applyNumberFormat="1" applyFont="1" applyBorder="1" applyAlignment="1">
      <alignment vertical="center"/>
    </xf>
    <xf numFmtId="165" fontId="2" fillId="0" borderId="1" xfId="2" applyNumberFormat="1" applyFont="1" applyBorder="1" applyAlignment="1">
      <alignment vertical="center"/>
    </xf>
    <xf numFmtId="0" fontId="1" fillId="0" borderId="1" xfId="0" applyFont="1" applyBorder="1" applyAlignment="1">
      <alignment vertical="center"/>
    </xf>
    <xf numFmtId="0" fontId="1" fillId="0" borderId="1" xfId="0" applyFont="1" applyBorder="1" applyAlignment="1">
      <alignment vertical="center" wrapText="1"/>
    </xf>
    <xf numFmtId="10" fontId="2" fillId="0" borderId="1" xfId="1" applyNumberFormat="1" applyFont="1" applyBorder="1" applyAlignment="1">
      <alignment vertical="center"/>
    </xf>
    <xf numFmtId="0" fontId="1" fillId="0" borderId="0" xfId="0" applyFont="1" applyAlignment="1">
      <alignment horizontal="center"/>
    </xf>
    <xf numFmtId="0" fontId="2" fillId="0" borderId="0" xfId="0" applyFont="1" applyAlignment="1">
      <alignment horizontal="center"/>
    </xf>
    <xf numFmtId="0" fontId="1" fillId="0" borderId="1" xfId="0" applyFont="1" applyBorder="1" applyAlignment="1">
      <alignment horizontal="center"/>
    </xf>
    <xf numFmtId="0" fontId="2" fillId="0" borderId="1" xfId="0" applyFont="1" applyBorder="1" applyAlignment="1">
      <alignment horizontal="center"/>
    </xf>
    <xf numFmtId="10" fontId="2" fillId="0" borderId="1" xfId="0" applyNumberFormat="1" applyFont="1" applyBorder="1" applyAlignment="1">
      <alignment horizontal="center"/>
    </xf>
    <xf numFmtId="10" fontId="2" fillId="0" borderId="1" xfId="1" applyNumberFormat="1" applyFont="1" applyBorder="1" applyAlignment="1">
      <alignment horizontal="center"/>
    </xf>
    <xf numFmtId="164" fontId="2" fillId="0" borderId="0" xfId="2" applyFont="1" applyAlignment="1">
      <alignment horizontal="center"/>
    </xf>
    <xf numFmtId="0" fontId="1" fillId="6" borderId="1" xfId="0" applyFont="1" applyFill="1" applyBorder="1" applyAlignment="1">
      <alignment horizontal="center"/>
    </xf>
    <xf numFmtId="0" fontId="1" fillId="7" borderId="2" xfId="0" applyFont="1" applyFill="1" applyBorder="1" applyAlignment="1">
      <alignment horizontal="center" vertical="center" wrapText="1"/>
    </xf>
    <xf numFmtId="0" fontId="2" fillId="0" borderId="0" xfId="0" applyFont="1" applyAlignment="1">
      <alignment horizontal="center" vertical="center" wrapText="1"/>
    </xf>
    <xf numFmtId="0" fontId="1" fillId="4" borderId="1" xfId="0" applyFont="1" applyFill="1" applyBorder="1" applyAlignment="1">
      <alignment horizontal="center" vertical="center" wrapText="1"/>
    </xf>
    <xf numFmtId="0" fontId="2" fillId="0" borderId="0" xfId="0" applyFont="1" applyAlignment="1">
      <alignment horizontal="center" vertical="center"/>
    </xf>
    <xf numFmtId="0" fontId="2" fillId="0" borderId="0" xfId="0" applyFont="1" applyAlignment="1">
      <alignment horizontal="left" vertical="center" wrapText="1"/>
    </xf>
  </cellXfs>
  <cellStyles count="3">
    <cellStyle name="Comma" xfId="2" builtinId="3"/>
    <cellStyle name="Normal" xfId="0" builtinId="0"/>
    <cellStyle name="Per 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customXml" Target="../customXml/item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43"/>
  <sheetViews>
    <sheetView showGridLines="0" tabSelected="1" zoomScale="141" zoomScaleNormal="210" workbookViewId="0">
      <pane xSplit="1" ySplit="2" topLeftCell="B3" activePane="bottomRight" state="frozen"/>
      <selection activeCell="G27" sqref="G27"/>
      <selection pane="topRight" activeCell="G27" sqref="G27"/>
      <selection pane="bottomLeft" activeCell="G27" sqref="G27"/>
      <selection pane="bottomRight" activeCell="G27" sqref="G27"/>
    </sheetView>
  </sheetViews>
  <sheetFormatPr baseColWidth="10" defaultColWidth="22.5" defaultRowHeight="13" x14ac:dyDescent="0.2"/>
  <cols>
    <col min="1" max="1" width="22.5" style="6"/>
    <col min="2" max="16384" width="22.5" style="2"/>
  </cols>
  <sheetData>
    <row r="1" spans="1:18" s="8" customFormat="1" ht="12" customHeight="1" x14ac:dyDescent="0.2">
      <c r="A1" s="10" t="s">
        <v>36</v>
      </c>
      <c r="B1" s="10" t="s">
        <v>22</v>
      </c>
      <c r="C1" s="58" t="s">
        <v>23</v>
      </c>
      <c r="D1" s="58"/>
      <c r="E1" s="58"/>
      <c r="F1" s="58" t="s">
        <v>24</v>
      </c>
      <c r="G1" s="58"/>
      <c r="H1" s="58" t="s">
        <v>232</v>
      </c>
      <c r="I1" s="58"/>
      <c r="J1" s="10" t="s">
        <v>25</v>
      </c>
      <c r="K1" s="10" t="s">
        <v>26</v>
      </c>
      <c r="L1" s="10"/>
      <c r="M1" s="58" t="s">
        <v>27</v>
      </c>
      <c r="N1" s="58"/>
      <c r="O1" s="58" t="s">
        <v>30</v>
      </c>
      <c r="P1" s="58"/>
      <c r="Q1" s="58"/>
      <c r="R1" s="10" t="s">
        <v>34</v>
      </c>
    </row>
    <row r="2" spans="1:18" s="1" customFormat="1" ht="28" x14ac:dyDescent="0.2">
      <c r="A2" s="4" t="s">
        <v>89</v>
      </c>
      <c r="B2" s="9" t="s">
        <v>0</v>
      </c>
      <c r="C2" s="9" t="s">
        <v>1</v>
      </c>
      <c r="D2" s="9" t="s">
        <v>2</v>
      </c>
      <c r="E2" s="9" t="s">
        <v>3</v>
      </c>
      <c r="F2" s="56" t="s">
        <v>4</v>
      </c>
      <c r="G2" s="56" t="s">
        <v>5</v>
      </c>
      <c r="H2" s="9" t="s">
        <v>242</v>
      </c>
      <c r="I2" s="9" t="s">
        <v>241</v>
      </c>
      <c r="J2" s="56" t="s">
        <v>6</v>
      </c>
      <c r="K2" s="56" t="s">
        <v>66</v>
      </c>
      <c r="L2" s="9" t="s">
        <v>12</v>
      </c>
      <c r="M2" s="9" t="s">
        <v>28</v>
      </c>
      <c r="N2" s="9" t="s">
        <v>29</v>
      </c>
      <c r="O2" s="9" t="s">
        <v>31</v>
      </c>
      <c r="P2" s="9" t="s">
        <v>32</v>
      </c>
      <c r="Q2" s="9" t="s">
        <v>33</v>
      </c>
      <c r="R2" s="9" t="s">
        <v>35</v>
      </c>
    </row>
    <row r="3" spans="1:18" ht="70" x14ac:dyDescent="0.2">
      <c r="A3" s="5" t="s">
        <v>14</v>
      </c>
      <c r="B3" s="3" t="s">
        <v>18</v>
      </c>
      <c r="C3" s="3" t="s">
        <v>9</v>
      </c>
      <c r="D3" s="3" t="s">
        <v>8</v>
      </c>
      <c r="E3" s="3" t="s">
        <v>227</v>
      </c>
      <c r="F3" s="3" t="s">
        <v>59</v>
      </c>
      <c r="G3" s="3" t="s">
        <v>60</v>
      </c>
      <c r="H3" s="3" t="s">
        <v>239</v>
      </c>
      <c r="I3" s="3" t="s">
        <v>240</v>
      </c>
      <c r="J3" s="3" t="s">
        <v>64</v>
      </c>
      <c r="K3" s="3" t="s">
        <v>11</v>
      </c>
      <c r="L3" s="3" t="s">
        <v>13</v>
      </c>
      <c r="M3" s="3" t="s">
        <v>71</v>
      </c>
      <c r="N3" s="3" t="s">
        <v>75</v>
      </c>
      <c r="O3" s="3" t="s">
        <v>76</v>
      </c>
      <c r="P3" s="3" t="s">
        <v>79</v>
      </c>
      <c r="Q3" s="3" t="s">
        <v>81</v>
      </c>
      <c r="R3" s="3" t="s">
        <v>84</v>
      </c>
    </row>
    <row r="4" spans="1:18" ht="14" x14ac:dyDescent="0.2">
      <c r="A4" s="5" t="s">
        <v>15</v>
      </c>
      <c r="B4" s="3" t="s">
        <v>7</v>
      </c>
      <c r="C4" s="11"/>
      <c r="D4" s="11"/>
      <c r="E4" s="11"/>
      <c r="F4" s="11"/>
      <c r="G4" s="3" t="s">
        <v>7</v>
      </c>
      <c r="H4" s="3" t="s">
        <v>7</v>
      </c>
      <c r="I4" s="3" t="s">
        <v>7</v>
      </c>
      <c r="J4" s="11"/>
      <c r="K4" s="11"/>
      <c r="L4" s="11"/>
      <c r="M4" s="3" t="s">
        <v>7</v>
      </c>
      <c r="N4" s="3" t="s">
        <v>7</v>
      </c>
      <c r="O4" s="11"/>
      <c r="P4" s="11"/>
      <c r="Q4" s="11"/>
      <c r="R4" s="11"/>
    </row>
    <row r="5" spans="1:18" ht="28" x14ac:dyDescent="0.2">
      <c r="A5" s="5" t="s">
        <v>16</v>
      </c>
      <c r="B5" s="3" t="s">
        <v>19</v>
      </c>
      <c r="C5" s="3" t="s">
        <v>45</v>
      </c>
      <c r="D5" s="3" t="s">
        <v>19</v>
      </c>
      <c r="E5" s="11"/>
      <c r="F5" s="3" t="s">
        <v>56</v>
      </c>
      <c r="G5" s="3" t="s">
        <v>19</v>
      </c>
      <c r="H5" s="3" t="s">
        <v>234</v>
      </c>
      <c r="I5" s="3" t="s">
        <v>234</v>
      </c>
      <c r="J5" s="3" t="s">
        <v>65</v>
      </c>
      <c r="K5" s="11"/>
      <c r="L5" s="3" t="s">
        <v>69</v>
      </c>
      <c r="M5" s="3" t="s">
        <v>69</v>
      </c>
      <c r="N5" s="3" t="s">
        <v>230</v>
      </c>
      <c r="O5" s="3" t="s">
        <v>77</v>
      </c>
      <c r="P5" s="11"/>
      <c r="Q5" s="11"/>
      <c r="R5" s="3" t="s">
        <v>85</v>
      </c>
    </row>
    <row r="6" spans="1:18" ht="14" x14ac:dyDescent="0.2">
      <c r="A6" s="5" t="s">
        <v>17</v>
      </c>
      <c r="B6" s="3" t="s">
        <v>20</v>
      </c>
      <c r="C6" s="3" t="s">
        <v>46</v>
      </c>
      <c r="D6" s="3" t="s">
        <v>20</v>
      </c>
      <c r="E6" s="11"/>
      <c r="F6" s="3" t="s">
        <v>46</v>
      </c>
      <c r="G6" s="3" t="s">
        <v>20</v>
      </c>
      <c r="H6" s="3" t="s">
        <v>233</v>
      </c>
      <c r="I6" s="3" t="s">
        <v>233</v>
      </c>
      <c r="J6" s="11"/>
      <c r="K6" s="11"/>
      <c r="L6" s="11"/>
      <c r="M6" s="11"/>
      <c r="N6" s="3" t="s">
        <v>20</v>
      </c>
      <c r="O6" s="11"/>
      <c r="P6" s="11"/>
      <c r="Q6" s="11"/>
      <c r="R6" s="3" t="s">
        <v>86</v>
      </c>
    </row>
    <row r="7" spans="1:18" ht="56" x14ac:dyDescent="0.2">
      <c r="A7" s="5" t="s">
        <v>37</v>
      </c>
      <c r="B7" s="3" t="s">
        <v>57</v>
      </c>
      <c r="C7" s="3" t="s">
        <v>47</v>
      </c>
      <c r="D7" s="3" t="s">
        <v>50</v>
      </c>
      <c r="E7" s="11"/>
      <c r="F7" s="3" t="s">
        <v>58</v>
      </c>
      <c r="G7" s="3" t="s">
        <v>61</v>
      </c>
      <c r="H7" s="3" t="s">
        <v>243</v>
      </c>
      <c r="I7" s="3" t="s">
        <v>243</v>
      </c>
      <c r="J7" s="11"/>
      <c r="K7" s="11"/>
      <c r="L7" s="3" t="s">
        <v>68</v>
      </c>
      <c r="M7" s="3" t="s">
        <v>73</v>
      </c>
      <c r="N7" s="11"/>
      <c r="O7" s="11"/>
      <c r="P7" s="11"/>
      <c r="Q7" s="3" t="s">
        <v>83</v>
      </c>
      <c r="R7" s="11"/>
    </row>
    <row r="8" spans="1:18" ht="84" x14ac:dyDescent="0.2">
      <c r="A8" s="5" t="s">
        <v>38</v>
      </c>
      <c r="B8" s="3" t="s">
        <v>10</v>
      </c>
      <c r="C8" s="3" t="s">
        <v>48</v>
      </c>
      <c r="D8" s="3" t="s">
        <v>51</v>
      </c>
      <c r="E8" s="11"/>
      <c r="F8" s="3" t="s">
        <v>63</v>
      </c>
      <c r="G8" s="3" t="s">
        <v>62</v>
      </c>
      <c r="H8" s="3" t="s">
        <v>235</v>
      </c>
      <c r="I8" s="11"/>
      <c r="J8" s="11"/>
      <c r="K8" s="11"/>
      <c r="L8" s="11"/>
      <c r="M8" s="3" t="s">
        <v>72</v>
      </c>
      <c r="N8" s="11"/>
      <c r="O8" s="11"/>
      <c r="P8" s="11"/>
      <c r="Q8" s="11"/>
      <c r="R8" s="11"/>
    </row>
    <row r="9" spans="1:18" ht="28" x14ac:dyDescent="0.2">
      <c r="A9" s="5" t="s">
        <v>43</v>
      </c>
      <c r="B9" s="3" t="s">
        <v>42</v>
      </c>
      <c r="C9" s="3" t="s">
        <v>52</v>
      </c>
      <c r="D9" s="3" t="s">
        <v>52</v>
      </c>
      <c r="E9" s="3" t="s">
        <v>52</v>
      </c>
      <c r="F9" s="3" t="s">
        <v>52</v>
      </c>
      <c r="G9" s="11"/>
      <c r="H9" s="3" t="s">
        <v>237</v>
      </c>
      <c r="I9" s="11"/>
      <c r="J9" s="3" t="s">
        <v>52</v>
      </c>
      <c r="K9" s="3" t="s">
        <v>52</v>
      </c>
      <c r="L9" s="11"/>
      <c r="M9" s="11"/>
      <c r="N9" s="11"/>
      <c r="O9" s="11"/>
      <c r="P9" s="11"/>
      <c r="Q9" s="11"/>
      <c r="R9" s="11"/>
    </row>
    <row r="10" spans="1:18" ht="28" x14ac:dyDescent="0.2">
      <c r="A10" s="5" t="s">
        <v>39</v>
      </c>
      <c r="B10" s="11"/>
      <c r="C10" s="3" t="s">
        <v>49</v>
      </c>
      <c r="D10" s="3" t="s">
        <v>53</v>
      </c>
      <c r="E10" s="11"/>
      <c r="F10" s="11"/>
      <c r="G10" s="11"/>
      <c r="H10" s="11"/>
      <c r="I10" s="11"/>
      <c r="J10" s="3" t="s">
        <v>53</v>
      </c>
      <c r="K10" s="11"/>
      <c r="L10" s="11"/>
      <c r="M10" s="3" t="s">
        <v>229</v>
      </c>
      <c r="N10" s="11"/>
      <c r="O10" s="11"/>
      <c r="P10" s="11"/>
      <c r="Q10" s="11"/>
      <c r="R10" s="11"/>
    </row>
    <row r="11" spans="1:18" ht="14" x14ac:dyDescent="0.2">
      <c r="A11" s="5" t="s">
        <v>40</v>
      </c>
      <c r="B11" s="11"/>
      <c r="C11" s="3" t="s">
        <v>49</v>
      </c>
      <c r="D11" s="3" t="s">
        <v>53</v>
      </c>
      <c r="E11" s="11"/>
      <c r="F11" s="11"/>
      <c r="G11" s="11"/>
      <c r="H11" s="3" t="s">
        <v>53</v>
      </c>
      <c r="I11" s="3" t="s">
        <v>53</v>
      </c>
      <c r="J11" s="11"/>
      <c r="K11" s="11"/>
      <c r="L11" s="11"/>
      <c r="M11" s="3" t="s">
        <v>53</v>
      </c>
      <c r="N11" s="11"/>
      <c r="O11" s="11"/>
      <c r="P11" s="11"/>
      <c r="Q11" s="11"/>
      <c r="R11" s="11"/>
    </row>
    <row r="12" spans="1:18" ht="126" x14ac:dyDescent="0.2">
      <c r="A12" s="5" t="s">
        <v>21</v>
      </c>
      <c r="B12" s="7" t="s">
        <v>226</v>
      </c>
      <c r="C12" s="11"/>
      <c r="D12" s="11"/>
      <c r="E12" s="3" t="s">
        <v>54</v>
      </c>
      <c r="F12" s="7" t="s">
        <v>196</v>
      </c>
      <c r="G12" s="11"/>
      <c r="H12" s="7" t="s">
        <v>236</v>
      </c>
      <c r="I12" s="11"/>
      <c r="J12" s="11"/>
      <c r="K12" s="11"/>
      <c r="L12" s="7" t="s">
        <v>70</v>
      </c>
      <c r="M12" s="7" t="s">
        <v>74</v>
      </c>
      <c r="N12" s="11"/>
      <c r="O12" s="12" t="s">
        <v>78</v>
      </c>
      <c r="P12" s="11"/>
      <c r="Q12" s="11"/>
      <c r="R12" s="7" t="s">
        <v>88</v>
      </c>
    </row>
    <row r="13" spans="1:18" ht="224" x14ac:dyDescent="0.2">
      <c r="A13" s="5" t="s">
        <v>41</v>
      </c>
      <c r="B13" s="7" t="s">
        <v>44</v>
      </c>
      <c r="C13" s="11"/>
      <c r="D13" s="11"/>
      <c r="E13" s="3" t="s">
        <v>55</v>
      </c>
      <c r="F13" s="11"/>
      <c r="G13" s="11"/>
      <c r="H13" s="7" t="s">
        <v>238</v>
      </c>
      <c r="I13" s="11"/>
      <c r="J13" s="11"/>
      <c r="K13" s="3" t="s">
        <v>67</v>
      </c>
      <c r="L13" s="11"/>
      <c r="M13" s="3" t="s">
        <v>228</v>
      </c>
      <c r="N13" s="3" t="s">
        <v>231</v>
      </c>
      <c r="O13" s="11"/>
      <c r="P13" s="3" t="s">
        <v>80</v>
      </c>
      <c r="Q13" s="3" t="s">
        <v>82</v>
      </c>
      <c r="R13" s="3" t="s">
        <v>87</v>
      </c>
    </row>
    <row r="16" spans="1:18" ht="14" x14ac:dyDescent="0.2">
      <c r="A16" s="8" t="s">
        <v>172</v>
      </c>
    </row>
    <row r="18" spans="1:3" ht="14" x14ac:dyDescent="0.2">
      <c r="A18" s="31" t="s">
        <v>173</v>
      </c>
      <c r="B18" s="31" t="s">
        <v>174</v>
      </c>
      <c r="C18" s="31" t="s">
        <v>175</v>
      </c>
    </row>
    <row r="19" spans="1:3" x14ac:dyDescent="0.2">
      <c r="A19" s="28">
        <v>1</v>
      </c>
      <c r="B19" s="28">
        <v>670</v>
      </c>
      <c r="C19" s="28">
        <v>26</v>
      </c>
    </row>
    <row r="20" spans="1:3" x14ac:dyDescent="0.2">
      <c r="A20" s="28">
        <v>2</v>
      </c>
      <c r="B20" s="28">
        <v>684</v>
      </c>
      <c r="C20" s="28">
        <v>40</v>
      </c>
    </row>
    <row r="21" spans="1:3" x14ac:dyDescent="0.2">
      <c r="A21" s="28">
        <v>3</v>
      </c>
      <c r="B21" s="28">
        <v>676</v>
      </c>
      <c r="C21" s="28">
        <v>48</v>
      </c>
    </row>
    <row r="23" spans="1:3" ht="14" x14ac:dyDescent="0.2">
      <c r="A23" s="28" t="s">
        <v>176</v>
      </c>
      <c r="B23" s="29">
        <f>((C20-C19)+B20)/B19 - 1</f>
        <v>4.179104477611939E-2</v>
      </c>
    </row>
    <row r="24" spans="1:3" ht="14" x14ac:dyDescent="0.2">
      <c r="A24" s="28" t="s">
        <v>177</v>
      </c>
      <c r="B24" s="29">
        <f>((C21-C20)+B21)/B20 - 1</f>
        <v>0</v>
      </c>
    </row>
    <row r="26" spans="1:3" ht="39.75" customHeight="1" x14ac:dyDescent="0.2"/>
    <row r="27" spans="1:3" ht="14" x14ac:dyDescent="0.2">
      <c r="B27" s="8" t="s">
        <v>197</v>
      </c>
    </row>
    <row r="28" spans="1:3" x14ac:dyDescent="0.2">
      <c r="A28" s="59" t="s">
        <v>207</v>
      </c>
      <c r="B28" s="32" t="s">
        <v>198</v>
      </c>
    </row>
    <row r="29" spans="1:3" x14ac:dyDescent="0.2">
      <c r="A29" s="59"/>
      <c r="B29" s="13" t="s">
        <v>199</v>
      </c>
    </row>
    <row r="30" spans="1:3" x14ac:dyDescent="0.2">
      <c r="A30" s="59"/>
      <c r="B30" s="13" t="s">
        <v>200</v>
      </c>
    </row>
    <row r="31" spans="1:3" x14ac:dyDescent="0.2">
      <c r="A31" s="59"/>
      <c r="B31" s="13" t="s">
        <v>201</v>
      </c>
    </row>
    <row r="32" spans="1:3" x14ac:dyDescent="0.2">
      <c r="A32" s="59"/>
      <c r="B32" s="13" t="s">
        <v>202</v>
      </c>
    </row>
    <row r="33" spans="1:2" x14ac:dyDescent="0.2">
      <c r="A33" s="59"/>
      <c r="B33" s="13" t="s">
        <v>203</v>
      </c>
    </row>
    <row r="34" spans="1:2" x14ac:dyDescent="0.2">
      <c r="A34" s="59"/>
      <c r="B34" s="13" t="s">
        <v>204</v>
      </c>
    </row>
    <row r="35" spans="1:2" x14ac:dyDescent="0.2">
      <c r="A35" s="59"/>
      <c r="B35" s="13" t="s">
        <v>205</v>
      </c>
    </row>
    <row r="36" spans="1:2" x14ac:dyDescent="0.2">
      <c r="A36" s="57" t="s">
        <v>30</v>
      </c>
      <c r="B36" s="13" t="s">
        <v>206</v>
      </c>
    </row>
    <row r="37" spans="1:2" x14ac:dyDescent="0.2">
      <c r="A37" s="57"/>
      <c r="B37" s="13" t="s">
        <v>208</v>
      </c>
    </row>
    <row r="38" spans="1:2" x14ac:dyDescent="0.2">
      <c r="A38" s="57"/>
      <c r="B38" s="13" t="s">
        <v>209</v>
      </c>
    </row>
    <row r="39" spans="1:2" x14ac:dyDescent="0.2">
      <c r="A39" s="57"/>
      <c r="B39" s="13" t="s">
        <v>210</v>
      </c>
    </row>
    <row r="40" spans="1:2" x14ac:dyDescent="0.2">
      <c r="A40" s="15"/>
      <c r="B40" s="13"/>
    </row>
    <row r="41" spans="1:2" x14ac:dyDescent="0.2">
      <c r="A41" s="15"/>
      <c r="B41" s="13"/>
    </row>
    <row r="42" spans="1:2" x14ac:dyDescent="0.2">
      <c r="A42" s="15"/>
    </row>
    <row r="43" spans="1:2" x14ac:dyDescent="0.2">
      <c r="A43" s="15"/>
    </row>
  </sheetData>
  <mergeCells count="7">
    <mergeCell ref="A36:A39"/>
    <mergeCell ref="C1:E1"/>
    <mergeCell ref="F1:G1"/>
    <mergeCell ref="O1:Q1"/>
    <mergeCell ref="M1:N1"/>
    <mergeCell ref="A28:A35"/>
    <mergeCell ref="H1:I1"/>
  </mergeCells>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C265E1-3B5B-402B-9621-72CC9BA8165B}">
  <dimension ref="A1:I53"/>
  <sheetViews>
    <sheetView showGridLines="0" workbookViewId="0">
      <selection activeCell="F49" sqref="F49"/>
    </sheetView>
  </sheetViews>
  <sheetFormatPr baseColWidth="10" defaultColWidth="9.1640625" defaultRowHeight="13" x14ac:dyDescent="0.2"/>
  <cols>
    <col min="1" max="1" width="30" style="13" customWidth="1"/>
    <col min="2" max="2" width="14.5" style="14" customWidth="1"/>
    <col min="3" max="4" width="15.5" style="14" customWidth="1"/>
    <col min="5" max="5" width="12" style="14" bestFit="1" customWidth="1"/>
    <col min="6" max="6" width="20" style="14" customWidth="1"/>
    <col min="7" max="7" width="9.1640625" style="14"/>
    <col min="8" max="8" width="30.5" style="14" bestFit="1" customWidth="1"/>
    <col min="9" max="9" width="26.83203125" style="14" bestFit="1" customWidth="1"/>
    <col min="10" max="10" width="18.1640625" style="13" bestFit="1" customWidth="1"/>
    <col min="11" max="16384" width="9.1640625" style="13"/>
  </cols>
  <sheetData>
    <row r="1" spans="1:9" x14ac:dyDescent="0.2">
      <c r="A1" s="16" t="s">
        <v>135</v>
      </c>
      <c r="H1" s="17" t="s">
        <v>140</v>
      </c>
    </row>
    <row r="2" spans="1:9" x14ac:dyDescent="0.2">
      <c r="A2" s="35"/>
      <c r="B2" s="39" t="s">
        <v>118</v>
      </c>
      <c r="C2" s="39" t="s">
        <v>119</v>
      </c>
      <c r="D2" s="39" t="s">
        <v>212</v>
      </c>
      <c r="E2" s="39" t="s">
        <v>213</v>
      </c>
      <c r="H2" s="14" t="s">
        <v>107</v>
      </c>
      <c r="I2" s="14" t="s">
        <v>109</v>
      </c>
    </row>
    <row r="3" spans="1:9" x14ac:dyDescent="0.2">
      <c r="A3" s="35" t="s">
        <v>92</v>
      </c>
      <c r="B3" s="34">
        <v>0.1</v>
      </c>
      <c r="C3" s="34">
        <v>0.25</v>
      </c>
      <c r="D3" s="34">
        <v>0.15</v>
      </c>
      <c r="E3" s="34">
        <v>0.5</v>
      </c>
      <c r="H3" s="14" t="s">
        <v>106</v>
      </c>
      <c r="I3" s="14" t="s">
        <v>108</v>
      </c>
    </row>
    <row r="4" spans="1:9" x14ac:dyDescent="0.2">
      <c r="A4" s="35" t="s">
        <v>90</v>
      </c>
      <c r="B4" s="34">
        <v>0.11208791208791211</v>
      </c>
      <c r="C4" s="34">
        <v>0.28021978021978022</v>
      </c>
      <c r="D4" s="34">
        <v>0.15769230769230769</v>
      </c>
      <c r="E4" s="34">
        <v>0.45000000000000007</v>
      </c>
      <c r="H4" s="14" t="s">
        <v>141</v>
      </c>
      <c r="I4" s="14" t="s">
        <v>143</v>
      </c>
    </row>
    <row r="5" spans="1:9" x14ac:dyDescent="0.2">
      <c r="A5" s="35" t="s">
        <v>103</v>
      </c>
      <c r="B5" s="34">
        <f>2.6*B4*1000</f>
        <v>291.4285714285715</v>
      </c>
      <c r="C5" s="34">
        <f t="shared" ref="C5:E5" si="0">2.6*C4*1000</f>
        <v>728.57142857142867</v>
      </c>
      <c r="D5" s="34">
        <f t="shared" si="0"/>
        <v>410</v>
      </c>
      <c r="E5" s="34">
        <f t="shared" si="0"/>
        <v>1170.0000000000002</v>
      </c>
      <c r="H5" s="14" t="s">
        <v>142</v>
      </c>
      <c r="I5" s="14" t="s">
        <v>144</v>
      </c>
    </row>
    <row r="7" spans="1:9" x14ac:dyDescent="0.2">
      <c r="A7" s="35"/>
      <c r="B7" s="39" t="s">
        <v>93</v>
      </c>
      <c r="C7" s="39" t="s">
        <v>94</v>
      </c>
      <c r="D7" s="39" t="s">
        <v>95</v>
      </c>
      <c r="E7" s="39" t="s">
        <v>96</v>
      </c>
      <c r="F7" s="39" t="s">
        <v>104</v>
      </c>
    </row>
    <row r="8" spans="1:9" x14ac:dyDescent="0.2">
      <c r="A8" s="41" t="s">
        <v>118</v>
      </c>
      <c r="B8" s="34"/>
      <c r="C8" s="34"/>
      <c r="D8" s="34"/>
      <c r="E8" s="34"/>
      <c r="F8" s="34"/>
    </row>
    <row r="9" spans="1:9" x14ac:dyDescent="0.2">
      <c r="A9" s="35" t="s">
        <v>98</v>
      </c>
      <c r="B9" s="34">
        <v>314.7</v>
      </c>
      <c r="C9" s="34">
        <v>335.2</v>
      </c>
      <c r="D9" s="34">
        <v>266.2</v>
      </c>
      <c r="E9" s="34">
        <v>270.2</v>
      </c>
      <c r="F9" s="34">
        <f>B3*SUM($C$9,$C$14,$C$19,$C$24)</f>
        <v>281.68</v>
      </c>
    </row>
    <row r="10" spans="1:9" x14ac:dyDescent="0.2">
      <c r="A10" s="35" t="s">
        <v>99</v>
      </c>
      <c r="B10" s="34">
        <v>7.4</v>
      </c>
      <c r="C10" s="34">
        <v>6.5</v>
      </c>
      <c r="D10" s="34">
        <v>-7</v>
      </c>
      <c r="E10" s="34">
        <v>2</v>
      </c>
      <c r="F10" s="34"/>
    </row>
    <row r="11" spans="1:9" x14ac:dyDescent="0.2">
      <c r="A11" s="35" t="s">
        <v>100</v>
      </c>
      <c r="B11" s="34">
        <f>(B9/B5-1)*100</f>
        <v>7.9852941176470349</v>
      </c>
      <c r="C11" s="34">
        <f>(C9/B9-1)*100</f>
        <v>6.5141404512233825</v>
      </c>
      <c r="D11" s="34">
        <f>(D9/F9-1)*100</f>
        <v>-5.4955978415223043</v>
      </c>
      <c r="E11" s="34">
        <f>(E9/D9-1)*100</f>
        <v>1.5026296018031626</v>
      </c>
      <c r="F11" s="34"/>
    </row>
    <row r="12" spans="1:9" x14ac:dyDescent="0.2">
      <c r="A12" s="35"/>
      <c r="B12" s="34"/>
      <c r="C12" s="34"/>
      <c r="D12" s="34"/>
      <c r="E12" s="34"/>
      <c r="F12" s="34"/>
    </row>
    <row r="13" spans="1:9" x14ac:dyDescent="0.2">
      <c r="A13" s="41" t="s">
        <v>119</v>
      </c>
      <c r="B13" s="39" t="s">
        <v>93</v>
      </c>
      <c r="C13" s="39" t="s">
        <v>94</v>
      </c>
      <c r="D13" s="39" t="s">
        <v>95</v>
      </c>
      <c r="E13" s="39" t="s">
        <v>96</v>
      </c>
      <c r="F13" s="39" t="s">
        <v>104</v>
      </c>
    </row>
    <row r="14" spans="1:9" x14ac:dyDescent="0.2">
      <c r="A14" s="35" t="s">
        <v>98</v>
      </c>
      <c r="B14" s="34">
        <v>801.5</v>
      </c>
      <c r="C14" s="34">
        <v>777.4</v>
      </c>
      <c r="D14" s="34">
        <v>612.70000000000005</v>
      </c>
      <c r="E14" s="34">
        <v>704.5</v>
      </c>
      <c r="F14" s="34">
        <f>C3*SUM($C$9,$C$14,$C$19,$C$24)</f>
        <v>704.19999999999993</v>
      </c>
    </row>
    <row r="15" spans="1:9" x14ac:dyDescent="0.2">
      <c r="A15" s="35" t="s">
        <v>99</v>
      </c>
      <c r="B15" s="34">
        <v>10</v>
      </c>
      <c r="C15" s="34">
        <v>-4.2</v>
      </c>
      <c r="D15" s="34">
        <v>-11</v>
      </c>
      <c r="E15" s="34">
        <v>12</v>
      </c>
      <c r="F15" s="34"/>
    </row>
    <row r="16" spans="1:9" x14ac:dyDescent="0.2">
      <c r="A16" s="35" t="s">
        <v>100</v>
      </c>
      <c r="B16" s="34">
        <f>(B14/C5-1)*100</f>
        <v>10.009803921568604</v>
      </c>
      <c r="C16" s="34">
        <f>(C14/B14-1)*100</f>
        <v>-3.0068621334996881</v>
      </c>
      <c r="D16" s="34">
        <f>(D14/F14-1)*100</f>
        <v>-12.993467764839517</v>
      </c>
      <c r="E16" s="34">
        <f>(E14/D14-1)*100</f>
        <v>14.982862738697555</v>
      </c>
      <c r="F16" s="34"/>
    </row>
    <row r="17" spans="1:6" x14ac:dyDescent="0.2">
      <c r="A17" s="35"/>
      <c r="B17" s="34"/>
      <c r="C17" s="34"/>
      <c r="D17" s="34"/>
      <c r="E17" s="34"/>
      <c r="F17" s="34"/>
    </row>
    <row r="18" spans="1:6" x14ac:dyDescent="0.2">
      <c r="A18" s="41" t="s">
        <v>212</v>
      </c>
      <c r="B18" s="39" t="s">
        <v>93</v>
      </c>
      <c r="C18" s="39" t="s">
        <v>94</v>
      </c>
      <c r="D18" s="39" t="s">
        <v>95</v>
      </c>
      <c r="E18" s="39" t="s">
        <v>96</v>
      </c>
      <c r="F18" s="39" t="s">
        <v>104</v>
      </c>
    </row>
    <row r="19" spans="1:6" x14ac:dyDescent="0.2">
      <c r="A19" s="35" t="s">
        <v>98</v>
      </c>
      <c r="B19" s="34">
        <v>418.2</v>
      </c>
      <c r="C19" s="34">
        <v>426.6</v>
      </c>
      <c r="D19" s="34">
        <v>439.4</v>
      </c>
      <c r="E19" s="34">
        <v>443.8</v>
      </c>
      <c r="F19" s="34">
        <f>D3*SUM($C$9,$C$14,$C$19,$C$24)</f>
        <v>422.51999999999992</v>
      </c>
    </row>
    <row r="20" spans="1:6" x14ac:dyDescent="0.2">
      <c r="A20" s="35" t="s">
        <v>99</v>
      </c>
      <c r="B20" s="34">
        <v>1.5</v>
      </c>
      <c r="C20" s="34">
        <v>2</v>
      </c>
      <c r="D20" s="34">
        <v>5</v>
      </c>
      <c r="E20" s="34">
        <v>1</v>
      </c>
      <c r="F20" s="34"/>
    </row>
    <row r="21" spans="1:6" x14ac:dyDescent="0.2">
      <c r="A21" s="35" t="s">
        <v>100</v>
      </c>
      <c r="B21" s="34">
        <f>(B19/D5-1)*100</f>
        <v>2.0000000000000018</v>
      </c>
      <c r="C21" s="34">
        <f>(C19/B19-1)*100</f>
        <v>2.0086083213773476</v>
      </c>
      <c r="D21" s="34">
        <f>(D19/F19-1)*100</f>
        <v>3.9950771561109599</v>
      </c>
      <c r="E21" s="34">
        <f>(E19/D19-1)*100</f>
        <v>1.0013654984069253</v>
      </c>
      <c r="F21" s="34"/>
    </row>
    <row r="22" spans="1:6" x14ac:dyDescent="0.2">
      <c r="A22" s="35"/>
      <c r="B22" s="34"/>
      <c r="C22" s="34"/>
      <c r="D22" s="34"/>
      <c r="E22" s="34"/>
      <c r="F22" s="34"/>
    </row>
    <row r="23" spans="1:6" x14ac:dyDescent="0.2">
      <c r="A23" s="41" t="s">
        <v>213</v>
      </c>
      <c r="B23" s="39" t="s">
        <v>93</v>
      </c>
      <c r="C23" s="39" t="s">
        <v>94</v>
      </c>
      <c r="D23" s="39" t="s">
        <v>95</v>
      </c>
      <c r="E23" s="39" t="s">
        <v>96</v>
      </c>
      <c r="F23" s="39" t="s">
        <v>104</v>
      </c>
    </row>
    <row r="24" spans="1:6" x14ac:dyDescent="0.2">
      <c r="A24" s="35" t="s">
        <v>98</v>
      </c>
      <c r="B24" s="34">
        <v>1216.8</v>
      </c>
      <c r="C24" s="34">
        <v>1277.5999999999999</v>
      </c>
      <c r="D24" s="34">
        <v>1366.1</v>
      </c>
      <c r="E24" s="34">
        <v>1420.8</v>
      </c>
      <c r="F24" s="34">
        <f>E3*SUM($C$9,$C$14,$C$19,$C$24)</f>
        <v>1408.3999999999999</v>
      </c>
    </row>
    <row r="25" spans="1:6" x14ac:dyDescent="0.2">
      <c r="A25" s="35" t="s">
        <v>99</v>
      </c>
      <c r="B25" s="34">
        <v>6</v>
      </c>
      <c r="C25" s="34">
        <v>7</v>
      </c>
      <c r="D25" s="34">
        <v>2</v>
      </c>
      <c r="E25" s="34">
        <v>4</v>
      </c>
      <c r="F25" s="34"/>
    </row>
    <row r="26" spans="1:6" x14ac:dyDescent="0.2">
      <c r="A26" s="35" t="s">
        <v>100</v>
      </c>
      <c r="B26" s="34">
        <f>(B24/E5-1)*100</f>
        <v>3.9999999999999813</v>
      </c>
      <c r="C26" s="34">
        <f>(C24/B24-1)*100</f>
        <v>4.9967126890203772</v>
      </c>
      <c r="D26" s="34">
        <f>(D24/F24-1)*100</f>
        <v>-3.0034081226924192</v>
      </c>
      <c r="E26" s="34">
        <f>(E24/D24-1)*100</f>
        <v>4.0040992606690695</v>
      </c>
      <c r="F26" s="34"/>
    </row>
    <row r="27" spans="1:6" x14ac:dyDescent="0.2">
      <c r="A27" s="35"/>
      <c r="B27" s="34"/>
      <c r="C27" s="34"/>
      <c r="D27" s="34"/>
      <c r="E27" s="34"/>
      <c r="F27" s="34"/>
    </row>
    <row r="28" spans="1:6" x14ac:dyDescent="0.2">
      <c r="A28" s="35"/>
      <c r="B28" s="39" t="s">
        <v>93</v>
      </c>
      <c r="C28" s="39" t="s">
        <v>94</v>
      </c>
      <c r="D28" s="39" t="s">
        <v>95</v>
      </c>
      <c r="E28" s="39" t="s">
        <v>96</v>
      </c>
      <c r="F28" s="39" t="s">
        <v>102</v>
      </c>
    </row>
    <row r="29" spans="1:6" x14ac:dyDescent="0.2">
      <c r="A29" s="40" t="s">
        <v>101</v>
      </c>
      <c r="B29" s="37">
        <f>(B10*$B$3+B15*$C$3+B20*$D$3+B25*$E$3)/100</f>
        <v>6.4649999999999999E-2</v>
      </c>
      <c r="C29" s="37">
        <f>(C10*$B$3+C15*$C$3+C20*$D$3+C25*$E$3)/100</f>
        <v>3.4000000000000002E-2</v>
      </c>
      <c r="D29" s="37">
        <f>(D10*$B$3+D15*$C$3+D20*$D$3+D25*$E$3)/100</f>
        <v>-1.7000000000000001E-2</v>
      </c>
      <c r="E29" s="37">
        <f>(E10*$B$3+E15*$C$3+E20*$D$3+E25*$E$3)/100</f>
        <v>5.3499999999999999E-2</v>
      </c>
      <c r="F29" s="37">
        <f>(1+B29)*(1+C29)*(1+D29)*(1+E29) - 1</f>
        <v>0.1400278343030501</v>
      </c>
    </row>
    <row r="30" spans="1:6" x14ac:dyDescent="0.2">
      <c r="A30" s="40" t="s">
        <v>100</v>
      </c>
      <c r="B30" s="37">
        <f>(ROUND(B11,1)*$B$4+ROUND(B16,1)*$C$4+ROUND(B21,1)*$D$4+ROUND(B26,1)*$E$4)/100</f>
        <v>5.8142857142857149E-2</v>
      </c>
      <c r="C30" s="37">
        <f>(ROUND(C11,1)*$B$4+ROUND(C16,1)*$C$4+ROUND(C21,1)*$D$4+ROUND(C26,1)*$E$4)/100</f>
        <v>2.4532967032967038E-2</v>
      </c>
      <c r="D30" s="37">
        <f>(ROUND(D11,1)*$B$3+ROUND(D16,1)*$C$3+ROUND(D21,1)*$D$3+ROUND(D26,1)*$E$3)/100</f>
        <v>-4.6999999999999993E-2</v>
      </c>
      <c r="E30" s="37">
        <f>(ROUND(E11,1)*$B$3+ROUND(E16,1)*$C$3+ROUND(E21,1)*$D$3+ROUND(E26,1)*$E$3)/100</f>
        <v>6.0499999999999998E-2</v>
      </c>
      <c r="F30" s="37">
        <f>(1+B30)*(1+C30)*(1+D30)*(1+E30) - 1</f>
        <v>9.565497650424426E-2</v>
      </c>
    </row>
    <row r="31" spans="1:6" x14ac:dyDescent="0.2">
      <c r="A31" s="40" t="s">
        <v>105</v>
      </c>
      <c r="B31" s="38">
        <f>B30-B29</f>
        <v>-6.5071428571428502E-3</v>
      </c>
      <c r="C31" s="38">
        <f t="shared" ref="C31:F31" si="1">C30-C29</f>
        <v>-9.4670329670329643E-3</v>
      </c>
      <c r="D31" s="38">
        <f t="shared" si="1"/>
        <v>-2.9999999999999992E-2</v>
      </c>
      <c r="E31" s="38">
        <f t="shared" si="1"/>
        <v>6.9999999999999993E-3</v>
      </c>
      <c r="F31" s="38">
        <f t="shared" si="1"/>
        <v>-4.4372857798805843E-2</v>
      </c>
    </row>
    <row r="32" spans="1:6" x14ac:dyDescent="0.2">
      <c r="A32" s="35"/>
      <c r="B32" s="34"/>
      <c r="C32" s="34"/>
      <c r="D32" s="34"/>
      <c r="E32" s="34"/>
      <c r="F32" s="34"/>
    </row>
    <row r="33" spans="1:9" x14ac:dyDescent="0.2">
      <c r="A33" s="40" t="s">
        <v>110</v>
      </c>
      <c r="B33" s="37">
        <f>(B10*$B$4+B15*$C$4+B20*$D$4+B25*$E$4)/100</f>
        <v>6.5681868131868132E-2</v>
      </c>
      <c r="C33" s="37">
        <f>(C10*$B$4+C15*$C$4+C20*$D$4+C25*$E$4)/100</f>
        <v>3.0170329670329673E-2</v>
      </c>
      <c r="D33" s="37">
        <f>(D10*$B$3+D15*$C$3+D20*$D$3+D25*$E$3)/100</f>
        <v>-1.7000000000000001E-2</v>
      </c>
      <c r="E33" s="37">
        <f>(E10*$B$3+E15*$C$3+E20*$D$3+E25*$E$3)/100</f>
        <v>5.3499999999999999E-2</v>
      </c>
      <c r="F33" s="34"/>
    </row>
    <row r="34" spans="1:9" x14ac:dyDescent="0.2">
      <c r="A34" s="40" t="s">
        <v>111</v>
      </c>
      <c r="B34" s="38">
        <f>B30-B33</f>
        <v>-7.539010989010983E-3</v>
      </c>
      <c r="C34" s="38">
        <f t="shared" ref="C34:E34" si="2">C30-C33</f>
        <v>-5.6373626373626348E-3</v>
      </c>
      <c r="D34" s="38">
        <f>D30-D33</f>
        <v>-2.9999999999999992E-2</v>
      </c>
      <c r="E34" s="38">
        <f t="shared" si="2"/>
        <v>6.9999999999999993E-3</v>
      </c>
      <c r="F34" s="34"/>
    </row>
    <row r="35" spans="1:9" x14ac:dyDescent="0.2">
      <c r="A35" s="40" t="s">
        <v>112</v>
      </c>
      <c r="B35" s="38">
        <f>B33-B29</f>
        <v>1.0318681318681328E-3</v>
      </c>
      <c r="C35" s="38">
        <f t="shared" ref="C35:E35" si="3">C33-C29</f>
        <v>-3.8296703296703295E-3</v>
      </c>
      <c r="D35" s="38">
        <f>D33-D29</f>
        <v>0</v>
      </c>
      <c r="E35" s="38">
        <f t="shared" si="3"/>
        <v>0</v>
      </c>
      <c r="F35" s="34"/>
    </row>
    <row r="36" spans="1:9" x14ac:dyDescent="0.2">
      <c r="A36" s="35"/>
      <c r="B36" s="34"/>
      <c r="C36" s="34"/>
      <c r="D36" s="34"/>
      <c r="E36" s="34"/>
      <c r="F36" s="34"/>
    </row>
    <row r="37" spans="1:9" x14ac:dyDescent="0.2">
      <c r="A37" s="40" t="s">
        <v>115</v>
      </c>
      <c r="B37" s="36" t="s">
        <v>93</v>
      </c>
      <c r="C37" s="36" t="s">
        <v>94</v>
      </c>
      <c r="D37" s="36" t="s">
        <v>95</v>
      </c>
      <c r="E37" s="36" t="s">
        <v>96</v>
      </c>
      <c r="F37" s="34"/>
    </row>
    <row r="38" spans="1:9" x14ac:dyDescent="0.2">
      <c r="A38" s="35" t="s">
        <v>97</v>
      </c>
      <c r="B38" s="34">
        <f>(B11-B10)*$B$4</f>
        <v>6.5604395604392893E-2</v>
      </c>
      <c r="C38" s="34">
        <f>(C11-C10)*$B$4</f>
        <v>1.5849736536099044E-3</v>
      </c>
      <c r="D38" s="34">
        <f>(D11-D10)*$B$3</f>
        <v>0.15044021584776957</v>
      </c>
      <c r="E38" s="34">
        <f>(E11-E10)*$B$3</f>
        <v>-4.9737039819683741E-2</v>
      </c>
      <c r="F38" s="34"/>
    </row>
    <row r="39" spans="1:9" x14ac:dyDescent="0.2">
      <c r="A39" s="35" t="s">
        <v>113</v>
      </c>
      <c r="B39" s="34">
        <f>(B16-B15)*$C$4</f>
        <v>2.7472527472462665E-3</v>
      </c>
      <c r="C39" s="34">
        <f>(C16-C15)*$C$4</f>
        <v>0.33434083072261495</v>
      </c>
      <c r="D39" s="34">
        <f>(D16-D15)*$C$3</f>
        <v>-0.49836694120987923</v>
      </c>
      <c r="E39" s="34">
        <f>(E16-E15)*$C$3</f>
        <v>0.74571568467438887</v>
      </c>
      <c r="F39" s="34"/>
    </row>
    <row r="40" spans="1:9" x14ac:dyDescent="0.2">
      <c r="A40" s="35" t="s">
        <v>91</v>
      </c>
      <c r="B40" s="34">
        <f>(B21-B20)*D4</f>
        <v>7.8846153846154121E-2</v>
      </c>
      <c r="C40" s="34">
        <f>(C21-C20)*D4</f>
        <v>1.3574660633509632E-3</v>
      </c>
      <c r="D40" s="34">
        <f>(D21-D20)*$D$3</f>
        <v>-0.15073842658335601</v>
      </c>
      <c r="E40" s="34">
        <f>(E21-E20)*$D$3</f>
        <v>2.0482476103880209E-4</v>
      </c>
      <c r="F40" s="34"/>
    </row>
    <row r="41" spans="1:9" x14ac:dyDescent="0.2">
      <c r="A41" s="35" t="s">
        <v>114</v>
      </c>
      <c r="B41" s="34">
        <f>(B26-B25)*$E$4</f>
        <v>-0.90000000000000857</v>
      </c>
      <c r="C41" s="34">
        <f t="shared" ref="C41" si="4">(C26-C25)*$E$4</f>
        <v>-0.90147928994083038</v>
      </c>
      <c r="D41" s="34">
        <f>(D26-D25)*$E$3</f>
        <v>-2.5017040613462096</v>
      </c>
      <c r="E41" s="34">
        <f>(E26-E25)*$E$3</f>
        <v>2.0496303345347577E-3</v>
      </c>
      <c r="F41" s="34"/>
    </row>
    <row r="44" spans="1:9" x14ac:dyDescent="0.2">
      <c r="A44" s="17" t="s">
        <v>136</v>
      </c>
      <c r="C44" s="13"/>
      <c r="F44" s="17" t="s">
        <v>215</v>
      </c>
      <c r="I44" s="16" t="s">
        <v>127</v>
      </c>
    </row>
    <row r="45" spans="1:9" x14ac:dyDescent="0.2">
      <c r="A45" s="14"/>
      <c r="C45" s="13"/>
    </row>
    <row r="46" spans="1:9" x14ac:dyDescent="0.2">
      <c r="A46" s="14"/>
      <c r="C46" s="13"/>
      <c r="I46" s="13" t="s">
        <v>220</v>
      </c>
    </row>
    <row r="47" spans="1:9" ht="42" x14ac:dyDescent="0.2">
      <c r="A47" s="36"/>
      <c r="B47" s="30" t="s">
        <v>137</v>
      </c>
      <c r="C47" s="30" t="s">
        <v>138</v>
      </c>
      <c r="D47" s="30" t="s">
        <v>139</v>
      </c>
      <c r="F47" s="32" t="s">
        <v>216</v>
      </c>
      <c r="I47" s="13" t="s">
        <v>221</v>
      </c>
    </row>
    <row r="48" spans="1:9" ht="56" x14ac:dyDescent="0.2">
      <c r="A48" s="35" t="s">
        <v>145</v>
      </c>
      <c r="B48" s="33" t="s">
        <v>150</v>
      </c>
      <c r="C48" s="33" t="s">
        <v>151</v>
      </c>
      <c r="D48" s="33" t="s">
        <v>152</v>
      </c>
      <c r="F48" s="32" t="s">
        <v>217</v>
      </c>
      <c r="I48" s="13" t="s">
        <v>222</v>
      </c>
    </row>
    <row r="49" spans="1:9" ht="14" x14ac:dyDescent="0.2">
      <c r="A49" s="35" t="s">
        <v>146</v>
      </c>
      <c r="B49" s="33" t="s">
        <v>153</v>
      </c>
      <c r="C49" s="33" t="s">
        <v>153</v>
      </c>
      <c r="D49" s="33" t="s">
        <v>153</v>
      </c>
      <c r="F49" s="32" t="s">
        <v>218</v>
      </c>
      <c r="I49" s="13" t="s">
        <v>223</v>
      </c>
    </row>
    <row r="50" spans="1:9" ht="42" x14ac:dyDescent="0.2">
      <c r="A50" s="35" t="s">
        <v>147</v>
      </c>
      <c r="B50" s="33" t="s">
        <v>154</v>
      </c>
      <c r="C50" s="33" t="s">
        <v>155</v>
      </c>
      <c r="D50" s="33" t="s">
        <v>154</v>
      </c>
      <c r="F50" s="32" t="s">
        <v>219</v>
      </c>
      <c r="I50" s="13" t="s">
        <v>224</v>
      </c>
    </row>
    <row r="51" spans="1:9" ht="56" x14ac:dyDescent="0.2">
      <c r="A51" s="35" t="s">
        <v>148</v>
      </c>
      <c r="B51" s="33" t="s">
        <v>156</v>
      </c>
      <c r="C51" s="33" t="s">
        <v>157</v>
      </c>
      <c r="D51" s="33" t="s">
        <v>158</v>
      </c>
      <c r="F51" s="32"/>
      <c r="I51" s="13" t="s">
        <v>225</v>
      </c>
    </row>
    <row r="52" spans="1:9" ht="28" x14ac:dyDescent="0.2">
      <c r="A52" s="35" t="s">
        <v>149</v>
      </c>
      <c r="B52" s="33" t="s">
        <v>159</v>
      </c>
      <c r="C52" s="33" t="s">
        <v>160</v>
      </c>
      <c r="D52" s="33" t="s">
        <v>160</v>
      </c>
      <c r="F52" s="32"/>
      <c r="I52" s="13"/>
    </row>
    <row r="53" spans="1:9" x14ac:dyDescent="0.2">
      <c r="F53" s="32"/>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D98B734-04F5-4A01-873C-E597ACC18744}">
  <dimension ref="A1:V24"/>
  <sheetViews>
    <sheetView showGridLines="0" workbookViewId="0">
      <selection activeCell="U11" sqref="U11"/>
    </sheetView>
  </sheetViews>
  <sheetFormatPr baseColWidth="10" defaultColWidth="9.1640625" defaultRowHeight="13" x14ac:dyDescent="0.2"/>
  <cols>
    <col min="1" max="1" width="23" style="13" customWidth="1"/>
    <col min="2" max="2" width="8.33203125" style="13" customWidth="1"/>
    <col min="3" max="3" width="8.83203125" style="13" customWidth="1"/>
    <col min="4" max="14" width="9.1640625" style="13"/>
    <col min="15" max="15" width="51.6640625" style="13" bestFit="1" customWidth="1"/>
    <col min="16" max="17" width="9.1640625" style="13"/>
    <col min="18" max="18" width="41" style="13" bestFit="1" customWidth="1"/>
    <col min="19" max="20" width="9.1640625" style="13"/>
    <col min="21" max="21" width="110.6640625" style="13" bestFit="1" customWidth="1"/>
    <col min="22" max="16384" width="9.1640625" style="13"/>
  </cols>
  <sheetData>
    <row r="1" spans="1:22" x14ac:dyDescent="0.2">
      <c r="A1" s="16" t="s">
        <v>211</v>
      </c>
    </row>
    <row r="2" spans="1:22" ht="15" x14ac:dyDescent="0.2">
      <c r="A2" s="40" t="s">
        <v>116</v>
      </c>
      <c r="B2" s="42">
        <v>0.04</v>
      </c>
      <c r="O2" s="20" t="s">
        <v>178</v>
      </c>
      <c r="P2"/>
      <c r="Q2"/>
      <c r="R2" s="20" t="s">
        <v>179</v>
      </c>
      <c r="S2"/>
      <c r="T2"/>
      <c r="U2" t="s">
        <v>180</v>
      </c>
      <c r="V2" s="21">
        <v>0.2397</v>
      </c>
    </row>
    <row r="3" spans="1:22" ht="15" x14ac:dyDescent="0.2">
      <c r="A3" s="35"/>
      <c r="B3" s="36" t="s">
        <v>118</v>
      </c>
      <c r="C3" s="36" t="s">
        <v>119</v>
      </c>
      <c r="D3" s="36" t="s">
        <v>89</v>
      </c>
      <c r="O3" t="s">
        <v>180</v>
      </c>
      <c r="P3" s="22">
        <f>V2</f>
        <v>0.2397</v>
      </c>
      <c r="Q3"/>
      <c r="R3" t="s">
        <v>180</v>
      </c>
      <c r="S3" s="22">
        <f>V2</f>
        <v>0.2397</v>
      </c>
      <c r="T3"/>
      <c r="U3" t="s">
        <v>181</v>
      </c>
      <c r="V3" s="21">
        <f>(1.015)^5-1</f>
        <v>7.7284003884374286E-2</v>
      </c>
    </row>
    <row r="4" spans="1:22" ht="15" x14ac:dyDescent="0.2">
      <c r="A4" s="45" t="s">
        <v>117</v>
      </c>
      <c r="B4" s="42">
        <v>0.09</v>
      </c>
      <c r="C4" s="42">
        <v>0.08</v>
      </c>
      <c r="D4" s="42">
        <v>7.0000000000000007E-2</v>
      </c>
      <c r="O4" t="s">
        <v>181</v>
      </c>
      <c r="P4" s="22">
        <f>V3</f>
        <v>7.7284003884374286E-2</v>
      </c>
      <c r="Q4"/>
      <c r="R4" t="s">
        <v>181</v>
      </c>
      <c r="S4" s="22">
        <f>V3</f>
        <v>7.7284003884374286E-2</v>
      </c>
      <c r="T4"/>
      <c r="U4" t="s">
        <v>182</v>
      </c>
      <c r="V4" s="21">
        <f>0.4/(V5*V6)</f>
        <v>60.647843486312183</v>
      </c>
    </row>
    <row r="5" spans="1:22" ht="15" x14ac:dyDescent="0.2">
      <c r="A5" s="45" t="s">
        <v>120</v>
      </c>
      <c r="B5" s="43">
        <v>0.13500000000000001</v>
      </c>
      <c r="C5" s="43">
        <v>9.5000000000000001E-2</v>
      </c>
      <c r="D5" s="43">
        <v>6.5000000000000002E-2</v>
      </c>
      <c r="O5" t="s">
        <v>183</v>
      </c>
      <c r="P5" s="21">
        <f>V4</f>
        <v>60.647843486312183</v>
      </c>
      <c r="Q5"/>
      <c r="R5" t="s">
        <v>184</v>
      </c>
      <c r="S5" s="22">
        <f>V5</f>
        <v>1.3190905958272939E-2</v>
      </c>
      <c r="T5"/>
      <c r="U5" t="s">
        <v>184</v>
      </c>
      <c r="V5" s="21">
        <f>_xlfn.STDEV.P(0.025,0.04,0.05,0.065,0.04)</f>
        <v>1.3190905958272939E-2</v>
      </c>
    </row>
    <row r="6" spans="1:22" ht="28" x14ac:dyDescent="0.2">
      <c r="A6" s="46" t="s">
        <v>121</v>
      </c>
      <c r="B6" s="35">
        <v>0.36</v>
      </c>
      <c r="C6" s="35">
        <v>0.75</v>
      </c>
      <c r="D6" s="35">
        <v>1</v>
      </c>
      <c r="O6" t="s">
        <v>184</v>
      </c>
      <c r="P6" s="22">
        <f t="shared" ref="P6:P8" si="0">V5</f>
        <v>1.3190905958272939E-2</v>
      </c>
      <c r="Q6"/>
      <c r="R6" t="s">
        <v>185</v>
      </c>
      <c r="S6">
        <f>(S3-S4)/S5</f>
        <v>12.312724890117444</v>
      </c>
      <c r="T6"/>
      <c r="U6" t="s">
        <v>186</v>
      </c>
      <c r="V6" s="21">
        <v>0.5</v>
      </c>
    </row>
    <row r="7" spans="1:22" ht="15" x14ac:dyDescent="0.2">
      <c r="A7" s="45" t="s">
        <v>122</v>
      </c>
      <c r="B7" s="35">
        <f>(B6*B5*D5)/(D5^2)</f>
        <v>0.74769230769230766</v>
      </c>
      <c r="C7" s="44">
        <f>(C5*C6*D5)/(D5^2)</f>
        <v>1.0961538461538463</v>
      </c>
      <c r="D7" s="35"/>
      <c r="O7" t="s">
        <v>186</v>
      </c>
      <c r="P7" s="22">
        <f t="shared" si="0"/>
        <v>0.5</v>
      </c>
      <c r="Q7"/>
      <c r="R7"/>
      <c r="S7"/>
      <c r="T7"/>
      <c r="U7" t="s">
        <v>187</v>
      </c>
      <c r="V7" s="23">
        <f>V4*V5/V6</f>
        <v>1.6</v>
      </c>
    </row>
    <row r="8" spans="1:22" ht="15" x14ac:dyDescent="0.2">
      <c r="O8" t="s">
        <v>187</v>
      </c>
      <c r="P8" s="24">
        <f t="shared" si="0"/>
        <v>1.6</v>
      </c>
      <c r="Q8"/>
      <c r="R8"/>
      <c r="S8"/>
      <c r="T8"/>
      <c r="U8" t="s">
        <v>188</v>
      </c>
      <c r="V8" s="21">
        <v>0.18759999999999999</v>
      </c>
    </row>
    <row r="9" spans="1:22" ht="15" x14ac:dyDescent="0.2">
      <c r="A9" s="35" t="s">
        <v>123</v>
      </c>
      <c r="B9" s="47">
        <f>(B4-$D$4)/B5</f>
        <v>0.14814814814814806</v>
      </c>
      <c r="C9" s="47">
        <f>(C4-$D$4)/C5</f>
        <v>0.10526315789473679</v>
      </c>
      <c r="O9" t="s">
        <v>189</v>
      </c>
      <c r="P9">
        <f>(P3-P4)/P8</f>
        <v>0.10150999757226606</v>
      </c>
      <c r="Q9"/>
      <c r="R9"/>
      <c r="S9"/>
      <c r="T9"/>
      <c r="U9"/>
      <c r="V9"/>
    </row>
    <row r="10" spans="1:22" ht="15" x14ac:dyDescent="0.2">
      <c r="A10" s="35" t="s">
        <v>124</v>
      </c>
      <c r="B10" s="47">
        <f>(B4-$D$4)/B7</f>
        <v>2.6748971193415627E-2</v>
      </c>
      <c r="C10" s="47">
        <f>(C4-$D$4)/C7</f>
        <v>9.1228070175438537E-3</v>
      </c>
      <c r="O10"/>
      <c r="P10"/>
      <c r="Q10"/>
      <c r="R10"/>
      <c r="S10"/>
      <c r="T10"/>
      <c r="U10"/>
      <c r="V10"/>
    </row>
    <row r="11" spans="1:22" ht="15" x14ac:dyDescent="0.2">
      <c r="A11" s="35" t="s">
        <v>125</v>
      </c>
      <c r="B11" s="47">
        <f>B4-($B$2+(B7*($D$4-$B$2)))</f>
        <v>2.7569230769230763E-2</v>
      </c>
      <c r="C11" s="47">
        <f>C4-($B$2+(C7*($D$4-$B$2)))</f>
        <v>7.1153846153846068E-3</v>
      </c>
      <c r="O11"/>
      <c r="P11"/>
      <c r="Q11"/>
      <c r="R11"/>
      <c r="S11"/>
      <c r="T11"/>
      <c r="U11"/>
      <c r="V11"/>
    </row>
    <row r="12" spans="1:22" ht="15" x14ac:dyDescent="0.2">
      <c r="A12" s="35" t="s">
        <v>126</v>
      </c>
      <c r="B12" s="47">
        <f>B4-($B$2+(B5/$D$5)*($D$4-$B$2))</f>
        <v>-1.2307692307692325E-2</v>
      </c>
      <c r="C12" s="47">
        <f>C4-($B$2+(C5/$D$5)*($D$4-$B$2))</f>
        <v>-3.8461538461538464E-3</v>
      </c>
      <c r="O12" s="20" t="s">
        <v>190</v>
      </c>
      <c r="P12"/>
      <c r="Q12"/>
      <c r="R12" s="20" t="s">
        <v>191</v>
      </c>
      <c r="S12"/>
      <c r="T12"/>
      <c r="U12"/>
      <c r="V12"/>
    </row>
    <row r="13" spans="1:22" ht="15" x14ac:dyDescent="0.2">
      <c r="O13" t="s">
        <v>181</v>
      </c>
      <c r="P13" s="25">
        <f>V3</f>
        <v>7.7284003884374286E-2</v>
      </c>
      <c r="Q13"/>
      <c r="R13" t="s">
        <v>181</v>
      </c>
      <c r="S13" s="18">
        <f>V3</f>
        <v>7.7284003884374286E-2</v>
      </c>
      <c r="T13"/>
      <c r="U13"/>
      <c r="V13"/>
    </row>
    <row r="14" spans="1:22" ht="15" x14ac:dyDescent="0.2">
      <c r="O14" t="s">
        <v>184</v>
      </c>
      <c r="P14" s="26">
        <f>V5</f>
        <v>1.3190905958272939E-2</v>
      </c>
      <c r="Q14"/>
      <c r="R14" t="s">
        <v>184</v>
      </c>
      <c r="S14" s="18">
        <f>V5</f>
        <v>1.3190905958272939E-2</v>
      </c>
      <c r="T14"/>
      <c r="U14"/>
      <c r="V14"/>
    </row>
    <row r="15" spans="1:22" ht="15" x14ac:dyDescent="0.2">
      <c r="A15" s="16" t="s">
        <v>127</v>
      </c>
      <c r="O15" t="s">
        <v>186</v>
      </c>
      <c r="P15" s="26">
        <f>V6</f>
        <v>0.5</v>
      </c>
      <c r="Q15"/>
      <c r="R15" t="s">
        <v>186</v>
      </c>
      <c r="S15" s="18">
        <f>V6</f>
        <v>0.5</v>
      </c>
      <c r="T15"/>
      <c r="U15"/>
      <c r="V15"/>
    </row>
    <row r="16" spans="1:22" ht="15" x14ac:dyDescent="0.2">
      <c r="A16" s="13" t="s">
        <v>128</v>
      </c>
      <c r="O16" t="s">
        <v>187</v>
      </c>
      <c r="P16" s="24">
        <f>V7</f>
        <v>1.6</v>
      </c>
      <c r="Q16"/>
      <c r="R16" t="s">
        <v>188</v>
      </c>
      <c r="S16" s="18">
        <f>V8</f>
        <v>0.18759999999999999</v>
      </c>
      <c r="T16"/>
      <c r="U16"/>
      <c r="V16"/>
    </row>
    <row r="17" spans="1:22" ht="15" x14ac:dyDescent="0.2">
      <c r="A17" s="13" t="s">
        <v>132</v>
      </c>
      <c r="O17" t="s">
        <v>180</v>
      </c>
      <c r="P17" s="22">
        <f>V2</f>
        <v>0.2397</v>
      </c>
      <c r="Q17"/>
      <c r="R17" t="s">
        <v>192</v>
      </c>
      <c r="S17" s="19">
        <f>S13+(S14/S15)*(S16-S13)</f>
        <v>8.019433974528313E-2</v>
      </c>
      <c r="T17"/>
      <c r="U17"/>
      <c r="V17"/>
    </row>
    <row r="18" spans="1:22" ht="15.75" customHeight="1" x14ac:dyDescent="0.2">
      <c r="A18" s="60" t="s">
        <v>129</v>
      </c>
      <c r="B18" s="60"/>
      <c r="C18" s="60"/>
      <c r="D18" s="60"/>
      <c r="E18" s="60"/>
      <c r="F18" s="60"/>
      <c r="G18" s="60"/>
      <c r="H18" s="60"/>
      <c r="I18" s="60"/>
      <c r="O18" t="s">
        <v>188</v>
      </c>
      <c r="P18" s="22">
        <f>V8</f>
        <v>0.18759999999999999</v>
      </c>
      <c r="Q18"/>
      <c r="R18" t="s">
        <v>180</v>
      </c>
      <c r="S18" s="22">
        <f>V2</f>
        <v>0.2397</v>
      </c>
      <c r="T18"/>
      <c r="U18"/>
      <c r="V18"/>
    </row>
    <row r="19" spans="1:22" ht="18" customHeight="1" x14ac:dyDescent="0.2">
      <c r="A19" s="60"/>
      <c r="B19" s="60"/>
      <c r="C19" s="60"/>
      <c r="D19" s="60"/>
      <c r="E19" s="60"/>
      <c r="F19" s="60"/>
      <c r="G19" s="60"/>
      <c r="H19" s="60"/>
      <c r="I19" s="60"/>
      <c r="O19" t="s">
        <v>193</v>
      </c>
      <c r="P19" s="19">
        <f>P13+P16*(P18-P13)</f>
        <v>0.25378959766937542</v>
      </c>
      <c r="Q19"/>
      <c r="R19" t="s">
        <v>194</v>
      </c>
      <c r="S19" s="23">
        <f>S18-S17</f>
        <v>0.15950566025471685</v>
      </c>
      <c r="T19"/>
      <c r="U19"/>
      <c r="V19"/>
    </row>
    <row r="20" spans="1:22" ht="15" x14ac:dyDescent="0.2">
      <c r="A20" s="60"/>
      <c r="B20" s="60"/>
      <c r="C20" s="60"/>
      <c r="D20" s="60"/>
      <c r="E20" s="60"/>
      <c r="F20" s="60"/>
      <c r="G20" s="60"/>
      <c r="H20" s="60"/>
      <c r="I20" s="60"/>
      <c r="O20" t="s">
        <v>195</v>
      </c>
      <c r="P20" s="27">
        <f>P17-P19</f>
        <v>-1.4089597669375425E-2</v>
      </c>
      <c r="Q20"/>
      <c r="R20"/>
      <c r="S20"/>
      <c r="T20"/>
      <c r="U20"/>
      <c r="V20"/>
    </row>
    <row r="21" spans="1:22" x14ac:dyDescent="0.2">
      <c r="A21" s="13" t="s">
        <v>130</v>
      </c>
    </row>
    <row r="22" spans="1:22" x14ac:dyDescent="0.2">
      <c r="A22" s="13" t="s">
        <v>131</v>
      </c>
    </row>
    <row r="23" spans="1:22" x14ac:dyDescent="0.2">
      <c r="A23" s="13" t="s">
        <v>133</v>
      </c>
    </row>
    <row r="24" spans="1:22" x14ac:dyDescent="0.2">
      <c r="A24" s="13" t="s">
        <v>134</v>
      </c>
    </row>
  </sheetData>
  <mergeCells count="1">
    <mergeCell ref="A18:I20"/>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B1BB6C-6402-4536-B3F0-F0A779D7458F}">
  <dimension ref="A1:I11"/>
  <sheetViews>
    <sheetView showGridLines="0" workbookViewId="0"/>
  </sheetViews>
  <sheetFormatPr baseColWidth="10" defaultColWidth="9.1640625" defaultRowHeight="13" x14ac:dyDescent="0.15"/>
  <cols>
    <col min="1" max="1" width="25.33203125" style="49" bestFit="1" customWidth="1"/>
    <col min="2" max="2" width="11" style="49" bestFit="1" customWidth="1"/>
    <col min="3" max="3" width="11.6640625" style="49" bestFit="1" customWidth="1"/>
    <col min="4" max="4" width="17.1640625" style="49" bestFit="1" customWidth="1"/>
    <col min="5" max="5" width="5.1640625" style="49" bestFit="1" customWidth="1"/>
    <col min="6" max="6" width="15.33203125" style="49" bestFit="1" customWidth="1"/>
    <col min="7" max="8" width="8" style="49" bestFit="1" customWidth="1"/>
    <col min="9" max="9" width="12.5" style="49" bestFit="1" customWidth="1"/>
    <col min="10" max="16384" width="9.1640625" style="49"/>
  </cols>
  <sheetData>
    <row r="1" spans="1:9" x14ac:dyDescent="0.15">
      <c r="A1" s="48" t="s">
        <v>214</v>
      </c>
    </row>
    <row r="3" spans="1:9" x14ac:dyDescent="0.15">
      <c r="A3" s="55" t="s">
        <v>161</v>
      </c>
      <c r="B3" s="55" t="s">
        <v>162</v>
      </c>
      <c r="C3" s="55" t="s">
        <v>163</v>
      </c>
      <c r="D3" s="55" t="s">
        <v>164</v>
      </c>
      <c r="E3" s="55" t="s">
        <v>165</v>
      </c>
      <c r="F3" s="55" t="s">
        <v>166</v>
      </c>
      <c r="G3" s="55" t="s">
        <v>168</v>
      </c>
      <c r="H3" s="55" t="s">
        <v>167</v>
      </c>
      <c r="I3" s="55" t="s">
        <v>170</v>
      </c>
    </row>
    <row r="4" spans="1:9" x14ac:dyDescent="0.15">
      <c r="A4" s="51" t="s">
        <v>171</v>
      </c>
      <c r="B4" s="51">
        <v>3600</v>
      </c>
      <c r="C4" s="51">
        <v>1500</v>
      </c>
      <c r="D4" s="51"/>
      <c r="E4" s="51"/>
      <c r="F4" s="51"/>
      <c r="G4" s="51"/>
      <c r="H4" s="51"/>
      <c r="I4" s="51"/>
    </row>
    <row r="5" spans="1:9" x14ac:dyDescent="0.15">
      <c r="A5" s="51" t="s">
        <v>93</v>
      </c>
      <c r="B5" s="51">
        <v>3600</v>
      </c>
      <c r="C5" s="51">
        <v>1603</v>
      </c>
      <c r="D5" s="52">
        <v>4.2999999999999997E-2</v>
      </c>
      <c r="E5" s="51">
        <v>-56</v>
      </c>
      <c r="F5" s="51"/>
      <c r="G5" s="53">
        <f>(B5+E5)/B4 - 1</f>
        <v>-1.5555555555555545E-2</v>
      </c>
      <c r="H5" s="53">
        <f>(B5+E5)/B4 -1</f>
        <v>-1.5555555555555545E-2</v>
      </c>
      <c r="I5" s="53">
        <f>(C5+(C5*D5/4))/C4 - 1</f>
        <v>8.0154833333333286E-2</v>
      </c>
    </row>
    <row r="6" spans="1:9" x14ac:dyDescent="0.15">
      <c r="A6" s="51" t="s">
        <v>94</v>
      </c>
      <c r="B6" s="51">
        <v>4050</v>
      </c>
      <c r="C6" s="51">
        <v>1776</v>
      </c>
      <c r="D6" s="52">
        <v>4.2000000000000003E-2</v>
      </c>
      <c r="E6" s="51">
        <v>-30</v>
      </c>
      <c r="F6" s="51"/>
      <c r="G6" s="53">
        <f t="shared" ref="G6:G8" si="0">(B6+E6)/B5 - 1</f>
        <v>0.1166666666666667</v>
      </c>
      <c r="H6" s="53">
        <f t="shared" ref="H6:H8" si="1">(B6+E6)/B5 -1</f>
        <v>0.1166666666666667</v>
      </c>
      <c r="I6" s="53">
        <f t="shared" ref="I6:I8" si="2">(C6+(C6*D6/4))/C5 - 1</f>
        <v>0.11955583281347471</v>
      </c>
    </row>
    <row r="7" spans="1:9" x14ac:dyDescent="0.15">
      <c r="A7" s="51" t="s">
        <v>95</v>
      </c>
      <c r="B7" s="51">
        <v>4500</v>
      </c>
      <c r="C7" s="51">
        <v>1797</v>
      </c>
      <c r="D7" s="52">
        <v>3.9E-2</v>
      </c>
      <c r="E7" s="51">
        <v>-187</v>
      </c>
      <c r="F7" s="51"/>
      <c r="G7" s="53">
        <f t="shared" si="0"/>
        <v>6.4938271604938258E-2</v>
      </c>
      <c r="H7" s="53">
        <f t="shared" si="1"/>
        <v>6.4938271604938258E-2</v>
      </c>
      <c r="I7" s="53">
        <f t="shared" si="2"/>
        <v>2.1689611486486404E-2</v>
      </c>
    </row>
    <row r="8" spans="1:9" x14ac:dyDescent="0.15">
      <c r="A8" s="51" t="s">
        <v>96</v>
      </c>
      <c r="B8" s="51">
        <v>4200</v>
      </c>
      <c r="C8" s="51">
        <v>1680</v>
      </c>
      <c r="D8" s="52">
        <v>4.2000000000000003E-2</v>
      </c>
      <c r="E8" s="51">
        <v>52</v>
      </c>
      <c r="F8" s="51"/>
      <c r="G8" s="53">
        <f t="shared" si="0"/>
        <v>-5.5111111111111111E-2</v>
      </c>
      <c r="H8" s="53">
        <f t="shared" si="1"/>
        <v>-5.5111111111111111E-2</v>
      </c>
      <c r="I8" s="53">
        <f t="shared" si="2"/>
        <v>-5.5292153589315496E-2</v>
      </c>
    </row>
    <row r="9" spans="1:9" x14ac:dyDescent="0.15">
      <c r="A9" s="51" t="s">
        <v>102</v>
      </c>
      <c r="B9" s="51"/>
      <c r="C9" s="51"/>
      <c r="D9" s="51"/>
      <c r="E9" s="51"/>
      <c r="F9" s="51"/>
      <c r="G9" s="52">
        <v>0.1023</v>
      </c>
      <c r="H9" s="53">
        <f>(H5+1)*(H6+1)*(H8+1)*(H7+1)-1</f>
        <v>0.10616507352740956</v>
      </c>
      <c r="I9" s="51"/>
    </row>
    <row r="10" spans="1:9" x14ac:dyDescent="0.15">
      <c r="G10" s="54"/>
    </row>
    <row r="11" spans="1:9" x14ac:dyDescent="0.15">
      <c r="A11" s="50" t="s">
        <v>169</v>
      </c>
      <c r="B11" s="53">
        <f>(1+G5)*(1+G6)*(1+G7)*(1+G8)-1</f>
        <v>0.10616507352740956</v>
      </c>
    </row>
  </sheetData>
  <dataValidations count="1">
    <dataValidation type="list" allowBlank="1" showInputMessage="1" showErrorMessage="1" sqref="B1" xr:uid="{B2523DFB-1624-46A3-80A8-C2084545BF64}">
      <formula1>"Q, A"</formula1>
    </dataValidation>
  </dataValidations>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1 6 " ? > < D a t a M a s h u p   x m l n s = " h t t p : / / s c h e m a s . m i c r o s o f t . c o m / D a t a M a s h u p " > A A A A A B U D A A B Q S w M E F A A C A A g A 5 r k y V z B 9 t 2 i l A A A A 9 g A A A B I A H A B D b 2 5 m a W c v U G F j a 2 F n Z S 5 4 b W w g o h g A K K A U A A A A A A A A A A A A A A A A A A A A A A A A A A A A h Y + x C s I w G I R f p W R v k s Z F y t 8 4 O A l W B E F c Q x r b Y P t X m t T 0 3 R x 8 J F / B i l b d H O / u O 7 i 7 X 2 + w G J o 6 u p j O 2 R Y z k l B O I o O 6 L S y W G e n 9 M Z 6 T h Y S t 0 i d V m m i E 0 a W D s x m p v D + n j I U Q a J j R t i u Z 4 D x h h 3 y 9 0 5 V p V G z R e Y X a k E + r + N 8 i E v a v M V L Q R H A q h K A c 2 G R C b v E L i H H v M / 0 x Y d n X v u + M N B i v N s A m C e z 9 Q T 4 A U E s D B B Q A A g A I A O a 5 M l c 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m u T J X K I p H u A 4 A A A A R A A A A E w A c A E Z v c m 1 1 b G F z L 1 N l Y 3 R p b 2 4 x L m 0 g o h g A K K A U A A A A A A A A A A A A A A A A A A A A A A A A A A A A K 0 5 N L s n M z 1 M I h t C G 1 g B Q S w E C L Q A U A A I A C A D m u T J X M H 2 3 a K U A A A D 2 A A A A E g A A A A A A A A A A A A A A A A A A A A A A Q 2 9 u Z m l n L 1 B h Y 2 t h Z 2 U u e G 1 s U E s B A i 0 A F A A C A A g A 5 r k y V w / K 6 a u k A A A A 6 Q A A A B M A A A A A A A A A A A A A A A A A 8 Q A A A F t D b 2 5 0 Z W 5 0 X 1 R 5 c G V z X S 5 4 b W x Q S w E C L Q A U A A I A C A D m u T J X K I p H u A 4 A A A A R A A A A E w A A A A A A A A A A A A A A A A D i A Q A A R m 9 y b X V s Y X M v U 2 V j d G l v b j E u b V B L B Q Y A A A A A A w A D A M I A A A A 9 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9 w s e e l 5 I F 0 2 r B t C V V 4 T U f A A A A A A C A A A A A A A Q Z g A A A A E A A C A A A A D j L 5 n v P s Q 5 3 J f A j f b S 2 f C D t 4 U Q 1 t 5 7 q g k r Y y p 9 G 6 r 8 / Q A A A A A O g A A A A A I A A C A A A A A n A C m W L 7 H A l j u 5 B H H F p g o + l E o n a 5 C + H Z o u m H a Z D m 4 r W F A A A A A 1 D X l M P X M j X S x T 9 P K Y h z P f i i s k R h + / B X W X R q H G D j f s 4 N e w H Y / t j q 4 n M 9 0 U 6 Z z R d + n 2 M B 9 p 8 3 F 9 Q 4 J g W G j b H O i g A B 6 D 3 a H T C I e 0 1 t G E l a I a Y 0 A A A A A 6 w e K u k G C T m W j c e j 4 E N s d f F B v m + D 8 M H h D / W v M s x U Q / Z R 6 H h n c J d m 8 j T v C 0 r g T S Z 1 h H Q 9 g C 9 H s Z O R k 4 2 F Q w 5 l v Z < / D a t a M a s h u p > 
</file>

<file path=customXml/itemProps1.xml><?xml version="1.0" encoding="utf-8"?>
<ds:datastoreItem xmlns:ds="http://schemas.openxmlformats.org/officeDocument/2006/customXml" ds:itemID="{C900CFE9-66A2-4063-81B8-0FC48A8065EA}">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4</vt:i4>
      </vt:variant>
    </vt:vector>
  </HeadingPairs>
  <TitlesOfParts>
    <vt:vector size="4" baseType="lpstr">
      <vt:lpstr>Investment Indices</vt:lpstr>
      <vt:lpstr>Relative Performance</vt:lpstr>
      <vt:lpstr>Risk Adjusted Returns</vt:lpstr>
      <vt:lpstr>Rate of Return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Shreya Shah</dc:creator>
  <cp:lastModifiedBy>Vanshika Paharia</cp:lastModifiedBy>
  <dcterms:created xsi:type="dcterms:W3CDTF">2023-04-13T18:06:28Z</dcterms:created>
  <dcterms:modified xsi:type="dcterms:W3CDTF">2024-02-06T07:13:23Z</dcterms:modified>
</cp:coreProperties>
</file>