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0A4B56A-A08B-440E-8EA7-346B273E88B4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Details" sheetId="11" r:id="rId1"/>
    <sheet name="Mortality table" sheetId="17" r:id="rId2"/>
    <sheet name="Inputs" sheetId="18" r:id="rId3"/>
    <sheet name="Reserves" sheetId="19" r:id="rId4"/>
    <sheet name="Profit test" sheetId="20" r:id="rId5"/>
    <sheet name="Answer 1" sheetId="12" r:id="rId6"/>
    <sheet name="Answer 2" sheetId="13" r:id="rId7"/>
    <sheet name="Answer 3" sheetId="14" r:id="rId8"/>
    <sheet name="Answer 4" sheetId="21" r:id="rId9"/>
    <sheet name="Answer 5 reserves" sheetId="22" r:id="rId10"/>
    <sheet name="Answer 5 profit test" sheetId="23" r:id="rId11"/>
    <sheet name="Answer 6" sheetId="24" r:id="rId12"/>
  </sheets>
  <externalReferences>
    <externalReference r:id="rId13"/>
  </externalReferences>
  <definedNames>
    <definedName name="A" localSheetId="4">[1]Inputs!$D$4</definedName>
    <definedName name="A" localSheetId="3">[1]Inputs!$D$4</definedName>
    <definedName name="A">Inputs!$D$4</definedName>
    <definedName name="BO" localSheetId="4">[1]Inputs!$D$5</definedName>
    <definedName name="BO" localSheetId="3">[1]Inputs!$D$5</definedName>
    <definedName name="BO">Inputs!$D$5</definedName>
    <definedName name="D" localSheetId="4">[1]Inputs!$D$6</definedName>
    <definedName name="D" localSheetId="3">[1]Inputs!$D$6</definedName>
    <definedName name="D">Inputs!$D$6</definedName>
    <definedName name="P" localSheetId="4">[1]Inputs!$D$7</definedName>
    <definedName name="P" localSheetId="3">[1]Inputs!$D$7</definedName>
    <definedName name="P">Inputs!$D$7</definedName>
    <definedName name="ProIE" localSheetId="4">[1]Inputs!$F$12</definedName>
    <definedName name="ProIE" localSheetId="3">[1]Inputs!$F$12</definedName>
    <definedName name="ProIE">Inputs!$F$12</definedName>
    <definedName name="ProINF" localSheetId="4">[1]Inputs!$F$14</definedName>
    <definedName name="ProINF" localSheetId="3">[1]Inputs!$F$14</definedName>
    <definedName name="ProINF">Inputs!$F$14</definedName>
    <definedName name="ProINT" localSheetId="4">[1]Inputs!$F$11</definedName>
    <definedName name="ProINT" localSheetId="3">[1]Inputs!$F$11</definedName>
    <definedName name="ProINT">Inputs!$F$11</definedName>
    <definedName name="ProMM" localSheetId="4">[1]Inputs!$F$15</definedName>
    <definedName name="ProMM" localSheetId="3">[1]Inputs!$F$15</definedName>
    <definedName name="ProMM">Inputs!$F$15</definedName>
    <definedName name="ProRE" localSheetId="4">[1]Inputs!$F$13</definedName>
    <definedName name="ProRE" localSheetId="3">[1]Inputs!$F$13</definedName>
    <definedName name="ProRE">Inputs!$F$13</definedName>
    <definedName name="ProUG" localSheetId="4">[1]Inputs!$F$10</definedName>
    <definedName name="ProUG" localSheetId="3">[1]Inputs!$F$10</definedName>
    <definedName name="ProUG">Inputs!$F$10</definedName>
    <definedName name="ResIE" localSheetId="4">[1]Inputs!$D$12</definedName>
    <definedName name="ResIE" localSheetId="3">[1]Inputs!$D$12</definedName>
    <definedName name="ResIE">Inputs!$D$12</definedName>
    <definedName name="ResINF" localSheetId="4">[1]Inputs!$D$14</definedName>
    <definedName name="ResINF" localSheetId="3">[1]Inputs!$D$14</definedName>
    <definedName name="ResINF">Inputs!$D$14</definedName>
    <definedName name="ResINT" localSheetId="4">[1]Inputs!$D$11</definedName>
    <definedName name="ResINT" localSheetId="3">[1]Inputs!$D$11</definedName>
    <definedName name="ResINT">Inputs!$D$11</definedName>
    <definedName name="ResRE" localSheetId="4">[1]Inputs!$D$13</definedName>
    <definedName name="ResRE" localSheetId="3">[1]Inputs!$D$13</definedName>
    <definedName name="ResRE">Inputs!$D$13</definedName>
    <definedName name="ResUG" localSheetId="4">[1]Inputs!$D$10</definedName>
    <definedName name="ResUG" localSheetId="3">[1]Inputs!$D$10</definedName>
    <definedName name="ResUG">Inputs!$D$10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0" l="1"/>
  <c r="A32" i="20" s="1"/>
  <c r="A33" i="20" s="1"/>
  <c r="A34" i="20" s="1"/>
  <c r="A30" i="20"/>
  <c r="A31" i="19"/>
  <c r="A32" i="19" s="1"/>
  <c r="A33" i="19" s="1"/>
  <c r="A34" i="19" s="1"/>
  <c r="A30" i="19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D78" i="17"/>
  <c r="G78" i="17" s="1"/>
  <c r="H77" i="17"/>
  <c r="D77" i="17"/>
  <c r="G77" i="17" s="1"/>
  <c r="C77" i="17"/>
  <c r="F77" i="17" s="1"/>
  <c r="H76" i="17"/>
  <c r="D76" i="17"/>
  <c r="G76" i="17" s="1"/>
  <c r="C76" i="17"/>
  <c r="F76" i="17" s="1"/>
  <c r="H75" i="17"/>
  <c r="D75" i="17"/>
  <c r="G75" i="17" s="1"/>
  <c r="C75" i="17"/>
  <c r="F75" i="17" s="1"/>
  <c r="H74" i="17"/>
  <c r="D74" i="17"/>
  <c r="G74" i="17" s="1"/>
  <c r="C74" i="17"/>
  <c r="H73" i="17"/>
  <c r="D73" i="17"/>
  <c r="G73" i="17" s="1"/>
  <c r="C73" i="17"/>
  <c r="F73" i="17" s="1"/>
  <c r="H72" i="17"/>
  <c r="D72" i="17"/>
  <c r="G72" i="17" s="1"/>
  <c r="C72" i="17"/>
  <c r="F72" i="17" s="1"/>
  <c r="H71" i="17"/>
  <c r="D71" i="17"/>
  <c r="G71" i="17" s="1"/>
  <c r="C71" i="17"/>
  <c r="F71" i="17" s="1"/>
  <c r="H70" i="17"/>
  <c r="D70" i="17"/>
  <c r="G70" i="17" s="1"/>
  <c r="C70" i="17"/>
  <c r="H69" i="17"/>
  <c r="D69" i="17"/>
  <c r="G69" i="17" s="1"/>
  <c r="C69" i="17"/>
  <c r="F69" i="17" s="1"/>
  <c r="H68" i="17"/>
  <c r="D68" i="17"/>
  <c r="G68" i="17" s="1"/>
  <c r="C68" i="17"/>
  <c r="F68" i="17" s="1"/>
  <c r="H67" i="17"/>
  <c r="D67" i="17"/>
  <c r="G67" i="17" s="1"/>
  <c r="C67" i="17"/>
  <c r="F67" i="17" s="1"/>
  <c r="H66" i="17"/>
  <c r="D66" i="17"/>
  <c r="G66" i="17" s="1"/>
  <c r="C66" i="17"/>
  <c r="H65" i="17"/>
  <c r="D65" i="17"/>
  <c r="G65" i="17" s="1"/>
  <c r="C65" i="17"/>
  <c r="F65" i="17" s="1"/>
  <c r="H64" i="17"/>
  <c r="D64" i="17"/>
  <c r="G64" i="17" s="1"/>
  <c r="C64" i="17"/>
  <c r="F64" i="17" s="1"/>
  <c r="H63" i="17"/>
  <c r="D63" i="17"/>
  <c r="G63" i="17" s="1"/>
  <c r="C63" i="17"/>
  <c r="F63" i="17" s="1"/>
  <c r="H62" i="17"/>
  <c r="D62" i="17"/>
  <c r="G62" i="17" s="1"/>
  <c r="C62" i="17"/>
  <c r="H61" i="17"/>
  <c r="D61" i="17"/>
  <c r="G61" i="17" s="1"/>
  <c r="C61" i="17"/>
  <c r="F61" i="17" s="1"/>
  <c r="H60" i="17"/>
  <c r="D60" i="17"/>
  <c r="G60" i="17" s="1"/>
  <c r="C60" i="17"/>
  <c r="F60" i="17" s="1"/>
  <c r="H59" i="17"/>
  <c r="D59" i="17"/>
  <c r="G59" i="17" s="1"/>
  <c r="C59" i="17"/>
  <c r="F59" i="17" s="1"/>
  <c r="H58" i="17"/>
  <c r="D58" i="17"/>
  <c r="G58" i="17" s="1"/>
  <c r="C58" i="17"/>
  <c r="H57" i="17"/>
  <c r="D57" i="17"/>
  <c r="G57" i="17" s="1"/>
  <c r="C57" i="17"/>
  <c r="F57" i="17" s="1"/>
  <c r="H56" i="17"/>
  <c r="D56" i="17"/>
  <c r="G56" i="17" s="1"/>
  <c r="C56" i="17"/>
  <c r="F56" i="17" s="1"/>
  <c r="H55" i="17"/>
  <c r="D55" i="17"/>
  <c r="G55" i="17" s="1"/>
  <c r="C55" i="17"/>
  <c r="F55" i="17" s="1"/>
  <c r="H54" i="17"/>
  <c r="D54" i="17"/>
  <c r="G54" i="17" s="1"/>
  <c r="C54" i="17"/>
  <c r="H53" i="17"/>
  <c r="D53" i="17"/>
  <c r="G53" i="17" s="1"/>
  <c r="C53" i="17"/>
  <c r="F53" i="17" s="1"/>
  <c r="H52" i="17"/>
  <c r="D52" i="17"/>
  <c r="G52" i="17" s="1"/>
  <c r="C52" i="17"/>
  <c r="F52" i="17" s="1"/>
  <c r="H51" i="17"/>
  <c r="D51" i="17"/>
  <c r="G51" i="17" s="1"/>
  <c r="C51" i="17"/>
  <c r="F51" i="17" s="1"/>
  <c r="H50" i="17"/>
  <c r="D50" i="17"/>
  <c r="G50" i="17" s="1"/>
  <c r="C50" i="17"/>
  <c r="H49" i="17"/>
  <c r="D49" i="17"/>
  <c r="G49" i="17" s="1"/>
  <c r="C49" i="17"/>
  <c r="F49" i="17" s="1"/>
  <c r="H48" i="17"/>
  <c r="D48" i="17"/>
  <c r="G48" i="17" s="1"/>
  <c r="C48" i="17"/>
  <c r="F48" i="17" s="1"/>
  <c r="H47" i="17"/>
  <c r="D47" i="17"/>
  <c r="G47" i="17" s="1"/>
  <c r="C47" i="17"/>
  <c r="F47" i="17" s="1"/>
  <c r="H46" i="17"/>
  <c r="D46" i="17"/>
  <c r="G46" i="17" s="1"/>
  <c r="C46" i="17"/>
  <c r="H45" i="17"/>
  <c r="D45" i="17"/>
  <c r="G45" i="17" s="1"/>
  <c r="C45" i="17"/>
  <c r="F45" i="17" s="1"/>
  <c r="H44" i="17"/>
  <c r="D44" i="17"/>
  <c r="G44" i="17" s="1"/>
  <c r="C44" i="17"/>
  <c r="F44" i="17" s="1"/>
  <c r="H43" i="17"/>
  <c r="D43" i="17"/>
  <c r="G43" i="17" s="1"/>
  <c r="C43" i="17"/>
  <c r="F43" i="17" s="1"/>
  <c r="H42" i="17"/>
  <c r="D42" i="17"/>
  <c r="G42" i="17" s="1"/>
  <c r="C42" i="17"/>
  <c r="H41" i="17"/>
  <c r="D41" i="17"/>
  <c r="G41" i="17" s="1"/>
  <c r="C41" i="17"/>
  <c r="F41" i="17" s="1"/>
  <c r="H40" i="17"/>
  <c r="D40" i="17"/>
  <c r="G40" i="17" s="1"/>
  <c r="C40" i="17"/>
  <c r="F40" i="17" s="1"/>
  <c r="H39" i="17"/>
  <c r="D39" i="17"/>
  <c r="G39" i="17" s="1"/>
  <c r="C39" i="17"/>
  <c r="F39" i="17" s="1"/>
  <c r="H38" i="17"/>
  <c r="D38" i="17"/>
  <c r="G38" i="17" s="1"/>
  <c r="C38" i="17"/>
  <c r="H37" i="17"/>
  <c r="D37" i="17"/>
  <c r="G37" i="17" s="1"/>
  <c r="C37" i="17"/>
  <c r="F37" i="17" s="1"/>
  <c r="H36" i="17"/>
  <c r="D36" i="17"/>
  <c r="G36" i="17" s="1"/>
  <c r="C36" i="17"/>
  <c r="F36" i="17" s="1"/>
  <c r="H35" i="17"/>
  <c r="D35" i="17"/>
  <c r="G35" i="17" s="1"/>
  <c r="C35" i="17"/>
  <c r="F35" i="17" s="1"/>
  <c r="H34" i="17"/>
  <c r="D34" i="17"/>
  <c r="G34" i="17" s="1"/>
  <c r="C34" i="17"/>
  <c r="H33" i="17"/>
  <c r="D33" i="17"/>
  <c r="G33" i="17" s="1"/>
  <c r="C33" i="17"/>
  <c r="F33" i="17" s="1"/>
  <c r="H32" i="17"/>
  <c r="D32" i="17"/>
  <c r="G32" i="17" s="1"/>
  <c r="C32" i="17"/>
  <c r="F32" i="17" s="1"/>
  <c r="H31" i="17"/>
  <c r="D31" i="17"/>
  <c r="G31" i="17" s="1"/>
  <c r="C31" i="17"/>
  <c r="F31" i="17" s="1"/>
  <c r="H30" i="17"/>
  <c r="D30" i="17"/>
  <c r="G30" i="17" s="1"/>
  <c r="C30" i="17"/>
  <c r="H29" i="17"/>
  <c r="D29" i="17"/>
  <c r="G29" i="17" s="1"/>
  <c r="C29" i="17"/>
  <c r="F29" i="17" s="1"/>
  <c r="H28" i="17"/>
  <c r="D28" i="17"/>
  <c r="G28" i="17" s="1"/>
  <c r="C28" i="17"/>
  <c r="F28" i="17" s="1"/>
  <c r="H27" i="17"/>
  <c r="D27" i="17"/>
  <c r="G27" i="17" s="1"/>
  <c r="C27" i="17"/>
  <c r="F27" i="17" s="1"/>
  <c r="H26" i="17"/>
  <c r="D26" i="17"/>
  <c r="G26" i="17" s="1"/>
  <c r="C26" i="17"/>
  <c r="H25" i="17"/>
  <c r="D25" i="17"/>
  <c r="G25" i="17" s="1"/>
  <c r="C25" i="17"/>
  <c r="F25" i="17" s="1"/>
  <c r="H24" i="17"/>
  <c r="D24" i="17"/>
  <c r="G24" i="17" s="1"/>
  <c r="C24" i="17"/>
  <c r="F24" i="17" s="1"/>
  <c r="H23" i="17"/>
  <c r="D23" i="17"/>
  <c r="G23" i="17" s="1"/>
  <c r="C23" i="17"/>
  <c r="F23" i="17" s="1"/>
  <c r="H22" i="17"/>
  <c r="D22" i="17"/>
  <c r="G22" i="17" s="1"/>
  <c r="C22" i="17"/>
  <c r="H21" i="17"/>
  <c r="D21" i="17"/>
  <c r="G21" i="17" s="1"/>
  <c r="C21" i="17"/>
  <c r="F21" i="17" s="1"/>
  <c r="H20" i="17"/>
  <c r="D20" i="17"/>
  <c r="G20" i="17" s="1"/>
  <c r="C20" i="17"/>
  <c r="F20" i="17" s="1"/>
  <c r="H19" i="17"/>
  <c r="D19" i="17"/>
  <c r="G19" i="17" s="1"/>
  <c r="C19" i="17"/>
  <c r="F19" i="17" s="1"/>
  <c r="H18" i="17"/>
  <c r="D18" i="17"/>
  <c r="G18" i="17" s="1"/>
  <c r="C18" i="17"/>
  <c r="H17" i="17"/>
  <c r="D17" i="17"/>
  <c r="G17" i="17" s="1"/>
  <c r="C17" i="17"/>
  <c r="F17" i="17" s="1"/>
  <c r="H16" i="17"/>
  <c r="D16" i="17"/>
  <c r="G16" i="17" s="1"/>
  <c r="C16" i="17"/>
  <c r="F16" i="17" s="1"/>
  <c r="H15" i="17"/>
  <c r="D15" i="17"/>
  <c r="G15" i="17" s="1"/>
  <c r="C15" i="17"/>
  <c r="F15" i="17" s="1"/>
  <c r="H14" i="17"/>
  <c r="D14" i="17"/>
  <c r="G14" i="17" s="1"/>
  <c r="C14" i="17"/>
  <c r="H13" i="17"/>
  <c r="D13" i="17"/>
  <c r="G13" i="17" s="1"/>
  <c r="C13" i="17"/>
  <c r="F13" i="17" s="1"/>
  <c r="H12" i="17"/>
  <c r="D12" i="17"/>
  <c r="G12" i="17" s="1"/>
  <c r="C12" i="17"/>
  <c r="F12" i="17" s="1"/>
  <c r="H11" i="17"/>
  <c r="D11" i="17"/>
  <c r="G11" i="17" s="1"/>
  <c r="C11" i="17"/>
  <c r="F11" i="17" s="1"/>
  <c r="H10" i="17"/>
  <c r="D10" i="17"/>
  <c r="G10" i="17" s="1"/>
  <c r="C10" i="17"/>
  <c r="H9" i="17"/>
  <c r="D9" i="17"/>
  <c r="G9" i="17" s="1"/>
  <c r="C9" i="17"/>
  <c r="F9" i="17" s="1"/>
  <c r="H8" i="17"/>
  <c r="D8" i="17"/>
  <c r="G8" i="17" s="1"/>
  <c r="C8" i="17"/>
  <c r="F8" i="17" s="1"/>
  <c r="H7" i="17"/>
  <c r="D7" i="17"/>
  <c r="G7" i="17" s="1"/>
  <c r="C7" i="17"/>
  <c r="F7" i="17" s="1"/>
  <c r="H6" i="17"/>
  <c r="D6" i="17"/>
  <c r="G6" i="17" s="1"/>
  <c r="C6" i="17"/>
  <c r="H5" i="17"/>
  <c r="D5" i="17"/>
  <c r="G5" i="17" s="1"/>
  <c r="C5" i="17"/>
  <c r="F5" i="17" s="1"/>
  <c r="H4" i="17"/>
  <c r="C4" i="17"/>
  <c r="F4" i="17" l="1"/>
  <c r="F6" i="17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</calcChain>
</file>

<file path=xl/sharedStrings.xml><?xml version="1.0" encoding="utf-8"?>
<sst xmlns="http://schemas.openxmlformats.org/spreadsheetml/2006/main" count="89" uniqueCount="66">
  <si>
    <t>Name:</t>
  </si>
  <si>
    <t>Mortalty Table</t>
  </si>
  <si>
    <t>AM92</t>
  </si>
  <si>
    <t>Age</t>
  </si>
  <si>
    <t>l[x]</t>
  </si>
  <si>
    <t>l[x-1]+1</t>
  </si>
  <si>
    <t>lx</t>
  </si>
  <si>
    <t>q[x]</t>
  </si>
  <si>
    <t>q[x-1]+1</t>
  </si>
  <si>
    <t>qx</t>
  </si>
  <si>
    <t>Inputs</t>
  </si>
  <si>
    <t>First year allocation percentage</t>
  </si>
  <si>
    <t xml:space="preserve"> =A</t>
  </si>
  <si>
    <t>Bid-offer spread</t>
  </si>
  <si>
    <t xml:space="preserve"> =BO</t>
  </si>
  <si>
    <t>Guaranteed minimum death benefit</t>
  </si>
  <si>
    <t xml:space="preserve"> =D</t>
  </si>
  <si>
    <t>Level annual premium</t>
  </si>
  <si>
    <t xml:space="preserve"> =P</t>
  </si>
  <si>
    <t>RESERVING BASIS</t>
  </si>
  <si>
    <t>PROFIT TESTING BASIS</t>
  </si>
  <si>
    <r>
      <t xml:space="preserve">Unit growth rate </t>
    </r>
    <r>
      <rPr>
        <i/>
        <sz val="11"/>
        <color theme="1"/>
        <rFont val="Calibri"/>
        <family val="2"/>
        <scheme val="minor"/>
      </rPr>
      <t>pa</t>
    </r>
  </si>
  <si>
    <t xml:space="preserve"> =ResUG</t>
  </si>
  <si>
    <t xml:space="preserve"> =ProUG</t>
  </si>
  <si>
    <r>
      <t xml:space="preserve">Non-unit interest rate </t>
    </r>
    <r>
      <rPr>
        <i/>
        <sz val="11"/>
        <color theme="1"/>
        <rFont val="Calibri"/>
        <family val="2"/>
        <scheme val="minor"/>
      </rPr>
      <t>pa</t>
    </r>
  </si>
  <si>
    <t xml:space="preserve"> =ResINT</t>
  </si>
  <si>
    <t xml:space="preserve"> =ProINT</t>
  </si>
  <si>
    <t>Initial expenses</t>
  </si>
  <si>
    <t xml:space="preserve"> =ResIE</t>
  </si>
  <si>
    <t xml:space="preserve"> =ProIE</t>
  </si>
  <si>
    <r>
      <t xml:space="preserve">Renewal expenses </t>
    </r>
    <r>
      <rPr>
        <i/>
        <sz val="11"/>
        <color theme="1"/>
        <rFont val="Calibri"/>
        <family val="2"/>
        <scheme val="minor"/>
      </rPr>
      <t>pa</t>
    </r>
  </si>
  <si>
    <t xml:space="preserve"> =ResRE</t>
  </si>
  <si>
    <t xml:space="preserve"> =ProRE</t>
  </si>
  <si>
    <r>
      <t xml:space="preserve">Inflation rate </t>
    </r>
    <r>
      <rPr>
        <i/>
        <sz val="11"/>
        <color theme="1"/>
        <rFont val="Calibri"/>
        <family val="2"/>
        <scheme val="minor"/>
      </rPr>
      <t>pa</t>
    </r>
  </si>
  <si>
    <t xml:space="preserve"> =ResINF</t>
  </si>
  <si>
    <t xml:space="preserve"> =ProINF</t>
  </si>
  <si>
    <t>Mortality Factor</t>
  </si>
  <si>
    <t xml:space="preserve"> =ProMM</t>
  </si>
  <si>
    <t>Reserves</t>
  </si>
  <si>
    <t>UNIT FUND PROJECTION</t>
  </si>
  <si>
    <t>NON-UNIT CASHFLOW PROJECTION</t>
  </si>
  <si>
    <t>Cost of</t>
  </si>
  <si>
    <t>Unit fund at</t>
  </si>
  <si>
    <t>Prem less</t>
  </si>
  <si>
    <t>Mortality</t>
  </si>
  <si>
    <t>Sum at risk</t>
  </si>
  <si>
    <t>Expected</t>
  </si>
  <si>
    <t>Non-unit</t>
  </si>
  <si>
    <t>Year</t>
  </si>
  <si>
    <t>Premium</t>
  </si>
  <si>
    <t>allocation</t>
  </si>
  <si>
    <t>Start of yr</t>
  </si>
  <si>
    <t>End of yr</t>
  </si>
  <si>
    <t>cost of alln</t>
  </si>
  <si>
    <t>Expenses</t>
  </si>
  <si>
    <t>Interest</t>
  </si>
  <si>
    <t>probability</t>
  </si>
  <si>
    <t>on death</t>
  </si>
  <si>
    <t>death cost</t>
  </si>
  <si>
    <t>cashflow</t>
  </si>
  <si>
    <t>Profit test</t>
  </si>
  <si>
    <t>Subject: Pricing &amp; Reserving of Life Insurance Products 2 (PRLI 2)</t>
  </si>
  <si>
    <t>Project Work</t>
  </si>
  <si>
    <t>Roll No:</t>
  </si>
  <si>
    <t>Institute of Actuarial &amp; Quantitative Studies: Semester 6</t>
  </si>
  <si>
    <t xml:space="preserve"> =ResMM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</si>
</sst>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0"/>
    <numFmt numFmtId="165" formatCode="0.0000"/>
    <numFmt numFmtId="166" formatCode="0.000000"/>
    <numFmt numFmtId="167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1C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9">
    <xf numFmtId="0" fontId="0" fillId="0" borderId="0" xfId="0"/>
    <xf numFmtId="0" fontId="8" fillId="0" borderId="0" xfId="1" applyFont="1" applyAlignment="1">
      <alignment vertical="center"/>
    </xf>
    <xf numFmtId="0" fontId="4" fillId="0" borderId="0" xfId="1"/>
    <xf numFmtId="0" fontId="9" fillId="0" borderId="0" xfId="1" applyFont="1" applyAlignment="1">
      <alignment vertical="center"/>
    </xf>
    <xf numFmtId="0" fontId="4" fillId="3" borderId="0" xfId="1" applyFill="1"/>
    <xf numFmtId="0" fontId="11" fillId="0" borderId="0" xfId="1" applyFont="1"/>
    <xf numFmtId="0" fontId="12" fillId="0" borderId="0" xfId="1" applyFont="1"/>
    <xf numFmtId="0" fontId="7" fillId="0" borderId="0" xfId="1" applyFont="1"/>
    <xf numFmtId="0" fontId="11" fillId="0" borderId="0" xfId="1" applyFont="1" applyAlignment="1">
      <alignment horizontal="left" vertical="center"/>
    </xf>
    <xf numFmtId="0" fontId="14" fillId="2" borderId="0" xfId="2" applyFont="1" applyFill="1"/>
    <xf numFmtId="0" fontId="3" fillId="2" borderId="0" xfId="2" applyFill="1"/>
    <xf numFmtId="0" fontId="3" fillId="0" borderId="1" xfId="2" applyBorder="1"/>
    <xf numFmtId="0" fontId="3" fillId="0" borderId="0" xfId="2"/>
    <xf numFmtId="0" fontId="5" fillId="0" borderId="1" xfId="2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0" xfId="2" applyAlignment="1">
      <alignment horizontal="center"/>
    </xf>
    <xf numFmtId="164" fontId="5" fillId="0" borderId="0" xfId="2" applyNumberFormat="1" applyFont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6" fontId="3" fillId="0" borderId="1" xfId="2" applyNumberFormat="1" applyBorder="1" applyAlignment="1">
      <alignment horizontal="center"/>
    </xf>
    <xf numFmtId="166" fontId="3" fillId="0" borderId="0" xfId="2" applyNumberFormat="1"/>
    <xf numFmtId="2" fontId="3" fillId="0" borderId="0" xfId="2" applyNumberFormat="1"/>
    <xf numFmtId="0" fontId="3" fillId="0" borderId="2" xfId="2" applyBorder="1"/>
    <xf numFmtId="0" fontId="3" fillId="0" borderId="3" xfId="2" applyBorder="1"/>
    <xf numFmtId="3" fontId="3" fillId="0" borderId="4" xfId="2" applyNumberFormat="1" applyBorder="1"/>
    <xf numFmtId="10" fontId="3" fillId="0" borderId="0" xfId="2" applyNumberFormat="1"/>
    <xf numFmtId="0" fontId="3" fillId="0" borderId="5" xfId="2" applyBorder="1"/>
    <xf numFmtId="3" fontId="3" fillId="0" borderId="6" xfId="2" applyNumberFormat="1" applyBorder="1"/>
    <xf numFmtId="167" fontId="3" fillId="0" borderId="7" xfId="2" applyNumberFormat="1" applyBorder="1"/>
    <xf numFmtId="3" fontId="3" fillId="0" borderId="0" xfId="2" applyNumberFormat="1"/>
    <xf numFmtId="167" fontId="3" fillId="0" borderId="0" xfId="2" applyNumberFormat="1"/>
    <xf numFmtId="0" fontId="7" fillId="0" borderId="2" xfId="2" applyFont="1" applyBorder="1"/>
    <xf numFmtId="0" fontId="3" fillId="0" borderId="4" xfId="2" applyBorder="1"/>
    <xf numFmtId="167" fontId="3" fillId="0" borderId="4" xfId="2" applyNumberFormat="1" applyBorder="1"/>
    <xf numFmtId="4" fontId="3" fillId="0" borderId="0" xfId="2" applyNumberFormat="1"/>
    <xf numFmtId="9" fontId="3" fillId="0" borderId="0" xfId="2" applyNumberFormat="1"/>
    <xf numFmtId="0" fontId="7" fillId="0" borderId="8" xfId="2" applyFont="1" applyBorder="1"/>
    <xf numFmtId="0" fontId="3" fillId="0" borderId="9" xfId="2" applyBorder="1"/>
    <xf numFmtId="0" fontId="3" fillId="0" borderId="10" xfId="2" applyBorder="1"/>
    <xf numFmtId="16" fontId="13" fillId="0" borderId="0" xfId="2" applyNumberFormat="1" applyFont="1" applyAlignment="1">
      <alignment horizontal="center"/>
    </xf>
    <xf numFmtId="0" fontId="3" fillId="0" borderId="11" xfId="2" applyBorder="1" applyAlignment="1">
      <alignment horizontal="center"/>
    </xf>
    <xf numFmtId="0" fontId="3" fillId="0" borderId="12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13" xfId="2" applyBorder="1" applyAlignment="1">
      <alignment horizontal="center"/>
    </xf>
    <xf numFmtId="0" fontId="3" fillId="0" borderId="14" xfId="2" applyBorder="1" applyAlignment="1">
      <alignment horizontal="center"/>
    </xf>
    <xf numFmtId="0" fontId="3" fillId="0" borderId="5" xfId="2" applyBorder="1" applyAlignment="1">
      <alignment horizontal="center"/>
    </xf>
    <xf numFmtId="4" fontId="3" fillId="0" borderId="1" xfId="2" applyNumberFormat="1" applyBorder="1"/>
    <xf numFmtId="2" fontId="3" fillId="0" borderId="1" xfId="2" applyNumberFormat="1" applyBorder="1"/>
    <xf numFmtId="2" fontId="3" fillId="0" borderId="2" xfId="2" applyNumberFormat="1" applyBorder="1"/>
    <xf numFmtId="0" fontId="3" fillId="0" borderId="13" xfId="2" applyBorder="1"/>
    <xf numFmtId="166" fontId="3" fillId="0" borderId="1" xfId="2" applyNumberFormat="1" applyBorder="1"/>
    <xf numFmtId="4" fontId="3" fillId="0" borderId="13" xfId="2" applyNumberFormat="1" applyBorder="1"/>
    <xf numFmtId="167" fontId="3" fillId="4" borderId="1" xfId="2" applyNumberFormat="1" applyFill="1" applyBorder="1" applyAlignment="1">
      <alignment horizontal="center"/>
    </xf>
    <xf numFmtId="3" fontId="3" fillId="4" borderId="1" xfId="2" applyNumberFormat="1" applyFill="1" applyBorder="1" applyAlignment="1">
      <alignment horizontal="center"/>
    </xf>
    <xf numFmtId="0" fontId="3" fillId="4" borderId="1" xfId="2" applyFill="1" applyBorder="1" applyAlignment="1">
      <alignment horizontal="center"/>
    </xf>
    <xf numFmtId="0" fontId="2" fillId="0" borderId="0" xfId="1" applyFont="1"/>
    <xf numFmtId="0" fontId="4" fillId="4" borderId="0" xfId="1" applyFill="1"/>
    <xf numFmtId="0" fontId="6" fillId="0" borderId="0" xfId="0" applyFont="1"/>
    <xf numFmtId="0" fontId="1" fillId="0" borderId="0" xfId="2" applyFont="1"/>
    <xf numFmtId="0" fontId="1" fillId="0" borderId="1" xfId="2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1C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pserviceslimited-my.sharepoint.com/personal/robertchadburn_bpp_com/Documents/Robert/CM1B/CM1B%20Y%20Assignments/CM1B%20Y2%20assignments/CM1B%20Assignment%20Y2%20Q3(now%20Q2)%20-OLD%20QUES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Mortality table"/>
      <sheetName val="Inputs"/>
      <sheetName val="Reserves"/>
      <sheetName val="Profit test"/>
    </sheetNames>
    <sheetDataSet>
      <sheetData sheetId="0"/>
      <sheetData sheetId="1">
        <row r="27">
          <cell r="H27">
            <v>9.3699999999987576E-4</v>
          </cell>
        </row>
      </sheetData>
      <sheetData sheetId="2">
        <row r="4">
          <cell r="D4">
            <v>0.45</v>
          </cell>
        </row>
        <row r="5">
          <cell r="D5">
            <v>0.05</v>
          </cell>
        </row>
        <row r="6">
          <cell r="D6">
            <v>50000</v>
          </cell>
        </row>
        <row r="7">
          <cell r="D7">
            <v>1950</v>
          </cell>
        </row>
        <row r="10">
          <cell r="D10">
            <v>0.03</v>
          </cell>
          <cell r="F10">
            <v>0.04</v>
          </cell>
        </row>
        <row r="11">
          <cell r="D11">
            <v>1.4999999999999999E-2</v>
          </cell>
          <cell r="F11">
            <v>0.02</v>
          </cell>
        </row>
        <row r="12">
          <cell r="D12">
            <v>1000</v>
          </cell>
          <cell r="F12">
            <v>1000</v>
          </cell>
        </row>
        <row r="13">
          <cell r="D13">
            <v>50</v>
          </cell>
          <cell r="F13">
            <v>50</v>
          </cell>
        </row>
        <row r="14">
          <cell r="D14">
            <v>0.03</v>
          </cell>
          <cell r="F14">
            <v>0.02</v>
          </cell>
        </row>
        <row r="15">
          <cell r="F15">
            <v>0.8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GridLines="0" workbookViewId="0"/>
  </sheetViews>
  <sheetFormatPr defaultColWidth="9.1796875" defaultRowHeight="14.5" x14ac:dyDescent="0.35"/>
  <cols>
    <col min="1" max="1" width="3.7265625" style="2" customWidth="1"/>
    <col min="2" max="2" width="8.1796875" style="2" customWidth="1"/>
    <col min="3" max="3" width="21.453125" style="2" customWidth="1"/>
    <col min="4" max="4" width="35.54296875" style="2" customWidth="1"/>
    <col min="5" max="16384" width="9.1796875" style="2"/>
  </cols>
  <sheetData>
    <row r="1" spans="1:8" ht="26.5" customHeight="1" x14ac:dyDescent="0.35">
      <c r="A1" s="1" t="s">
        <v>64</v>
      </c>
    </row>
    <row r="2" spans="1:8" ht="26" x14ac:dyDescent="0.35">
      <c r="A2" s="1" t="s">
        <v>61</v>
      </c>
    </row>
    <row r="3" spans="1:8" ht="26" x14ac:dyDescent="0.35">
      <c r="A3" s="1" t="s">
        <v>62</v>
      </c>
      <c r="B3" s="1"/>
    </row>
    <row r="4" spans="1:8" ht="23.5" x14ac:dyDescent="0.35">
      <c r="A4" s="3"/>
    </row>
    <row r="5" spans="1:8" x14ac:dyDescent="0.35">
      <c r="E5" s="4"/>
      <c r="F5" s="4"/>
      <c r="G5" s="4"/>
      <c r="H5" s="4"/>
    </row>
    <row r="6" spans="1:8" x14ac:dyDescent="0.35">
      <c r="B6" s="2" t="s">
        <v>0</v>
      </c>
      <c r="C6" s="55"/>
      <c r="E6" s="4"/>
      <c r="F6" s="4"/>
      <c r="G6" s="4"/>
      <c r="H6" s="4"/>
    </row>
    <row r="7" spans="1:8" x14ac:dyDescent="0.35">
      <c r="E7" s="4"/>
      <c r="F7" s="4"/>
      <c r="G7" s="4"/>
      <c r="H7" s="4"/>
    </row>
    <row r="8" spans="1:8" x14ac:dyDescent="0.35">
      <c r="B8" s="54" t="s">
        <v>63</v>
      </c>
      <c r="C8" s="55"/>
      <c r="D8" s="5"/>
      <c r="E8" s="4"/>
      <c r="F8" s="4"/>
      <c r="G8" s="4"/>
      <c r="H8" s="4"/>
    </row>
    <row r="9" spans="1:8" x14ac:dyDescent="0.35">
      <c r="D9" s="5"/>
      <c r="E9" s="4"/>
      <c r="F9" s="4"/>
      <c r="G9" s="4"/>
      <c r="H9" s="4"/>
    </row>
    <row r="10" spans="1:8" x14ac:dyDescent="0.35">
      <c r="D10" s="6"/>
      <c r="E10" s="4"/>
      <c r="F10" s="4"/>
      <c r="G10" s="4"/>
      <c r="H10" s="4"/>
    </row>
    <row r="11" spans="1:8" x14ac:dyDescent="0.35">
      <c r="D11" s="5"/>
      <c r="E11" s="4"/>
      <c r="F11" s="4"/>
      <c r="G11" s="4"/>
      <c r="H11" s="4"/>
    </row>
    <row r="12" spans="1:8" x14ac:dyDescent="0.35">
      <c r="D12" s="5"/>
      <c r="E12" s="4"/>
      <c r="F12" s="4"/>
      <c r="G12" s="4"/>
      <c r="H12" s="4"/>
    </row>
    <row r="13" spans="1:8" x14ac:dyDescent="0.35">
      <c r="D13" s="5"/>
      <c r="E13" s="4"/>
      <c r="F13" s="4"/>
      <c r="G13" s="4"/>
      <c r="H13" s="4"/>
    </row>
    <row r="15" spans="1:8" x14ac:dyDescent="0.35">
      <c r="D15" s="6"/>
    </row>
    <row r="16" spans="1:8" x14ac:dyDescent="0.35">
      <c r="D16" s="6"/>
    </row>
    <row r="17" spans="1:2" x14ac:dyDescent="0.35">
      <c r="A17" s="7"/>
    </row>
    <row r="18" spans="1:2" x14ac:dyDescent="0.35">
      <c r="B18" s="8"/>
    </row>
    <row r="19" spans="1:2" x14ac:dyDescent="0.35">
      <c r="B19" s="8"/>
    </row>
    <row r="20" spans="1:2" x14ac:dyDescent="0.35">
      <c r="B20" s="8"/>
    </row>
    <row r="21" spans="1:2" x14ac:dyDescent="0.35">
      <c r="B21" s="8"/>
    </row>
    <row r="22" spans="1:2" x14ac:dyDescent="0.35">
      <c r="B22" s="8"/>
    </row>
    <row r="23" spans="1:2" x14ac:dyDescent="0.35">
      <c r="B23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sqref="A1:XFD1048576"/>
    </sheetView>
  </sheetViews>
  <sheetFormatPr defaultColWidth="9.1796875" defaultRowHeight="14.5" x14ac:dyDescent="0.35"/>
  <cols>
    <col min="1" max="16384" width="9.1796875" style="2"/>
  </cols>
  <sheetData>
    <row r="1" s="56" customFormat="1" ht="15" customHeight="1" x14ac:dyDescent="0.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K23" sqref="K23"/>
    </sheetView>
  </sheetViews>
  <sheetFormatPr defaultRowHeight="12.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AED4-A951-4A43-9120-0A8C7261DB36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7"/>
  <sheetViews>
    <sheetView showGridLines="0" topLeftCell="A66" workbookViewId="0">
      <selection activeCell="A2" sqref="A2"/>
    </sheetView>
  </sheetViews>
  <sheetFormatPr defaultColWidth="11.7265625" defaultRowHeight="14.5" x14ac:dyDescent="0.35"/>
  <cols>
    <col min="1" max="1" width="11.7265625" style="12"/>
    <col min="2" max="2" width="1.453125" style="12" customWidth="1"/>
    <col min="3" max="16384" width="11.7265625" style="12"/>
  </cols>
  <sheetData>
    <row r="1" spans="1:9" s="10" customFormat="1" ht="21" x14ac:dyDescent="0.5">
      <c r="A1" s="9" t="s">
        <v>1</v>
      </c>
    </row>
    <row r="2" spans="1:9" x14ac:dyDescent="0.35">
      <c r="A2" s="14" t="s">
        <v>2</v>
      </c>
      <c r="B2" s="15"/>
      <c r="C2" s="15"/>
      <c r="D2" s="15"/>
      <c r="E2" s="15"/>
      <c r="F2" s="15"/>
      <c r="G2" s="15"/>
      <c r="H2" s="15"/>
    </row>
    <row r="3" spans="1:9" x14ac:dyDescent="0.35">
      <c r="A3" s="14" t="s">
        <v>3</v>
      </c>
      <c r="B3" s="15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1:9" x14ac:dyDescent="0.35">
      <c r="A4" s="13">
        <v>17</v>
      </c>
      <c r="B4" s="16"/>
      <c r="C4" s="17">
        <f>9997.8091</f>
        <v>9997.8091000000004</v>
      </c>
      <c r="D4" s="17"/>
      <c r="E4" s="17">
        <v>10000</v>
      </c>
      <c r="F4" s="18">
        <f t="shared" ref="F4:G35" si="0">(C4-D5)/C4</f>
        <v>4.2700355220820583E-4</v>
      </c>
      <c r="G4" s="18"/>
      <c r="H4" s="18">
        <f t="shared" ref="H4:H67" si="1">(E4-E5)/E4</f>
        <v>5.9999999999999995E-4</v>
      </c>
      <c r="I4" s="19"/>
    </row>
    <row r="5" spans="1:9" x14ac:dyDescent="0.35">
      <c r="A5" s="13">
        <v>18</v>
      </c>
      <c r="B5" s="16"/>
      <c r="C5" s="17">
        <f>9991.8904</f>
        <v>9991.8904000000002</v>
      </c>
      <c r="D5" s="17">
        <f>9993.54</f>
        <v>9993.5400000000009</v>
      </c>
      <c r="E5" s="17">
        <v>9994</v>
      </c>
      <c r="F5" s="18">
        <f t="shared" si="0"/>
        <v>4.2600547339876916E-4</v>
      </c>
      <c r="G5" s="18">
        <f t="shared" si="0"/>
        <v>5.4799760645385224E-4</v>
      </c>
      <c r="H5" s="18">
        <f t="shared" si="1"/>
        <v>5.9399999999999579E-4</v>
      </c>
      <c r="I5" s="19"/>
    </row>
    <row r="6" spans="1:9" x14ac:dyDescent="0.35">
      <c r="A6" s="13">
        <v>19</v>
      </c>
      <c r="B6" s="16"/>
      <c r="C6" s="17">
        <f>9986.0351</f>
        <v>9986.0350999999991</v>
      </c>
      <c r="D6" s="17">
        <f>9987.6338</f>
        <v>9987.6337999999996</v>
      </c>
      <c r="E6" s="17">
        <v>9988.063564</v>
      </c>
      <c r="F6" s="18">
        <f t="shared" si="0"/>
        <v>4.2499349917153584E-4</v>
      </c>
      <c r="G6" s="18">
        <f t="shared" si="0"/>
        <v>5.4399564710390683E-4</v>
      </c>
      <c r="H6" s="18">
        <f t="shared" si="1"/>
        <v>5.8700000000002836E-4</v>
      </c>
      <c r="I6" s="19"/>
    </row>
    <row r="7" spans="1:9" x14ac:dyDescent="0.35">
      <c r="A7" s="13">
        <v>20</v>
      </c>
      <c r="B7" s="16"/>
      <c r="C7" s="17">
        <f>9980.2432</f>
        <v>9980.2432000000008</v>
      </c>
      <c r="D7" s="17">
        <f>9981.7911</f>
        <v>9981.7911000000004</v>
      </c>
      <c r="E7" s="17">
        <v>9982.2005706879318</v>
      </c>
      <c r="F7" s="18">
        <f t="shared" si="0"/>
        <v>4.2499966333497751E-4</v>
      </c>
      <c r="G7" s="18">
        <f t="shared" si="0"/>
        <v>5.4100210975257905E-4</v>
      </c>
      <c r="H7" s="18">
        <f t="shared" si="1"/>
        <v>5.8200000000005307E-4</v>
      </c>
      <c r="I7" s="19"/>
    </row>
    <row r="8" spans="1:9" x14ac:dyDescent="0.35">
      <c r="A8" s="13">
        <v>21</v>
      </c>
      <c r="B8" s="16"/>
      <c r="C8" s="17">
        <f>9974.5046</f>
        <v>9974.5046000000002</v>
      </c>
      <c r="D8" s="17">
        <f>9976.0016</f>
        <v>9976.0015999999996</v>
      </c>
      <c r="E8" s="17">
        <v>9976.3909299557909</v>
      </c>
      <c r="F8" s="18">
        <f t="shared" si="0"/>
        <v>4.2500356358550202E-4</v>
      </c>
      <c r="G8" s="18">
        <f t="shared" si="0"/>
        <v>5.379958650762991E-4</v>
      </c>
      <c r="H8" s="18">
        <f t="shared" si="1"/>
        <v>5.770000000001309E-4</v>
      </c>
      <c r="I8" s="19"/>
    </row>
    <row r="9" spans="1:9" x14ac:dyDescent="0.35">
      <c r="A9" s="13">
        <v>22</v>
      </c>
      <c r="B9" s="16"/>
      <c r="C9" s="17">
        <f>9968.8391</f>
        <v>9968.8390999999992</v>
      </c>
      <c r="D9" s="17">
        <f>9970.2654</f>
        <v>9970.2654000000002</v>
      </c>
      <c r="E9" s="17">
        <v>9970.6345523892051</v>
      </c>
      <c r="F9" s="18">
        <f t="shared" si="0"/>
        <v>4.2700057221305837E-4</v>
      </c>
      <c r="G9" s="18">
        <f t="shared" si="0"/>
        <v>5.3499584622510965E-4</v>
      </c>
      <c r="H9" s="18">
        <f t="shared" si="1"/>
        <v>5.7200000000001347E-4</v>
      </c>
      <c r="I9" s="19"/>
    </row>
    <row r="10" spans="1:9" x14ac:dyDescent="0.35">
      <c r="A10" s="13">
        <v>23</v>
      </c>
      <c r="B10" s="16"/>
      <c r="C10" s="17">
        <f>9963.1967</f>
        <v>9963.1967000000004</v>
      </c>
      <c r="D10" s="17">
        <f>9964.5824</f>
        <v>9964.5823999999993</v>
      </c>
      <c r="E10" s="17">
        <v>9964.9313494252383</v>
      </c>
      <c r="F10" s="18">
        <f t="shared" si="0"/>
        <v>4.2899885736470873E-4</v>
      </c>
      <c r="G10" s="18">
        <f t="shared" si="0"/>
        <v>5.3400095447889606E-4</v>
      </c>
      <c r="H10" s="18">
        <f t="shared" si="1"/>
        <v>5.6899999999996168E-4</v>
      </c>
      <c r="I10" s="19"/>
    </row>
    <row r="11" spans="1:9" x14ac:dyDescent="0.35">
      <c r="A11" s="13">
        <v>24</v>
      </c>
      <c r="B11" s="16"/>
      <c r="C11" s="17">
        <f>9957.5775</f>
        <v>9957.5774999999994</v>
      </c>
      <c r="D11" s="17">
        <f>9958.9225</f>
        <v>9958.9225000000006</v>
      </c>
      <c r="E11" s="17">
        <v>9959.2613034874157</v>
      </c>
      <c r="F11" s="18">
        <f t="shared" si="0"/>
        <v>4.3099840297499716E-4</v>
      </c>
      <c r="G11" s="18">
        <f t="shared" si="0"/>
        <v>5.329991946079343E-4</v>
      </c>
      <c r="H11" s="18">
        <f t="shared" si="1"/>
        <v>5.6700000000006084E-4</v>
      </c>
      <c r="I11" s="19"/>
    </row>
    <row r="12" spans="1:9" x14ac:dyDescent="0.35">
      <c r="A12" s="13">
        <v>25</v>
      </c>
      <c r="B12" s="16"/>
      <c r="C12" s="17">
        <f>9951.9913</f>
        <v>9951.9912999999997</v>
      </c>
      <c r="D12" s="17">
        <f>9953.2858</f>
        <v>9953.2857999999997</v>
      </c>
      <c r="E12" s="17">
        <v>9953.6144023283377</v>
      </c>
      <c r="F12" s="18">
        <f t="shared" si="0"/>
        <v>4.3499837062749606E-4</v>
      </c>
      <c r="G12" s="18">
        <f t="shared" si="0"/>
        <v>5.3300422895306268E-4</v>
      </c>
      <c r="H12" s="18">
        <f t="shared" si="1"/>
        <v>5.6599999999987151E-4</v>
      </c>
      <c r="I12" s="19"/>
    </row>
    <row r="13" spans="1:9" x14ac:dyDescent="0.35">
      <c r="A13" s="13">
        <v>26</v>
      </c>
      <c r="B13" s="16"/>
      <c r="C13" s="17">
        <f>9946.3982</f>
        <v>9946.3981999999996</v>
      </c>
      <c r="D13" s="17">
        <f>9947.6622</f>
        <v>9947.6622000000007</v>
      </c>
      <c r="E13" s="17">
        <v>9947.9806565766212</v>
      </c>
      <c r="F13" s="18">
        <f t="shared" si="0"/>
        <v>4.3999847100422682E-4</v>
      </c>
      <c r="G13" s="18">
        <f t="shared" si="0"/>
        <v>5.3500494374031512E-4</v>
      </c>
      <c r="H13" s="18">
        <f t="shared" si="1"/>
        <v>5.6700000000002365E-4</v>
      </c>
      <c r="I13" s="19"/>
    </row>
    <row r="14" spans="1:9" x14ac:dyDescent="0.35">
      <c r="A14" s="13">
        <v>27</v>
      </c>
      <c r="B14" s="16"/>
      <c r="C14" s="17">
        <f>9940.7984</f>
        <v>9940.7983999999997</v>
      </c>
      <c r="D14" s="17">
        <f>9942.0218</f>
        <v>9942.0218000000004</v>
      </c>
      <c r="E14" s="17">
        <v>9942.340151544342</v>
      </c>
      <c r="F14" s="18">
        <f t="shared" si="0"/>
        <v>4.4699628955350342E-4</v>
      </c>
      <c r="G14" s="18">
        <f t="shared" si="0"/>
        <v>5.3799744655943604E-4</v>
      </c>
      <c r="H14" s="18">
        <f t="shared" si="1"/>
        <v>5.6999999999995379E-4</v>
      </c>
      <c r="I14" s="19"/>
    </row>
    <row r="15" spans="1:9" x14ac:dyDescent="0.35">
      <c r="A15" s="13">
        <v>28</v>
      </c>
      <c r="B15" s="16"/>
      <c r="C15" s="17">
        <f>9935.1818</f>
        <v>9935.1818000000003</v>
      </c>
      <c r="D15" s="17">
        <f>9936.3549</f>
        <v>9936.3549000000003</v>
      </c>
      <c r="E15" s="17">
        <v>9936.6730176579622</v>
      </c>
      <c r="F15" s="18">
        <f t="shared" si="0"/>
        <v>4.5499922306409512E-4</v>
      </c>
      <c r="G15" s="18">
        <f t="shared" si="0"/>
        <v>5.4200284796313925E-4</v>
      </c>
      <c r="H15" s="18">
        <f t="shared" si="1"/>
        <v>5.7399999999987355E-4</v>
      </c>
      <c r="I15" s="19"/>
    </row>
    <row r="16" spans="1:9" x14ac:dyDescent="0.35">
      <c r="A16" s="13">
        <v>29</v>
      </c>
      <c r="B16" s="16"/>
      <c r="C16" s="17">
        <f>9929.5088</f>
        <v>9929.5087999999996</v>
      </c>
      <c r="D16" s="17">
        <f>9930.6613</f>
        <v>9930.6612999999998</v>
      </c>
      <c r="E16" s="17">
        <v>9930.9693673458278</v>
      </c>
      <c r="F16" s="18">
        <f t="shared" si="0"/>
        <v>4.649978254713642E-4</v>
      </c>
      <c r="G16" s="18">
        <f t="shared" si="0"/>
        <v>5.4899615670427721E-4</v>
      </c>
      <c r="H16" s="18">
        <f t="shared" si="1"/>
        <v>5.7999999999993387E-4</v>
      </c>
      <c r="I16" s="19"/>
    </row>
    <row r="17" spans="1:9" x14ac:dyDescent="0.35">
      <c r="A17" s="13">
        <v>30</v>
      </c>
      <c r="B17" s="16"/>
      <c r="C17" s="17">
        <f>9923.7497</f>
        <v>9923.7497000000003</v>
      </c>
      <c r="D17" s="17">
        <f>9924.8916</f>
        <v>9924.8916000000008</v>
      </c>
      <c r="E17" s="17">
        <v>9925.2094051127679</v>
      </c>
      <c r="F17" s="18">
        <f t="shared" si="0"/>
        <v>4.7599951054795977E-4</v>
      </c>
      <c r="G17" s="18">
        <f t="shared" si="0"/>
        <v>5.5799787639493077E-4</v>
      </c>
      <c r="H17" s="18">
        <f t="shared" si="1"/>
        <v>5.9000000000003754E-4</v>
      </c>
      <c r="I17" s="19"/>
    </row>
    <row r="18" spans="1:9" x14ac:dyDescent="0.35">
      <c r="A18" s="13">
        <v>31</v>
      </c>
      <c r="B18" s="16"/>
      <c r="C18" s="17">
        <f>9917.9145</f>
        <v>9917.9145000000008</v>
      </c>
      <c r="D18" s="17">
        <f>9919.026</f>
        <v>9919.0259999999998</v>
      </c>
      <c r="E18" s="17">
        <v>9919.3535315637509</v>
      </c>
      <c r="F18" s="18">
        <f t="shared" si="0"/>
        <v>4.900022076213883E-4</v>
      </c>
      <c r="G18" s="18">
        <f t="shared" si="0"/>
        <v>5.6899934149291212E-4</v>
      </c>
      <c r="H18" s="18">
        <f t="shared" si="1"/>
        <v>6.020000000000812E-4</v>
      </c>
      <c r="I18" s="19"/>
    </row>
    <row r="19" spans="1:9" x14ac:dyDescent="0.35">
      <c r="A19" s="13">
        <v>32</v>
      </c>
      <c r="B19" s="16"/>
      <c r="C19" s="17">
        <f>9911.9538</f>
        <v>9911.9537999999993</v>
      </c>
      <c r="D19" s="17">
        <f>9913.0547</f>
        <v>9913.0547000000006</v>
      </c>
      <c r="E19" s="17">
        <v>9913.3820807377488</v>
      </c>
      <c r="F19" s="18">
        <f t="shared" si="0"/>
        <v>5.0699388853076921E-4</v>
      </c>
      <c r="G19" s="18">
        <f t="shared" si="0"/>
        <v>5.8399516408060926E-4</v>
      </c>
      <c r="H19" s="18">
        <f t="shared" si="1"/>
        <v>6.1699999999995309E-4</v>
      </c>
      <c r="I19" s="19"/>
    </row>
    <row r="20" spans="1:9" x14ac:dyDescent="0.35">
      <c r="A20" s="13">
        <v>33</v>
      </c>
      <c r="B20" s="16"/>
      <c r="C20" s="17">
        <f>9905.8282</f>
        <v>9905.8281999999999</v>
      </c>
      <c r="D20" s="17">
        <f>9906.9285</f>
        <v>9906.9285</v>
      </c>
      <c r="E20" s="17">
        <v>9907.265523993934</v>
      </c>
      <c r="F20" s="18">
        <f t="shared" si="0"/>
        <v>5.2700288099082461E-4</v>
      </c>
      <c r="G20" s="18">
        <f t="shared" si="0"/>
        <v>6.0200261658548864E-4</v>
      </c>
      <c r="H20" s="18">
        <f t="shared" si="1"/>
        <v>6.3599999999992547E-4</v>
      </c>
      <c r="I20" s="19"/>
    </row>
    <row r="21" spans="1:9" x14ac:dyDescent="0.35">
      <c r="A21" s="13">
        <v>34</v>
      </c>
      <c r="B21" s="16"/>
      <c r="C21" s="17">
        <f>9899.4984</f>
        <v>9899.4984000000004</v>
      </c>
      <c r="D21" s="17">
        <f>9900.6078</f>
        <v>9900.6077999999998</v>
      </c>
      <c r="E21" s="17">
        <v>9900.9645031206746</v>
      </c>
      <c r="F21" s="18">
        <f t="shared" si="0"/>
        <v>5.5000766503493991E-4</v>
      </c>
      <c r="G21" s="18">
        <f t="shared" si="0"/>
        <v>6.2399537242399281E-4</v>
      </c>
      <c r="H21" s="18">
        <f t="shared" si="1"/>
        <v>6.6000000000001095E-4</v>
      </c>
      <c r="I21" s="19"/>
    </row>
    <row r="22" spans="1:9" x14ac:dyDescent="0.35">
      <c r="A22" s="13">
        <v>35</v>
      </c>
      <c r="B22" s="16"/>
      <c r="C22" s="17">
        <f>9892.9151</f>
        <v>9892.9151000000002</v>
      </c>
      <c r="D22" s="17">
        <f>9894.0536</f>
        <v>9894.0535999999993</v>
      </c>
      <c r="E22" s="17">
        <v>9894.4298665486149</v>
      </c>
      <c r="F22" s="18">
        <f t="shared" si="0"/>
        <v>5.7699878572706469E-4</v>
      </c>
      <c r="G22" s="18">
        <f t="shared" si="0"/>
        <v>6.5099663796410574E-4</v>
      </c>
      <c r="H22" s="18">
        <f t="shared" si="1"/>
        <v>6.8900000000002672E-4</v>
      </c>
      <c r="I22" s="19"/>
    </row>
    <row r="23" spans="1:9" x14ac:dyDescent="0.35">
      <c r="A23" s="13">
        <v>36</v>
      </c>
      <c r="B23" s="16"/>
      <c r="C23" s="17">
        <f>9886.0395</f>
        <v>9886.0395000000008</v>
      </c>
      <c r="D23" s="17">
        <f>9887.2069</f>
        <v>9887.2068999999992</v>
      </c>
      <c r="E23" s="17">
        <v>9887.6126043705626</v>
      </c>
      <c r="F23" s="18">
        <f t="shared" si="0"/>
        <v>6.0799878454872894E-4</v>
      </c>
      <c r="G23" s="18">
        <f t="shared" si="0"/>
        <v>6.829964441222616E-4</v>
      </c>
      <c r="H23" s="18">
        <f t="shared" si="1"/>
        <v>7.2400000000002031E-4</v>
      </c>
      <c r="I23" s="19"/>
    </row>
    <row r="24" spans="1:9" x14ac:dyDescent="0.35">
      <c r="A24" s="13">
        <v>37</v>
      </c>
      <c r="B24" s="16"/>
      <c r="C24" s="17">
        <f>9878.8128</f>
        <v>9878.8127999999997</v>
      </c>
      <c r="D24" s="17">
        <f>9880.0288</f>
        <v>9880.0288</v>
      </c>
      <c r="E24" s="17">
        <v>9880.4539728449981</v>
      </c>
      <c r="F24" s="18">
        <f t="shared" si="0"/>
        <v>6.4400451033945808E-4</v>
      </c>
      <c r="G24" s="18">
        <f t="shared" si="0"/>
        <v>7.2199935735299157E-4</v>
      </c>
      <c r="H24" s="18">
        <f t="shared" si="1"/>
        <v>7.6500000000007205E-4</v>
      </c>
      <c r="I24" s="19"/>
    </row>
    <row r="25" spans="1:9" x14ac:dyDescent="0.35">
      <c r="A25" s="13">
        <v>38</v>
      </c>
      <c r="B25" s="16"/>
      <c r="C25" s="17">
        <f>9871.1665</f>
        <v>9871.1664999999994</v>
      </c>
      <c r="D25" s="17">
        <f>9872.4508</f>
        <v>9872.4508000000005</v>
      </c>
      <c r="E25" s="17">
        <v>9872.895425555771</v>
      </c>
      <c r="F25" s="18">
        <f t="shared" si="0"/>
        <v>6.8500516124413678E-4</v>
      </c>
      <c r="G25" s="18">
        <f t="shared" si="0"/>
        <v>7.6799961618503171E-4</v>
      </c>
      <c r="H25" s="18">
        <f t="shared" si="1"/>
        <v>8.1299999999992305E-4</v>
      </c>
      <c r="I25" s="19"/>
    </row>
    <row r="26" spans="1:9" x14ac:dyDescent="0.35">
      <c r="A26" s="13">
        <v>39</v>
      </c>
      <c r="B26" s="16"/>
      <c r="C26" s="17">
        <f>9863.0227</f>
        <v>9863.0226999999995</v>
      </c>
      <c r="D26" s="17">
        <f>9864.4047</f>
        <v>9864.4046999999991</v>
      </c>
      <c r="E26" s="17">
        <v>9864.8687615747949</v>
      </c>
      <c r="F26" s="18">
        <f t="shared" si="0"/>
        <v>7.3300044214627579E-4</v>
      </c>
      <c r="G26" s="18">
        <f t="shared" si="0"/>
        <v>8.2299687560214731E-4</v>
      </c>
      <c r="H26" s="18">
        <f t="shared" si="1"/>
        <v>8.7000000000008544E-4</v>
      </c>
      <c r="I26" s="19"/>
    </row>
    <row r="27" spans="1:9" x14ac:dyDescent="0.35">
      <c r="A27" s="13">
        <v>40</v>
      </c>
      <c r="B27" s="16"/>
      <c r="C27" s="17">
        <f>9854.3036</f>
        <v>9854.3035999999993</v>
      </c>
      <c r="D27" s="17">
        <f>9855.7931</f>
        <v>9855.7931000000008</v>
      </c>
      <c r="E27" s="17">
        <v>9856.286325752224</v>
      </c>
      <c r="F27" s="18">
        <f t="shared" si="0"/>
        <v>7.8800088927641961E-4</v>
      </c>
      <c r="G27" s="18">
        <f t="shared" si="0"/>
        <v>8.8700264365385105E-4</v>
      </c>
      <c r="H27" s="18">
        <f t="shared" si="1"/>
        <v>9.3699999999987576E-4</v>
      </c>
      <c r="I27" s="19"/>
    </row>
    <row r="28" spans="1:9" x14ac:dyDescent="0.35">
      <c r="A28" s="13">
        <v>41</v>
      </c>
      <c r="B28" s="16"/>
      <c r="C28" s="17">
        <f>9844.9025</f>
        <v>9844.9025000000001</v>
      </c>
      <c r="D28" s="17">
        <f>9846.5384</f>
        <v>9846.5383999999995</v>
      </c>
      <c r="E28" s="17">
        <v>9847.0509854649954</v>
      </c>
      <c r="F28" s="18">
        <f t="shared" si="0"/>
        <v>8.5099877830182788E-4</v>
      </c>
      <c r="G28" s="18">
        <f t="shared" si="0"/>
        <v>9.619953581112634E-4</v>
      </c>
      <c r="H28" s="18">
        <f t="shared" si="1"/>
        <v>1.0139999999998718E-3</v>
      </c>
      <c r="I28" s="19"/>
    </row>
    <row r="29" spans="1:9" x14ac:dyDescent="0.35">
      <c r="A29" s="13">
        <v>42</v>
      </c>
      <c r="B29" s="16"/>
      <c r="C29" s="17">
        <f>9834.703</f>
        <v>9834.7029999999995</v>
      </c>
      <c r="D29" s="17">
        <f>9836.5245</f>
        <v>9836.5244999999995</v>
      </c>
      <c r="E29" s="17">
        <v>9837.0660757657351</v>
      </c>
      <c r="F29" s="18">
        <f t="shared" si="0"/>
        <v>9.2200038984403614E-4</v>
      </c>
      <c r="G29" s="18">
        <f t="shared" si="0"/>
        <v>1.0490031496297235E-3</v>
      </c>
      <c r="H29" s="18">
        <f t="shared" si="1"/>
        <v>1.1040000000000186E-3</v>
      </c>
      <c r="I29" s="19"/>
    </row>
    <row r="30" spans="1:9" x14ac:dyDescent="0.35">
      <c r="A30" s="13">
        <v>43</v>
      </c>
      <c r="B30" s="16"/>
      <c r="C30" s="17">
        <f>9823.5994</f>
        <v>9823.5993999999992</v>
      </c>
      <c r="D30" s="17">
        <f>9825.6354</f>
        <v>9825.6353999999992</v>
      </c>
      <c r="E30" s="17">
        <v>9826.2059548180896</v>
      </c>
      <c r="F30" s="18">
        <f t="shared" si="0"/>
        <v>1.0030030336943962E-3</v>
      </c>
      <c r="G30" s="18">
        <f t="shared" si="0"/>
        <v>1.1500021642700986E-3</v>
      </c>
      <c r="H30" s="18">
        <f t="shared" si="1"/>
        <v>1.2079999999999012E-3</v>
      </c>
      <c r="I30" s="19"/>
    </row>
    <row r="31" spans="1:9" x14ac:dyDescent="0.35">
      <c r="A31" s="13">
        <v>44</v>
      </c>
      <c r="B31" s="16"/>
      <c r="C31" s="17">
        <f>9811.4473</f>
        <v>9811.4472999999998</v>
      </c>
      <c r="D31" s="17">
        <f>9813.7463</f>
        <v>9813.7463000000007</v>
      </c>
      <c r="E31" s="17">
        <v>9814.3358980246703</v>
      </c>
      <c r="F31" s="18">
        <f t="shared" si="0"/>
        <v>1.0960054792323658E-3</v>
      </c>
      <c r="G31" s="18">
        <f t="shared" si="0"/>
        <v>1.2670009323564146E-3</v>
      </c>
      <c r="H31" s="18">
        <f t="shared" si="1"/>
        <v>1.3270000000000194E-3</v>
      </c>
      <c r="I31" s="19"/>
    </row>
    <row r="32" spans="1:9" x14ac:dyDescent="0.35">
      <c r="A32" s="13">
        <v>45</v>
      </c>
      <c r="B32" s="16"/>
      <c r="C32" s="17">
        <f>9798.0837</f>
        <v>9798.0836999999992</v>
      </c>
      <c r="D32" s="17">
        <f>9800.6939</f>
        <v>9800.6939000000002</v>
      </c>
      <c r="E32" s="17">
        <v>9801.3122742879914</v>
      </c>
      <c r="F32" s="18">
        <f t="shared" si="0"/>
        <v>1.2010001506723123E-3</v>
      </c>
      <c r="G32" s="18">
        <f t="shared" si="0"/>
        <v>1.4019974844679485E-3</v>
      </c>
      <c r="H32" s="18">
        <f t="shared" si="1"/>
        <v>1.4649999999999626E-3</v>
      </c>
      <c r="I32" s="19"/>
    </row>
    <row r="33" spans="1:9" x14ac:dyDescent="0.35">
      <c r="A33" s="13">
        <v>46</v>
      </c>
      <c r="B33" s="16"/>
      <c r="C33" s="17">
        <f>9783.3371</f>
        <v>9783.3371000000006</v>
      </c>
      <c r="D33" s="17">
        <f>9786.3162</f>
        <v>9786.3161999999993</v>
      </c>
      <c r="E33" s="17">
        <v>9786.9533518061598</v>
      </c>
      <c r="F33" s="18">
        <f t="shared" si="0"/>
        <v>1.3199994917890204E-3</v>
      </c>
      <c r="G33" s="18">
        <f t="shared" si="0"/>
        <v>1.5569992036911344E-3</v>
      </c>
      <c r="H33" s="18">
        <f t="shared" si="1"/>
        <v>1.6220000000000613E-3</v>
      </c>
      <c r="I33" s="19"/>
    </row>
    <row r="34" spans="1:9" x14ac:dyDescent="0.35">
      <c r="A34" s="13">
        <v>47</v>
      </c>
      <c r="B34" s="16"/>
      <c r="C34" s="17">
        <f>9766.9983</f>
        <v>9766.9982999999993</v>
      </c>
      <c r="D34" s="17">
        <f>9770.4231</f>
        <v>9770.4231</v>
      </c>
      <c r="E34" s="17">
        <v>9771.0789134695297</v>
      </c>
      <c r="F34" s="18">
        <f t="shared" si="0"/>
        <v>1.4549915504746263E-3</v>
      </c>
      <c r="G34" s="18">
        <f t="shared" si="0"/>
        <v>1.7349986340450261E-3</v>
      </c>
      <c r="H34" s="18">
        <f t="shared" si="1"/>
        <v>1.8019999999999542E-3</v>
      </c>
      <c r="I34" s="19"/>
    </row>
    <row r="35" spans="1:9" x14ac:dyDescent="0.35">
      <c r="A35" s="13">
        <v>48</v>
      </c>
      <c r="B35" s="16"/>
      <c r="C35" s="17">
        <f>9748.8603</f>
        <v>9748.8603000000003</v>
      </c>
      <c r="D35" s="17">
        <f>9752.7874</f>
        <v>9752.7873999999993</v>
      </c>
      <c r="E35" s="17">
        <v>9753.471429267458</v>
      </c>
      <c r="F35" s="18">
        <f t="shared" si="0"/>
        <v>1.607008359736284E-3</v>
      </c>
      <c r="G35" s="18">
        <f t="shared" si="0"/>
        <v>1.9380040379543097E-3</v>
      </c>
      <c r="H35" s="18">
        <f t="shared" si="1"/>
        <v>2.0079999999999599E-3</v>
      </c>
      <c r="I35" s="19"/>
    </row>
    <row r="36" spans="1:9" x14ac:dyDescent="0.35">
      <c r="A36" s="13">
        <v>49</v>
      </c>
      <c r="B36" s="16"/>
      <c r="C36" s="17">
        <f>9728.6499</f>
        <v>9728.6499000000003</v>
      </c>
      <c r="D36" s="17">
        <f>9733.1938</f>
        <v>9733.1937999999991</v>
      </c>
      <c r="E36" s="17">
        <v>9733.8864586374893</v>
      </c>
      <c r="F36" s="18">
        <f t="shared" ref="F36:G67" si="2">(C36-D37)/C36</f>
        <v>1.7779959375453095E-3</v>
      </c>
      <c r="G36" s="18">
        <f t="shared" si="2"/>
        <v>2.1699949009869116E-3</v>
      </c>
      <c r="H36" s="18">
        <f t="shared" si="1"/>
        <v>2.2410000000001075E-3</v>
      </c>
      <c r="I36" s="19"/>
    </row>
    <row r="37" spans="1:9" x14ac:dyDescent="0.35">
      <c r="A37" s="13">
        <v>50</v>
      </c>
      <c r="B37" s="16"/>
      <c r="C37" s="17">
        <f>9706.0977</f>
        <v>9706.0977000000003</v>
      </c>
      <c r="D37" s="17">
        <f>9711.3524</f>
        <v>9711.3523999999998</v>
      </c>
      <c r="E37" s="17">
        <v>9712.0728190836817</v>
      </c>
      <c r="F37" s="18">
        <f t="shared" si="2"/>
        <v>1.9710083899115109E-3</v>
      </c>
      <c r="G37" s="18">
        <f t="shared" si="2"/>
        <v>2.434002863141761E-3</v>
      </c>
      <c r="H37" s="18">
        <f t="shared" si="1"/>
        <v>2.5079999999998615E-3</v>
      </c>
      <c r="I37" s="19"/>
    </row>
    <row r="38" spans="1:9" x14ac:dyDescent="0.35">
      <c r="A38" s="13">
        <v>51</v>
      </c>
      <c r="B38" s="16"/>
      <c r="C38" s="17">
        <f>9680.899</f>
        <v>9680.8989999999994</v>
      </c>
      <c r="D38" s="17">
        <f>9686.9669</f>
        <v>9686.9668999999994</v>
      </c>
      <c r="E38" s="17">
        <v>9687.7149404534211</v>
      </c>
      <c r="F38" s="18">
        <f t="shared" si="2"/>
        <v>2.1890012487475593E-3</v>
      </c>
      <c r="G38" s="18">
        <f t="shared" si="2"/>
        <v>2.7319955861841161E-3</v>
      </c>
      <c r="H38" s="18">
        <f t="shared" si="1"/>
        <v>2.8089999999999665E-3</v>
      </c>
      <c r="I38" s="19"/>
    </row>
    <row r="39" spans="1:9" x14ac:dyDescent="0.35">
      <c r="A39" s="13">
        <v>52</v>
      </c>
      <c r="B39" s="16"/>
      <c r="C39" s="17">
        <f>9652.6965</f>
        <v>9652.6965</v>
      </c>
      <c r="D39" s="17">
        <f>9659.7075</f>
        <v>9659.7075000000004</v>
      </c>
      <c r="E39" s="17">
        <v>9660.5021491856878</v>
      </c>
      <c r="F39" s="18">
        <f t="shared" si="2"/>
        <v>2.4329989034670863E-3</v>
      </c>
      <c r="G39" s="18">
        <f t="shared" si="2"/>
        <v>3.069994985722471E-3</v>
      </c>
      <c r="H39" s="18">
        <f t="shared" si="1"/>
        <v>3.1519999999999829E-3</v>
      </c>
      <c r="I39" s="19"/>
    </row>
    <row r="40" spans="1:9" x14ac:dyDescent="0.35">
      <c r="A40" s="13">
        <v>53</v>
      </c>
      <c r="B40" s="16"/>
      <c r="C40" s="17">
        <f>9621.1006</f>
        <v>9621.1005999999998</v>
      </c>
      <c r="D40" s="17">
        <f>9629.2115</f>
        <v>9629.2114999999994</v>
      </c>
      <c r="E40" s="17">
        <v>9630.0522464114547</v>
      </c>
      <c r="F40" s="18">
        <f t="shared" si="2"/>
        <v>2.7069979914771461E-3</v>
      </c>
      <c r="G40" s="18">
        <f t="shared" si="2"/>
        <v>3.4519969250435467E-3</v>
      </c>
      <c r="H40" s="18">
        <f t="shared" si="1"/>
        <v>3.5389999999999042E-3</v>
      </c>
      <c r="I40" s="19"/>
    </row>
    <row r="41" spans="1:9" x14ac:dyDescent="0.35">
      <c r="A41" s="13">
        <v>54</v>
      </c>
      <c r="B41" s="16"/>
      <c r="C41" s="17">
        <f>9585.6916</f>
        <v>9585.6916000000001</v>
      </c>
      <c r="D41" s="17">
        <f>9595.0563</f>
        <v>9595.0563000000002</v>
      </c>
      <c r="E41" s="17">
        <v>9595.9714915114055</v>
      </c>
      <c r="F41" s="18">
        <f t="shared" si="2"/>
        <v>3.0140026620509384E-3</v>
      </c>
      <c r="G41" s="18">
        <f t="shared" si="2"/>
        <v>3.8809976694815468E-3</v>
      </c>
      <c r="H41" s="18">
        <f t="shared" si="1"/>
        <v>3.9760000000000177E-3</v>
      </c>
      <c r="I41" s="19"/>
    </row>
    <row r="42" spans="1:9" x14ac:dyDescent="0.35">
      <c r="A42" s="13">
        <v>55</v>
      </c>
      <c r="B42" s="16"/>
      <c r="C42" s="17">
        <f>9545.9929</f>
        <v>9545.9928999999993</v>
      </c>
      <c r="D42" s="17">
        <f>9556.8003</f>
        <v>9556.8003000000008</v>
      </c>
      <c r="E42" s="17">
        <v>9557.817908861156</v>
      </c>
      <c r="F42" s="18">
        <f t="shared" si="2"/>
        <v>3.3579953741636748E-3</v>
      </c>
      <c r="G42" s="18">
        <f t="shared" si="2"/>
        <v>4.3629957794080534E-3</v>
      </c>
      <c r="H42" s="18">
        <f t="shared" si="1"/>
        <v>4.4690000000000294E-3</v>
      </c>
      <c r="I42" s="19"/>
    </row>
    <row r="43" spans="1:9" x14ac:dyDescent="0.35">
      <c r="A43" s="13">
        <v>56</v>
      </c>
      <c r="B43" s="16"/>
      <c r="C43" s="17">
        <f>9501.4839</f>
        <v>9501.4838999999993</v>
      </c>
      <c r="D43" s="17">
        <f>9513.9375</f>
        <v>9513.9375</v>
      </c>
      <c r="E43" s="17">
        <v>9515.1040206264552</v>
      </c>
      <c r="F43" s="18">
        <f t="shared" si="2"/>
        <v>3.7420049725074506E-3</v>
      </c>
      <c r="G43" s="18">
        <f t="shared" si="2"/>
        <v>4.9030043635657347E-3</v>
      </c>
      <c r="H43" s="18">
        <f t="shared" si="1"/>
        <v>5.0249999999998846E-3</v>
      </c>
      <c r="I43" s="19"/>
    </row>
    <row r="44" spans="1:9" x14ac:dyDescent="0.35">
      <c r="A44" s="13">
        <v>57</v>
      </c>
      <c r="B44" s="16"/>
      <c r="C44" s="17">
        <f>9451.5938</f>
        <v>9451.5938000000006</v>
      </c>
      <c r="D44" s="17">
        <f>9465.9293</f>
        <v>9465.9292999999998</v>
      </c>
      <c r="E44" s="17">
        <v>9467.2906229228083</v>
      </c>
      <c r="F44" s="18">
        <f t="shared" si="2"/>
        <v>4.1710002391342586E-3</v>
      </c>
      <c r="G44" s="18">
        <f t="shared" si="2"/>
        <v>5.5069996240839107E-3</v>
      </c>
      <c r="H44" s="18">
        <f t="shared" si="1"/>
        <v>5.6499999999999519E-3</v>
      </c>
      <c r="I44" s="19"/>
    </row>
    <row r="45" spans="1:9" x14ac:dyDescent="0.35">
      <c r="A45" s="13">
        <v>58</v>
      </c>
      <c r="B45" s="16"/>
      <c r="C45" s="17">
        <f>9395.6971</f>
        <v>9395.6970999999994</v>
      </c>
      <c r="D45" s="17">
        <f>9412.1712</f>
        <v>9412.1712000000007</v>
      </c>
      <c r="E45" s="17">
        <v>9413.8004309032949</v>
      </c>
      <c r="F45" s="18">
        <f t="shared" si="2"/>
        <v>4.6490004451079725E-3</v>
      </c>
      <c r="G45" s="18">
        <f t="shared" si="2"/>
        <v>6.1800012130892911E-3</v>
      </c>
      <c r="H45" s="18">
        <f t="shared" si="1"/>
        <v>6.3520000000000633E-3</v>
      </c>
      <c r="I45" s="19"/>
    </row>
    <row r="46" spans="1:9" x14ac:dyDescent="0.35">
      <c r="A46" s="13">
        <v>59</v>
      </c>
      <c r="B46" s="16"/>
      <c r="C46" s="17">
        <f>9333.1284</f>
        <v>9333.1283999999996</v>
      </c>
      <c r="D46" s="17">
        <f>9352.0165</f>
        <v>9352.0164999999997</v>
      </c>
      <c r="E46" s="17">
        <v>9354.0039705661966</v>
      </c>
      <c r="F46" s="18">
        <f t="shared" si="2"/>
        <v>5.1820030676958517E-3</v>
      </c>
      <c r="G46" s="18">
        <f t="shared" si="2"/>
        <v>6.9289995140242519E-3</v>
      </c>
      <c r="H46" s="18">
        <f t="shared" si="1"/>
        <v>7.1400000000001072E-3</v>
      </c>
      <c r="I46" s="19"/>
    </row>
    <row r="47" spans="1:9" x14ac:dyDescent="0.35">
      <c r="A47" s="13">
        <v>60</v>
      </c>
      <c r="B47" s="16"/>
      <c r="C47" s="17">
        <f>9263.1422</f>
        <v>9263.1422000000002</v>
      </c>
      <c r="D47" s="17">
        <f>9284.7641</f>
        <v>9284.7641000000003</v>
      </c>
      <c r="E47" s="17">
        <v>9287.2163822163529</v>
      </c>
      <c r="F47" s="18">
        <f t="shared" si="2"/>
        <v>5.7740018284507793E-3</v>
      </c>
      <c r="G47" s="18">
        <f t="shared" si="2"/>
        <v>7.759999804603286E-3</v>
      </c>
      <c r="H47" s="18">
        <f t="shared" si="1"/>
        <v>8.022000000000069E-3</v>
      </c>
      <c r="I47" s="19"/>
    </row>
    <row r="48" spans="1:9" x14ac:dyDescent="0.35">
      <c r="A48" s="13">
        <v>61</v>
      </c>
      <c r="B48" s="16"/>
      <c r="C48" s="17">
        <f>9184.9687</f>
        <v>9184.9686999999994</v>
      </c>
      <c r="D48" s="17">
        <f>9209.6568</f>
        <v>9209.6568000000007</v>
      </c>
      <c r="E48" s="17">
        <v>9212.7143323982127</v>
      </c>
      <c r="F48" s="18">
        <f t="shared" si="2"/>
        <v>6.4329996029273617E-3</v>
      </c>
      <c r="G48" s="18">
        <f t="shared" si="2"/>
        <v>8.6799989140056398E-3</v>
      </c>
      <c r="H48" s="18">
        <f t="shared" si="1"/>
        <v>9.0090000000001332E-3</v>
      </c>
      <c r="I48" s="19"/>
    </row>
    <row r="49" spans="1:9" x14ac:dyDescent="0.35">
      <c r="A49" s="13">
        <v>62</v>
      </c>
      <c r="B49" s="16"/>
      <c r="C49" s="17">
        <f>9097.7405</f>
        <v>9097.7404999999999</v>
      </c>
      <c r="D49" s="17">
        <f>9125.8818</f>
        <v>9125.8817999999992</v>
      </c>
      <c r="E49" s="17">
        <v>9129.716988977636</v>
      </c>
      <c r="F49" s="18">
        <f t="shared" si="2"/>
        <v>7.1640095691890941E-3</v>
      </c>
      <c r="G49" s="18">
        <f t="shared" si="2"/>
        <v>9.6959955381960353E-3</v>
      </c>
      <c r="H49" s="18">
        <f t="shared" si="1"/>
        <v>1.0111999999999927E-2</v>
      </c>
      <c r="I49" s="19"/>
    </row>
    <row r="50" spans="1:9" x14ac:dyDescent="0.35">
      <c r="A50" s="13">
        <v>63</v>
      </c>
      <c r="B50" s="16"/>
      <c r="C50" s="17">
        <f>9000.5884</f>
        <v>9000.5884000000005</v>
      </c>
      <c r="D50" s="17">
        <f>9032.5642</f>
        <v>9032.5642000000007</v>
      </c>
      <c r="E50" s="17">
        <v>9037.3972907850948</v>
      </c>
      <c r="F50" s="18">
        <f t="shared" si="2"/>
        <v>7.9740008997635017E-3</v>
      </c>
      <c r="G50" s="18">
        <f t="shared" si="2"/>
        <v>1.0814995821626389E-2</v>
      </c>
      <c r="H50" s="18">
        <f t="shared" si="1"/>
        <v>1.134400000000001E-2</v>
      </c>
      <c r="I50" s="19"/>
    </row>
    <row r="51" spans="1:9" x14ac:dyDescent="0.35">
      <c r="A51" s="13">
        <v>64</v>
      </c>
      <c r="B51" s="16"/>
      <c r="C51" s="17">
        <f>8892.5741</f>
        <v>8892.5740999999998</v>
      </c>
      <c r="D51" s="17">
        <f>8928.8177</f>
        <v>8928.8176999999996</v>
      </c>
      <c r="E51" s="17">
        <v>8934.8770559184286</v>
      </c>
      <c r="F51" s="18">
        <f t="shared" si="2"/>
        <v>8.8709972065344304E-3</v>
      </c>
      <c r="G51" s="18">
        <f t="shared" si="2"/>
        <v>1.2046000303559628E-2</v>
      </c>
      <c r="H51" s="18">
        <f t="shared" si="1"/>
        <v>1.271599999999987E-2</v>
      </c>
      <c r="I51" s="19"/>
    </row>
    <row r="52" spans="1:9" x14ac:dyDescent="0.35">
      <c r="A52" s="13">
        <v>65</v>
      </c>
      <c r="B52" s="16"/>
      <c r="C52" s="17">
        <f>8772.7359</f>
        <v>8772.7358999999997</v>
      </c>
      <c r="D52" s="17">
        <f>8813.6881</f>
        <v>8813.6880999999994</v>
      </c>
      <c r="E52" s="17">
        <v>8821.261159275371</v>
      </c>
      <c r="F52" s="18">
        <f t="shared" si="2"/>
        <v>9.864003771046995E-3</v>
      </c>
      <c r="G52" s="18">
        <f t="shared" si="2"/>
        <v>1.3395999730939915E-2</v>
      </c>
      <c r="H52" s="18">
        <f t="shared" si="1"/>
        <v>1.4243000000000096E-2</v>
      </c>
      <c r="I52" s="19"/>
    </row>
    <row r="53" spans="1:9" x14ac:dyDescent="0.35">
      <c r="A53" s="13">
        <v>66</v>
      </c>
      <c r="B53" s="16"/>
      <c r="C53" s="17">
        <f>8640.0481</f>
        <v>8640.0481</v>
      </c>
      <c r="D53" s="17">
        <f>8686.2016</f>
        <v>8686.2016000000003</v>
      </c>
      <c r="E53" s="17">
        <v>8695.6199365838111</v>
      </c>
      <c r="F53" s="18">
        <f t="shared" si="2"/>
        <v>1.0959996854647188E-2</v>
      </c>
      <c r="G53" s="18">
        <f t="shared" si="2"/>
        <v>1.4872996409078921E-2</v>
      </c>
      <c r="H53" s="18">
        <f t="shared" si="1"/>
        <v>1.5940000000000044E-2</v>
      </c>
      <c r="I53" s="19"/>
    </row>
    <row r="54" spans="1:9" x14ac:dyDescent="0.35">
      <c r="A54" s="13">
        <v>67</v>
      </c>
      <c r="B54" s="16"/>
      <c r="C54" s="17">
        <f>8493.5187</f>
        <v>8493.5187000000005</v>
      </c>
      <c r="D54" s="17">
        <f>8545.3532</f>
        <v>8545.3531999999996</v>
      </c>
      <c r="E54" s="17">
        <v>8557.0117547946647</v>
      </c>
      <c r="F54" s="18">
        <f t="shared" si="2"/>
        <v>1.2168996578532426E-2</v>
      </c>
      <c r="G54" s="18">
        <f t="shared" si="2"/>
        <v>1.6484002407623596E-2</v>
      </c>
      <c r="H54" s="18">
        <f t="shared" si="1"/>
        <v>1.7823999999999889E-2</v>
      </c>
      <c r="I54" s="19"/>
    </row>
    <row r="55" spans="1:9" x14ac:dyDescent="0.35">
      <c r="A55" s="13">
        <v>68</v>
      </c>
      <c r="B55" s="16"/>
      <c r="C55" s="17">
        <f>8332.1396</f>
        <v>8332.1396000000004</v>
      </c>
      <c r="D55" s="17">
        <f>8390.1611</f>
        <v>8390.1610999999994</v>
      </c>
      <c r="E55" s="17">
        <v>8404.4915772772056</v>
      </c>
      <c r="F55" s="18">
        <f t="shared" si="2"/>
        <v>1.3502006135375026E-2</v>
      </c>
      <c r="G55" s="18">
        <f t="shared" si="2"/>
        <v>1.823900181143295E-2</v>
      </c>
      <c r="H55" s="18">
        <f t="shared" si="1"/>
        <v>1.9912999999999938E-2</v>
      </c>
      <c r="I55" s="19"/>
    </row>
    <row r="56" spans="1:9" x14ac:dyDescent="0.35">
      <c r="A56" s="13">
        <v>69</v>
      </c>
      <c r="B56" s="16"/>
      <c r="C56" s="17">
        <f>8154.9318</f>
        <v>8154.9318000000003</v>
      </c>
      <c r="D56" s="17">
        <f>8219.639</f>
        <v>8219.6389999999992</v>
      </c>
      <c r="E56" s="17">
        <v>8237.1329364988851</v>
      </c>
      <c r="F56" s="18">
        <f t="shared" si="2"/>
        <v>1.4969003174250987E-2</v>
      </c>
      <c r="G56" s="18">
        <f t="shared" si="2"/>
        <v>2.0144994220273917E-2</v>
      </c>
      <c r="H56" s="18">
        <f t="shared" si="1"/>
        <v>2.2225999999999965E-2</v>
      </c>
      <c r="I56" s="19"/>
    </row>
    <row r="57" spans="1:9" x14ac:dyDescent="0.35">
      <c r="A57" s="13">
        <v>70</v>
      </c>
      <c r="B57" s="16"/>
      <c r="C57" s="17">
        <f>7960.9776</f>
        <v>7960.9776000000002</v>
      </c>
      <c r="D57" s="17">
        <f>8032.8606</f>
        <v>8032.8606</v>
      </c>
      <c r="E57" s="17">
        <v>8054.0544198522612</v>
      </c>
      <c r="F57" s="18">
        <f t="shared" si="2"/>
        <v>1.6582008722144881E-2</v>
      </c>
      <c r="G57" s="18">
        <f t="shared" si="2"/>
        <v>2.220999712542468E-2</v>
      </c>
      <c r="H57" s="18">
        <f t="shared" si="1"/>
        <v>2.4782999999999972E-2</v>
      </c>
      <c r="I57" s="19"/>
    </row>
    <row r="58" spans="1:9" x14ac:dyDescent="0.35">
      <c r="A58" s="13">
        <v>71</v>
      </c>
      <c r="B58" s="16"/>
      <c r="C58" s="17">
        <f>7749.4659</f>
        <v>7749.4659000000001</v>
      </c>
      <c r="D58" s="17">
        <f>7828.9686</f>
        <v>7828.9686000000002</v>
      </c>
      <c r="E58" s="17">
        <v>7854.4507891650628</v>
      </c>
      <c r="F58" s="18">
        <f t="shared" si="2"/>
        <v>1.8352993849550376E-2</v>
      </c>
      <c r="G58" s="18">
        <f t="shared" si="2"/>
        <v>2.4440994605678765E-2</v>
      </c>
      <c r="H58" s="18">
        <f t="shared" si="1"/>
        <v>2.7606000000000047E-2</v>
      </c>
      <c r="I58" s="19"/>
    </row>
    <row r="59" spans="1:9" x14ac:dyDescent="0.35">
      <c r="A59" s="13">
        <v>72</v>
      </c>
      <c r="B59" s="16"/>
      <c r="C59" s="17">
        <f>7519.7027</f>
        <v>7519.7026999999998</v>
      </c>
      <c r="D59" s="17">
        <f>7607.24</f>
        <v>7607.24</v>
      </c>
      <c r="E59" s="17">
        <v>7637.6208206793717</v>
      </c>
      <c r="F59" s="18">
        <f t="shared" si="2"/>
        <v>2.0296001861882077E-2</v>
      </c>
      <c r="G59" s="18">
        <f t="shared" si="2"/>
        <v>2.6847005706439796E-2</v>
      </c>
      <c r="H59" s="18">
        <f t="shared" si="1"/>
        <v>3.0718000000000006E-2</v>
      </c>
      <c r="I59" s="19"/>
    </row>
    <row r="60" spans="1:9" x14ac:dyDescent="0.35">
      <c r="A60" s="13">
        <v>73</v>
      </c>
      <c r="B60" s="16"/>
      <c r="C60" s="17">
        <f>7271.1461</f>
        <v>7271.1460999999999</v>
      </c>
      <c r="D60" s="17">
        <f>7367.0828</f>
        <v>7367.0828000000001</v>
      </c>
      <c r="E60" s="17">
        <v>7403.0083843097427</v>
      </c>
      <c r="F60" s="18">
        <f t="shared" si="2"/>
        <v>2.242299876218963E-2</v>
      </c>
      <c r="G60" s="18">
        <f t="shared" si="2"/>
        <v>2.9434002555818888E-2</v>
      </c>
      <c r="H60" s="18">
        <f t="shared" si="1"/>
        <v>3.4144000000000015E-2</v>
      </c>
      <c r="I60" s="19"/>
    </row>
    <row r="61" spans="1:9" x14ac:dyDescent="0.35">
      <c r="A61" s="13">
        <v>74</v>
      </c>
      <c r="B61" s="16"/>
      <c r="C61" s="17">
        <f>7003.5216</f>
        <v>7003.5216</v>
      </c>
      <c r="D61" s="17">
        <f>7108.1052</f>
        <v>7108.1052</v>
      </c>
      <c r="E61" s="17">
        <v>7150.2400660358708</v>
      </c>
      <c r="F61" s="18">
        <f t="shared" si="2"/>
        <v>2.4750005768526498E-2</v>
      </c>
      <c r="G61" s="18">
        <f t="shared" si="2"/>
        <v>3.2208004618110513E-2</v>
      </c>
      <c r="H61" s="18">
        <f t="shared" si="1"/>
        <v>3.7911000000000035E-2</v>
      </c>
      <c r="I61" s="19"/>
    </row>
    <row r="62" spans="1:9" x14ac:dyDescent="0.35">
      <c r="A62" s="13">
        <v>75</v>
      </c>
      <c r="B62" s="16"/>
      <c r="C62" s="17">
        <f>6716.8231</f>
        <v>6716.8230999999996</v>
      </c>
      <c r="D62" s="17">
        <f>6830.1844</f>
        <v>6830.1844000000001</v>
      </c>
      <c r="E62" s="17">
        <v>6879.1673148923846</v>
      </c>
      <c r="F62" s="18">
        <f t="shared" si="2"/>
        <v>2.7293007016963099E-2</v>
      </c>
      <c r="G62" s="18">
        <f t="shared" si="2"/>
        <v>3.5175998180895438E-2</v>
      </c>
      <c r="H62" s="18">
        <f t="shared" si="1"/>
        <v>4.2045999999999965E-2</v>
      </c>
      <c r="I62" s="19"/>
    </row>
    <row r="63" spans="1:9" x14ac:dyDescent="0.35">
      <c r="A63" s="13">
        <v>76</v>
      </c>
      <c r="B63" s="16"/>
      <c r="C63" s="17">
        <f>6411.3459</f>
        <v>6411.3459000000003</v>
      </c>
      <c r="D63" s="17">
        <f>6533.5008</f>
        <v>6533.5007999999998</v>
      </c>
      <c r="E63" s="17">
        <v>6589.9258459704197</v>
      </c>
      <c r="F63" s="18">
        <f t="shared" si="2"/>
        <v>3.0067009798987826E-2</v>
      </c>
      <c r="G63" s="18">
        <f t="shared" si="2"/>
        <v>3.83439947054404E-2</v>
      </c>
      <c r="H63" s="18">
        <f t="shared" si="1"/>
        <v>4.6578000000000043E-2</v>
      </c>
      <c r="I63" s="19"/>
    </row>
    <row r="64" spans="1:9" x14ac:dyDescent="0.35">
      <c r="A64" s="13">
        <v>77</v>
      </c>
      <c r="B64" s="16"/>
      <c r="C64" s="17">
        <f>6087.8084</f>
        <v>6087.8083999999999</v>
      </c>
      <c r="D64" s="17">
        <f>6218.5759</f>
        <v>6218.5758999999998</v>
      </c>
      <c r="E64" s="17">
        <v>6282.9802799168092</v>
      </c>
      <c r="F64" s="18">
        <f t="shared" si="2"/>
        <v>3.3090003292482073E-2</v>
      </c>
      <c r="G64" s="18">
        <f t="shared" si="2"/>
        <v>4.1714994223925599E-2</v>
      </c>
      <c r="H64" s="18">
        <f t="shared" si="1"/>
        <v>5.1537999999999966E-2</v>
      </c>
      <c r="I64" s="19"/>
    </row>
    <row r="65" spans="1:9" x14ac:dyDescent="0.35">
      <c r="A65" s="13">
        <v>78</v>
      </c>
      <c r="B65" s="16"/>
      <c r="C65" s="17">
        <f>5747.3624</f>
        <v>5747.3624</v>
      </c>
      <c r="D65" s="17">
        <f>5886.3628</f>
        <v>5886.3627999999999</v>
      </c>
      <c r="E65" s="17">
        <v>5959.1680422504569</v>
      </c>
      <c r="F65" s="18">
        <f t="shared" si="2"/>
        <v>3.6379000565546424E-2</v>
      </c>
      <c r="G65" s="18">
        <f t="shared" si="2"/>
        <v>4.5291998101775137E-2</v>
      </c>
      <c r="H65" s="18">
        <f t="shared" si="1"/>
        <v>5.6955999999999958E-2</v>
      </c>
      <c r="I65" s="19"/>
    </row>
    <row r="66" spans="1:9" x14ac:dyDescent="0.35">
      <c r="A66" s="13">
        <v>79</v>
      </c>
      <c r="B66" s="16"/>
      <c r="C66" s="17">
        <f>5391.64</f>
        <v>5391.64</v>
      </c>
      <c r="D66" s="17">
        <f>5538.2791</f>
        <v>5538.2790999999997</v>
      </c>
      <c r="E66" s="17">
        <v>5619.7576672360401</v>
      </c>
      <c r="F66" s="18">
        <f t="shared" si="2"/>
        <v>3.99540028636928E-2</v>
      </c>
      <c r="G66" s="18">
        <f t="shared" si="2"/>
        <v>4.9079999964264688E-2</v>
      </c>
      <c r="H66" s="18">
        <f t="shared" si="1"/>
        <v>6.2867000000000006E-2</v>
      </c>
      <c r="I66" s="19"/>
    </row>
    <row r="67" spans="1:9" x14ac:dyDescent="0.35">
      <c r="A67" s="13">
        <v>80</v>
      </c>
      <c r="B67" s="16"/>
      <c r="C67" s="17">
        <f>5022.7931</f>
        <v>5022.7930999999999</v>
      </c>
      <c r="D67" s="17">
        <f>5176.2224</f>
        <v>5176.2223999999997</v>
      </c>
      <c r="E67" s="17">
        <v>5266.4603619699119</v>
      </c>
      <c r="F67" s="18">
        <f t="shared" si="2"/>
        <v>4.3833002000420833E-2</v>
      </c>
      <c r="G67" s="18">
        <f t="shared" si="2"/>
        <v>5.3078001535577117E-2</v>
      </c>
      <c r="H67" s="18">
        <f t="shared" si="1"/>
        <v>6.9303000000000017E-2</v>
      </c>
      <c r="I67" s="19"/>
    </row>
    <row r="68" spans="1:9" x14ac:dyDescent="0.35">
      <c r="A68" s="13">
        <v>81</v>
      </c>
      <c r="B68" s="16"/>
      <c r="C68" s="17">
        <f>4643.5129</f>
        <v>4643.5128999999997</v>
      </c>
      <c r="D68" s="17">
        <f>4802.629</f>
        <v>4802.6289999999999</v>
      </c>
      <c r="E68" s="17">
        <v>4901.478859504311</v>
      </c>
      <c r="F68" s="18">
        <f t="shared" ref="F68:G78" si="3">(C68-D69)/C68</f>
        <v>4.8036993716545809E-2</v>
      </c>
      <c r="G68" s="18">
        <f t="shared" si="3"/>
        <v>5.7287993196198969E-2</v>
      </c>
      <c r="H68" s="18">
        <f t="shared" ref="H68:H106" si="4">(E68-E69)/E68</f>
        <v>7.6300000000000007E-2</v>
      </c>
      <c r="I68" s="19"/>
    </row>
    <row r="69" spans="1:9" x14ac:dyDescent="0.35">
      <c r="A69" s="13">
        <v>82</v>
      </c>
      <c r="B69" s="16"/>
      <c r="C69" s="17">
        <f>4257.0056</f>
        <v>4257.0056000000004</v>
      </c>
      <c r="D69" s="17">
        <f>4420.4525</f>
        <v>4420.4525000000003</v>
      </c>
      <c r="E69" s="17">
        <v>4527.4960225241321</v>
      </c>
      <c r="F69" s="18">
        <f t="shared" si="3"/>
        <v>5.2586000826496587E-2</v>
      </c>
      <c r="G69" s="18">
        <f t="shared" si="3"/>
        <v>6.1708999540993965E-2</v>
      </c>
      <c r="H69" s="18">
        <f t="shared" si="4"/>
        <v>8.3893000000000079E-2</v>
      </c>
      <c r="I69" s="19"/>
    </row>
    <row r="70" spans="1:9" x14ac:dyDescent="0.35">
      <c r="A70" s="13">
        <v>83</v>
      </c>
      <c r="B70" s="16"/>
      <c r="C70" s="17">
        <f>3866.9884</f>
        <v>3866.9884000000002</v>
      </c>
      <c r="D70" s="17">
        <f>4033.1467</f>
        <v>4033.1466999999998</v>
      </c>
      <c r="E70" s="17">
        <v>4147.6707987065147</v>
      </c>
      <c r="F70" s="18">
        <f t="shared" si="3"/>
        <v>5.7501000002999764E-2</v>
      </c>
      <c r="G70" s="18">
        <f t="shared" si="3"/>
        <v>6.6337009823603243E-2</v>
      </c>
      <c r="H70" s="18">
        <f t="shared" si="4"/>
        <v>9.2116999999999977E-2</v>
      </c>
      <c r="I70" s="19"/>
    </row>
    <row r="71" spans="1:9" x14ac:dyDescent="0.35">
      <c r="A71" s="13">
        <v>84</v>
      </c>
      <c r="B71" s="16"/>
      <c r="C71" s="17">
        <f>3477.5929</f>
        <v>3477.5929000000001</v>
      </c>
      <c r="D71" s="17">
        <f>3644.6327</f>
        <v>3644.6327000000001</v>
      </c>
      <c r="E71" s="17">
        <v>3765.5998077420668</v>
      </c>
      <c r="F71" s="18">
        <f t="shared" si="3"/>
        <v>6.2803987206208056E-2</v>
      </c>
      <c r="G71" s="18">
        <f t="shared" si="3"/>
        <v>7.116899105869734E-2</v>
      </c>
      <c r="H71" s="18">
        <f t="shared" si="4"/>
        <v>0.10100699999999992</v>
      </c>
      <c r="I71" s="19"/>
    </row>
    <row r="72" spans="1:9" x14ac:dyDescent="0.35">
      <c r="A72" s="13">
        <v>85</v>
      </c>
      <c r="B72" s="16"/>
      <c r="C72" s="17">
        <f>3093.2863</f>
        <v>3093.2863000000002</v>
      </c>
      <c r="D72" s="17">
        <f>3259.1862</f>
        <v>3259.1862000000001</v>
      </c>
      <c r="E72" s="17">
        <v>3385.2478679614642</v>
      </c>
      <c r="F72" s="18">
        <f t="shared" si="3"/>
        <v>6.8515998664591807E-2</v>
      </c>
      <c r="G72" s="18">
        <f t="shared" si="3"/>
        <v>7.6199005210280432E-2</v>
      </c>
      <c r="H72" s="18">
        <f t="shared" si="4"/>
        <v>0.11060000000000006</v>
      </c>
      <c r="I72" s="19"/>
    </row>
    <row r="73" spans="1:9" x14ac:dyDescent="0.35">
      <c r="A73" s="13">
        <v>86</v>
      </c>
      <c r="B73" s="16"/>
      <c r="C73" s="17">
        <f>2718.7128</f>
        <v>2718.7127999999998</v>
      </c>
      <c r="D73" s="17">
        <f>2881.3467</f>
        <v>2881.3467000000001</v>
      </c>
      <c r="E73" s="17">
        <v>3010.839453764926</v>
      </c>
      <c r="F73" s="18">
        <f t="shared" si="3"/>
        <v>7.4660993982151994E-2</v>
      </c>
      <c r="G73" s="18">
        <f t="shared" si="3"/>
        <v>8.1422013719977815E-2</v>
      </c>
      <c r="H73" s="18">
        <f t="shared" si="4"/>
        <v>0.12092900000000001</v>
      </c>
      <c r="I73" s="19"/>
    </row>
    <row r="74" spans="1:9" x14ac:dyDescent="0.35">
      <c r="A74" s="13">
        <v>87</v>
      </c>
      <c r="B74" s="16"/>
      <c r="C74" s="17">
        <f>2358.5299</f>
        <v>2358.5299</v>
      </c>
      <c r="D74" s="17">
        <f>2515.731</f>
        <v>2515.7310000000002</v>
      </c>
      <c r="E74" s="17">
        <v>2646.7416494605873</v>
      </c>
      <c r="F74" s="18">
        <f t="shared" si="3"/>
        <v>8.125799041173902E-2</v>
      </c>
      <c r="G74" s="18">
        <f t="shared" si="3"/>
        <v>8.6826992645237341E-2</v>
      </c>
      <c r="H74" s="18">
        <f t="shared" si="4"/>
        <v>0.13202800000000009</v>
      </c>
      <c r="I74" s="19"/>
    </row>
    <row r="75" spans="1:9" x14ac:dyDescent="0.35">
      <c r="A75" s="13">
        <v>88</v>
      </c>
      <c r="B75" s="16"/>
      <c r="C75" s="17">
        <f>2017.2298</f>
        <v>2017.2298000000001</v>
      </c>
      <c r="D75" s="17">
        <f>2166.8805</f>
        <v>2166.8805000000002</v>
      </c>
      <c r="E75" s="17">
        <v>2297.2976429656046</v>
      </c>
      <c r="F75" s="18">
        <f t="shared" si="3"/>
        <v>8.8331036949781311E-2</v>
      </c>
      <c r="G75" s="18">
        <f t="shared" si="3"/>
        <v>9.2405007792904115E-2</v>
      </c>
      <c r="H75" s="18">
        <f t="shared" si="4"/>
        <v>0.14392899999999995</v>
      </c>
      <c r="I75" s="19"/>
    </row>
    <row r="76" spans="1:9" x14ac:dyDescent="0.35">
      <c r="A76" s="13">
        <v>89</v>
      </c>
      <c r="B76" s="16"/>
      <c r="C76" s="17">
        <f>1698.9089</f>
        <v>1698.9088999999999</v>
      </c>
      <c r="D76" s="17">
        <f>1839.0458</f>
        <v>1839.0458000000001</v>
      </c>
      <c r="E76" s="17">
        <v>1966.6498905112082</v>
      </c>
      <c r="F76" s="18">
        <f t="shared" si="3"/>
        <v>9.5902022762962696E-2</v>
      </c>
      <c r="G76" s="18">
        <f t="shared" si="3"/>
        <v>9.8143983872657103E-2</v>
      </c>
      <c r="H76" s="18">
        <f t="shared" si="4"/>
        <v>0.15666000000000002</v>
      </c>
      <c r="I76" s="19"/>
    </row>
    <row r="77" spans="1:9" x14ac:dyDescent="0.35">
      <c r="A77" s="13">
        <v>90</v>
      </c>
      <c r="B77" s="16"/>
      <c r="C77" s="17">
        <f>1407.055</f>
        <v>1407.0550000000001</v>
      </c>
      <c r="D77" s="17">
        <f>1535.9801</f>
        <v>1535.9801</v>
      </c>
      <c r="E77" s="17">
        <v>1658.5545186637223</v>
      </c>
      <c r="F77" s="18">
        <f t="shared" si="3"/>
        <v>0.10398996485567374</v>
      </c>
      <c r="G77" s="18">
        <f t="shared" si="3"/>
        <v>0.10403097831490159</v>
      </c>
      <c r="H77" s="18">
        <f t="shared" si="4"/>
        <v>0.17024699999999998</v>
      </c>
      <c r="I77" s="19"/>
    </row>
    <row r="78" spans="1:9" x14ac:dyDescent="0.35">
      <c r="A78" s="13">
        <v>91</v>
      </c>
      <c r="B78" s="16"/>
      <c r="C78" s="17"/>
      <c r="D78" s="17">
        <f>1260.7354</f>
        <v>1260.7354</v>
      </c>
      <c r="E78" s="17">
        <v>1376.1905875247796</v>
      </c>
      <c r="F78" s="18"/>
      <c r="G78" s="18">
        <f t="shared" si="3"/>
        <v>0.11005202254118707</v>
      </c>
      <c r="H78" s="18">
        <f t="shared" si="4"/>
        <v>0.18471399999999996</v>
      </c>
      <c r="I78" s="19"/>
    </row>
    <row r="79" spans="1:9" x14ac:dyDescent="0.35">
      <c r="A79" s="13">
        <v>92</v>
      </c>
      <c r="B79" s="16"/>
      <c r="C79" s="17"/>
      <c r="D79" s="17"/>
      <c r="E79" s="17">
        <v>1121.9889193407275</v>
      </c>
      <c r="F79" s="18"/>
      <c r="G79" s="18"/>
      <c r="H79" s="18">
        <f t="shared" si="4"/>
        <v>0.20007900000000001</v>
      </c>
      <c r="I79" s="19"/>
    </row>
    <row r="80" spans="1:9" x14ac:dyDescent="0.35">
      <c r="A80" s="13">
        <v>93</v>
      </c>
      <c r="B80" s="16"/>
      <c r="C80" s="17"/>
      <c r="D80" s="17"/>
      <c r="E80" s="17">
        <v>897.50249834795409</v>
      </c>
      <c r="F80" s="18"/>
      <c r="G80" s="18"/>
      <c r="H80" s="18">
        <f t="shared" si="4"/>
        <v>0.21635399999999999</v>
      </c>
      <c r="I80" s="19"/>
    </row>
    <row r="81" spans="1:9" x14ac:dyDescent="0.35">
      <c r="A81" s="13">
        <v>94</v>
      </c>
      <c r="B81" s="16"/>
      <c r="C81" s="17"/>
      <c r="D81" s="17"/>
      <c r="E81" s="17">
        <v>703.32424282038085</v>
      </c>
      <c r="F81" s="18"/>
      <c r="G81" s="18"/>
      <c r="H81" s="18">
        <f t="shared" si="4"/>
        <v>0.23354800000000003</v>
      </c>
      <c r="I81" s="19"/>
    </row>
    <row r="82" spans="1:9" x14ac:dyDescent="0.35">
      <c r="A82" s="13">
        <v>95</v>
      </c>
      <c r="B82" s="16"/>
      <c r="C82" s="17"/>
      <c r="D82" s="17"/>
      <c r="E82" s="17">
        <v>539.06427255816652</v>
      </c>
      <c r="F82" s="18"/>
      <c r="G82" s="18"/>
      <c r="H82" s="18">
        <f t="shared" si="4"/>
        <v>0.25166200000000005</v>
      </c>
      <c r="I82" s="19"/>
    </row>
    <row r="83" spans="1:9" x14ac:dyDescent="0.35">
      <c r="A83" s="13">
        <v>96</v>
      </c>
      <c r="B83" s="16"/>
      <c r="C83" s="17"/>
      <c r="D83" s="17"/>
      <c r="E83" s="17">
        <v>403.4022795976332</v>
      </c>
      <c r="F83" s="18"/>
      <c r="G83" s="18"/>
      <c r="H83" s="18">
        <f t="shared" si="4"/>
        <v>0.27068800000000004</v>
      </c>
      <c r="I83" s="19"/>
    </row>
    <row r="84" spans="1:9" x14ac:dyDescent="0.35">
      <c r="A84" s="13">
        <v>97</v>
      </c>
      <c r="B84" s="16"/>
      <c r="C84" s="17"/>
      <c r="D84" s="17"/>
      <c r="E84" s="17">
        <v>294.20612333790905</v>
      </c>
      <c r="F84" s="18"/>
      <c r="G84" s="18"/>
      <c r="H84" s="18">
        <f t="shared" si="4"/>
        <v>0.29061299999999995</v>
      </c>
      <c r="I84" s="19"/>
    </row>
    <row r="85" spans="1:9" x14ac:dyDescent="0.35">
      <c r="A85" s="13">
        <v>98</v>
      </c>
      <c r="B85" s="16"/>
      <c r="C85" s="17"/>
      <c r="D85" s="17"/>
      <c r="E85" s="17">
        <v>208.70599921630929</v>
      </c>
      <c r="F85" s="18"/>
      <c r="G85" s="18"/>
      <c r="H85" s="18">
        <f t="shared" si="4"/>
        <v>0.31141400000000008</v>
      </c>
      <c r="I85" s="19"/>
    </row>
    <row r="86" spans="1:9" x14ac:dyDescent="0.35">
      <c r="A86" s="13">
        <v>99</v>
      </c>
      <c r="B86" s="16"/>
      <c r="C86" s="17"/>
      <c r="D86" s="17"/>
      <c r="E86" s="17">
        <v>143.71202917636154</v>
      </c>
      <c r="F86" s="18"/>
      <c r="G86" s="18"/>
      <c r="H86" s="18">
        <f t="shared" si="4"/>
        <v>0.33305800000000008</v>
      </c>
      <c r="I86" s="19"/>
    </row>
    <row r="87" spans="1:9" x14ac:dyDescent="0.35">
      <c r="A87" s="13">
        <v>100</v>
      </c>
      <c r="B87" s="16"/>
      <c r="C87" s="17"/>
      <c r="D87" s="17"/>
      <c r="E87" s="17">
        <v>95.847588162940909</v>
      </c>
      <c r="F87" s="18"/>
      <c r="G87" s="18"/>
      <c r="H87" s="18">
        <f t="shared" si="4"/>
        <v>0.35550499999999996</v>
      </c>
      <c r="I87" s="19"/>
    </row>
    <row r="88" spans="1:9" x14ac:dyDescent="0.35">
      <c r="A88" s="13">
        <v>101</v>
      </c>
      <c r="B88" s="16"/>
      <c r="C88" s="17"/>
      <c r="D88" s="17"/>
      <c r="E88" s="17">
        <v>61.773291333074603</v>
      </c>
      <c r="F88" s="18"/>
      <c r="G88" s="18"/>
      <c r="H88" s="18">
        <f t="shared" si="4"/>
        <v>0.37870200000000004</v>
      </c>
      <c r="I88" s="19"/>
    </row>
    <row r="89" spans="1:9" x14ac:dyDescent="0.35">
      <c r="A89" s="13">
        <v>102</v>
      </c>
      <c r="B89" s="16"/>
      <c r="C89" s="17"/>
      <c r="D89" s="17"/>
      <c r="E89" s="17">
        <v>38.379622358656583</v>
      </c>
      <c r="F89" s="18"/>
      <c r="G89" s="18"/>
      <c r="H89" s="18">
        <f t="shared" si="4"/>
        <v>0.40258799999999989</v>
      </c>
      <c r="I89" s="19"/>
    </row>
    <row r="90" spans="1:9" x14ac:dyDescent="0.35">
      <c r="A90" s="13">
        <v>103</v>
      </c>
      <c r="B90" s="16"/>
      <c r="C90" s="17"/>
      <c r="D90" s="17"/>
      <c r="E90" s="17">
        <v>22.92844695252975</v>
      </c>
      <c r="F90" s="18"/>
      <c r="G90" s="18"/>
      <c r="H90" s="18">
        <f t="shared" si="4"/>
        <v>0.42708999999999997</v>
      </c>
      <c r="I90" s="19"/>
    </row>
    <row r="91" spans="1:9" x14ac:dyDescent="0.35">
      <c r="A91" s="13">
        <v>104</v>
      </c>
      <c r="B91" s="16"/>
      <c r="C91" s="17"/>
      <c r="D91" s="17"/>
      <c r="E91" s="17">
        <v>13.13593654357382</v>
      </c>
      <c r="F91" s="18"/>
      <c r="G91" s="18"/>
      <c r="H91" s="18">
        <f t="shared" si="4"/>
        <v>0.45212699999999995</v>
      </c>
      <c r="I91" s="19"/>
    </row>
    <row r="92" spans="1:9" x14ac:dyDescent="0.35">
      <c r="A92" s="13">
        <v>105</v>
      </c>
      <c r="B92" s="16"/>
      <c r="C92" s="17"/>
      <c r="D92" s="17"/>
      <c r="E92" s="17">
        <v>7.1968249619374198</v>
      </c>
      <c r="F92" s="18"/>
      <c r="G92" s="18"/>
      <c r="H92" s="18">
        <f t="shared" si="4"/>
        <v>0.47760800000000003</v>
      </c>
      <c r="I92" s="19"/>
    </row>
    <row r="93" spans="1:9" x14ac:dyDescent="0.35">
      <c r="A93" s="13">
        <v>106</v>
      </c>
      <c r="B93" s="16"/>
      <c r="C93" s="17"/>
      <c r="D93" s="17"/>
      <c r="E93" s="17">
        <v>3.7595637855164123</v>
      </c>
      <c r="F93" s="18"/>
      <c r="G93" s="18"/>
      <c r="H93" s="18">
        <f t="shared" si="4"/>
        <v>0.50343199999999999</v>
      </c>
      <c r="I93" s="19"/>
    </row>
    <row r="94" spans="1:9" x14ac:dyDescent="0.35">
      <c r="A94" s="13">
        <v>107</v>
      </c>
      <c r="B94" s="16"/>
      <c r="C94" s="17"/>
      <c r="D94" s="17"/>
      <c r="E94" s="17">
        <v>1.8668790698463138</v>
      </c>
      <c r="F94" s="18"/>
      <c r="G94" s="18"/>
      <c r="H94" s="18">
        <f t="shared" si="4"/>
        <v>0.52949299999999999</v>
      </c>
      <c r="I94" s="19"/>
    </row>
    <row r="95" spans="1:9" x14ac:dyDescent="0.35">
      <c r="A95" s="13">
        <v>108</v>
      </c>
      <c r="B95" s="16"/>
      <c r="C95" s="17"/>
      <c r="D95" s="17"/>
      <c r="E95" s="17">
        <v>0.8783796705161796</v>
      </c>
      <c r="F95" s="18"/>
      <c r="G95" s="18"/>
      <c r="H95" s="18">
        <f t="shared" si="4"/>
        <v>0.555674</v>
      </c>
      <c r="I95" s="19"/>
    </row>
    <row r="96" spans="1:9" x14ac:dyDescent="0.35">
      <c r="A96" s="13">
        <v>109</v>
      </c>
      <c r="B96" s="16"/>
      <c r="C96" s="17"/>
      <c r="D96" s="17"/>
      <c r="E96" s="17">
        <v>0.39028692548177202</v>
      </c>
      <c r="F96" s="18"/>
      <c r="G96" s="18"/>
      <c r="H96" s="18">
        <f t="shared" si="4"/>
        <v>0.58185699999999996</v>
      </c>
      <c r="I96" s="19"/>
    </row>
    <row r="97" spans="1:9" x14ac:dyDescent="0.35">
      <c r="A97" s="13">
        <v>110</v>
      </c>
      <c r="B97" s="16"/>
      <c r="C97" s="17"/>
      <c r="D97" s="17"/>
      <c r="E97" s="17">
        <v>0.16319574588172461</v>
      </c>
      <c r="F97" s="18"/>
      <c r="G97" s="18"/>
      <c r="H97" s="18">
        <f t="shared" si="4"/>
        <v>0.60791799999999996</v>
      </c>
      <c r="I97" s="19"/>
    </row>
    <row r="98" spans="1:9" x14ac:dyDescent="0.35">
      <c r="A98" s="13">
        <v>111</v>
      </c>
      <c r="B98" s="16"/>
      <c r="C98" s="17"/>
      <c r="D98" s="17"/>
      <c r="E98" s="17">
        <v>6.3986114436798358E-2</v>
      </c>
      <c r="F98" s="18"/>
      <c r="G98" s="18"/>
      <c r="H98" s="18">
        <f t="shared" si="4"/>
        <v>0.63373100000000004</v>
      </c>
      <c r="I98" s="19"/>
    </row>
    <row r="99" spans="1:9" x14ac:dyDescent="0.35">
      <c r="A99" s="13">
        <v>112</v>
      </c>
      <c r="B99" s="16"/>
      <c r="C99" s="17"/>
      <c r="D99" s="17"/>
      <c r="E99" s="17">
        <v>2.3436130148651695E-2</v>
      </c>
      <c r="F99" s="18"/>
      <c r="G99" s="18"/>
      <c r="H99" s="18">
        <f t="shared" si="4"/>
        <v>0.65917099999999995</v>
      </c>
      <c r="I99" s="19"/>
    </row>
    <row r="100" spans="1:9" x14ac:dyDescent="0.35">
      <c r="A100" s="13">
        <v>113</v>
      </c>
      <c r="B100" s="16"/>
      <c r="C100" s="17"/>
      <c r="D100" s="17"/>
      <c r="E100" s="17">
        <v>7.9877128024348088E-3</v>
      </c>
      <c r="F100" s="18"/>
      <c r="G100" s="18"/>
      <c r="H100" s="18">
        <f t="shared" si="4"/>
        <v>0.684114</v>
      </c>
      <c r="I100" s="19"/>
    </row>
    <row r="101" spans="1:9" x14ac:dyDescent="0.35">
      <c r="A101" s="13">
        <v>114</v>
      </c>
      <c r="B101" s="16"/>
      <c r="C101" s="17"/>
      <c r="D101" s="17"/>
      <c r="E101" s="17">
        <v>2.5232066463099219E-3</v>
      </c>
      <c r="F101" s="18"/>
      <c r="G101" s="18"/>
      <c r="H101" s="18">
        <f t="shared" si="4"/>
        <v>0.70844200000000002</v>
      </c>
      <c r="I101" s="19"/>
    </row>
    <row r="102" spans="1:9" x14ac:dyDescent="0.35">
      <c r="A102" s="13">
        <v>115</v>
      </c>
      <c r="B102" s="16"/>
      <c r="C102" s="17"/>
      <c r="D102" s="17"/>
      <c r="E102" s="17">
        <v>7.3566108338482821E-4</v>
      </c>
      <c r="F102" s="18"/>
      <c r="G102" s="18"/>
      <c r="H102" s="18">
        <f t="shared" si="4"/>
        <v>0.73204199999999997</v>
      </c>
      <c r="I102" s="19"/>
    </row>
    <row r="103" spans="1:9" x14ac:dyDescent="0.35">
      <c r="A103" s="13">
        <v>116</v>
      </c>
      <c r="B103" s="16"/>
      <c r="C103" s="17"/>
      <c r="D103" s="17"/>
      <c r="E103" s="17">
        <v>1.9712627258163182E-4</v>
      </c>
      <c r="F103" s="18"/>
      <c r="G103" s="18"/>
      <c r="H103" s="18">
        <f t="shared" si="4"/>
        <v>0.75480899999999995</v>
      </c>
      <c r="I103" s="19"/>
    </row>
    <row r="104" spans="1:9" x14ac:dyDescent="0.35">
      <c r="A104" s="13">
        <v>117</v>
      </c>
      <c r="B104" s="16"/>
      <c r="C104" s="17"/>
      <c r="D104" s="17"/>
      <c r="E104" s="17">
        <v>4.8333587900562901E-5</v>
      </c>
      <c r="F104" s="18"/>
      <c r="G104" s="18"/>
      <c r="H104" s="18">
        <f t="shared" si="4"/>
        <v>0.77664800000000001</v>
      </c>
      <c r="I104" s="19"/>
    </row>
    <row r="105" spans="1:9" x14ac:dyDescent="0.35">
      <c r="A105" s="13">
        <v>118</v>
      </c>
      <c r="B105" s="16"/>
      <c r="C105" s="17"/>
      <c r="D105" s="17"/>
      <c r="E105" s="17">
        <v>1.0795403524766525E-5</v>
      </c>
      <c r="F105" s="18"/>
      <c r="G105" s="18"/>
      <c r="H105" s="18">
        <f t="shared" si="4"/>
        <v>0.79747699999999999</v>
      </c>
      <c r="I105" s="19"/>
    </row>
    <row r="106" spans="1:9" x14ac:dyDescent="0.35">
      <c r="A106" s="13">
        <v>119</v>
      </c>
      <c r="B106" s="16"/>
      <c r="C106" s="17"/>
      <c r="D106" s="17"/>
      <c r="E106" s="17">
        <v>2.1863175080462909E-6</v>
      </c>
      <c r="F106" s="18"/>
      <c r="G106" s="18"/>
      <c r="H106" s="18">
        <f t="shared" si="4"/>
        <v>0.81722500000000009</v>
      </c>
      <c r="I106" s="19"/>
    </row>
    <row r="107" spans="1:9" x14ac:dyDescent="0.35">
      <c r="A107" s="13">
        <v>120</v>
      </c>
      <c r="B107" s="16"/>
      <c r="C107" s="17"/>
      <c r="D107" s="17"/>
      <c r="E107" s="17">
        <v>3.9960418253316085E-7</v>
      </c>
      <c r="F107" s="18"/>
      <c r="G107" s="18"/>
      <c r="H107" s="18">
        <f>(E107-[1]Inputs!F130)/E107</f>
        <v>1</v>
      </c>
      <c r="I10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showGridLines="0" workbookViewId="0">
      <selection activeCell="F6" sqref="F6"/>
    </sheetView>
  </sheetViews>
  <sheetFormatPr defaultColWidth="11.7265625" defaultRowHeight="14.5" x14ac:dyDescent="0.35"/>
  <cols>
    <col min="1" max="16384" width="11.7265625" style="12"/>
  </cols>
  <sheetData>
    <row r="1" spans="1:8" s="10" customFormat="1" ht="21" x14ac:dyDescent="0.5">
      <c r="A1" s="9" t="s">
        <v>10</v>
      </c>
    </row>
    <row r="3" spans="1:8" x14ac:dyDescent="0.35">
      <c r="H3" s="20"/>
    </row>
    <row r="4" spans="1:8" x14ac:dyDescent="0.35">
      <c r="A4" s="21" t="s">
        <v>11</v>
      </c>
      <c r="B4" s="22"/>
      <c r="C4" s="23"/>
      <c r="D4" s="51">
        <v>0.4</v>
      </c>
      <c r="E4" s="12" t="s">
        <v>12</v>
      </c>
      <c r="H4" s="24"/>
    </row>
    <row r="5" spans="1:8" x14ac:dyDescent="0.35">
      <c r="A5" s="21" t="s">
        <v>13</v>
      </c>
      <c r="B5" s="22"/>
      <c r="C5" s="23"/>
      <c r="D5" s="51">
        <v>0.06</v>
      </c>
      <c r="E5" s="12" t="s">
        <v>14</v>
      </c>
    </row>
    <row r="6" spans="1:8" x14ac:dyDescent="0.35">
      <c r="A6" s="21" t="s">
        <v>15</v>
      </c>
      <c r="B6" s="22"/>
      <c r="C6" s="23"/>
      <c r="D6" s="52">
        <v>65000</v>
      </c>
      <c r="E6" s="12" t="s">
        <v>16</v>
      </c>
    </row>
    <row r="7" spans="1:8" x14ac:dyDescent="0.35">
      <c r="A7" s="25" t="s">
        <v>17</v>
      </c>
      <c r="B7" s="26"/>
      <c r="C7" s="27"/>
      <c r="D7" s="52">
        <v>2350</v>
      </c>
      <c r="E7" s="12" t="s">
        <v>18</v>
      </c>
    </row>
    <row r="8" spans="1:8" x14ac:dyDescent="0.35">
      <c r="B8" s="28"/>
      <c r="C8" s="29"/>
    </row>
    <row r="9" spans="1:8" x14ac:dyDescent="0.35">
      <c r="D9" s="30" t="s">
        <v>19</v>
      </c>
      <c r="E9" s="23"/>
      <c r="F9" s="30" t="s">
        <v>20</v>
      </c>
      <c r="G9" s="31"/>
    </row>
    <row r="10" spans="1:8" x14ac:dyDescent="0.35">
      <c r="A10" s="21" t="s">
        <v>21</v>
      </c>
      <c r="B10" s="22"/>
      <c r="C10" s="31"/>
      <c r="D10" s="51">
        <v>0.04</v>
      </c>
      <c r="E10" s="12" t="s">
        <v>22</v>
      </c>
      <c r="F10" s="51">
        <v>4.4999999999999998E-2</v>
      </c>
      <c r="G10" s="12" t="s">
        <v>23</v>
      </c>
    </row>
    <row r="11" spans="1:8" x14ac:dyDescent="0.35">
      <c r="A11" s="21" t="s">
        <v>24</v>
      </c>
      <c r="B11" s="22"/>
      <c r="C11" s="31"/>
      <c r="D11" s="51">
        <v>0.02</v>
      </c>
      <c r="E11" s="12" t="s">
        <v>25</v>
      </c>
      <c r="F11" s="51">
        <v>2.5000000000000001E-2</v>
      </c>
      <c r="G11" s="12" t="s">
        <v>26</v>
      </c>
    </row>
    <row r="12" spans="1:8" x14ac:dyDescent="0.35">
      <c r="A12" s="21" t="s">
        <v>27</v>
      </c>
      <c r="B12" s="22"/>
      <c r="C12" s="31"/>
      <c r="D12" s="52">
        <v>2000</v>
      </c>
      <c r="E12" s="12" t="s">
        <v>28</v>
      </c>
      <c r="F12" s="52">
        <v>2000</v>
      </c>
      <c r="G12" s="12" t="s">
        <v>29</v>
      </c>
    </row>
    <row r="13" spans="1:8" x14ac:dyDescent="0.35">
      <c r="A13" s="21" t="s">
        <v>30</v>
      </c>
      <c r="B13" s="22"/>
      <c r="C13" s="32"/>
      <c r="D13" s="53">
        <v>70</v>
      </c>
      <c r="E13" s="12" t="s">
        <v>31</v>
      </c>
      <c r="F13" s="53">
        <v>70</v>
      </c>
      <c r="G13" s="29" t="s">
        <v>32</v>
      </c>
    </row>
    <row r="14" spans="1:8" x14ac:dyDescent="0.35">
      <c r="A14" s="21" t="s">
        <v>33</v>
      </c>
      <c r="B14" s="22"/>
      <c r="C14" s="32"/>
      <c r="D14" s="51">
        <v>4.4999999999999998E-2</v>
      </c>
      <c r="E14" s="57" t="s">
        <v>34</v>
      </c>
      <c r="F14" s="51">
        <v>2.5000000000000001E-2</v>
      </c>
      <c r="G14" s="29" t="s">
        <v>35</v>
      </c>
    </row>
    <row r="15" spans="1:8" x14ac:dyDescent="0.35">
      <c r="A15" s="21" t="s">
        <v>36</v>
      </c>
      <c r="B15" s="22"/>
      <c r="C15" s="31"/>
      <c r="D15" s="51">
        <v>1.1000000000000001</v>
      </c>
      <c r="E15" s="57" t="s">
        <v>65</v>
      </c>
      <c r="F15" s="51">
        <v>0.8</v>
      </c>
      <c r="G15" s="12" t="s">
        <v>37</v>
      </c>
    </row>
    <row r="16" spans="1:8" x14ac:dyDescent="0.35">
      <c r="B16" s="29"/>
      <c r="F16" s="29"/>
    </row>
    <row r="17" spans="2:7" x14ac:dyDescent="0.35">
      <c r="B17" s="29"/>
      <c r="F17" s="29"/>
      <c r="G17" s="29"/>
    </row>
    <row r="19" spans="2:7" x14ac:dyDescent="0.35">
      <c r="B19" s="29"/>
      <c r="F19" s="29"/>
      <c r="G19" s="33"/>
    </row>
    <row r="20" spans="2:7" x14ac:dyDescent="0.35">
      <c r="B20" s="34"/>
      <c r="F20" s="34"/>
      <c r="G20" s="28"/>
    </row>
    <row r="21" spans="2:7" x14ac:dyDescent="0.35">
      <c r="D21" s="28"/>
    </row>
    <row r="22" spans="2:7" x14ac:dyDescent="0.35">
      <c r="F22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showGridLines="0" workbookViewId="0">
      <pane ySplit="4" topLeftCell="A5" activePane="bottomLeft" state="frozen"/>
      <selection pane="bottomLeft" activeCell="H6" sqref="H6"/>
    </sheetView>
  </sheetViews>
  <sheetFormatPr defaultColWidth="11.7265625" defaultRowHeight="14.5" x14ac:dyDescent="0.35"/>
  <cols>
    <col min="1" max="4" width="11.7265625" style="12"/>
    <col min="5" max="5" width="11.7265625" style="12" customWidth="1"/>
    <col min="6" max="6" width="1.453125" style="12" customWidth="1"/>
    <col min="7" max="16384" width="11.7265625" style="12"/>
  </cols>
  <sheetData>
    <row r="1" spans="1:16" s="10" customFormat="1" ht="21" x14ac:dyDescent="0.5">
      <c r="A1" s="9" t="s">
        <v>38</v>
      </c>
    </row>
    <row r="2" spans="1:16" x14ac:dyDescent="0.35">
      <c r="B2" s="35" t="s">
        <v>39</v>
      </c>
      <c r="C2" s="36"/>
      <c r="G2" s="35" t="s">
        <v>40</v>
      </c>
      <c r="H2" s="37"/>
      <c r="I2" s="36"/>
      <c r="N2" s="38"/>
      <c r="O2" s="38"/>
      <c r="P2" s="38"/>
    </row>
    <row r="3" spans="1:16" x14ac:dyDescent="0.35">
      <c r="A3" s="39"/>
      <c r="B3" s="39"/>
      <c r="C3" s="39" t="s">
        <v>41</v>
      </c>
      <c r="D3" s="39" t="s">
        <v>42</v>
      </c>
      <c r="E3" s="39" t="s">
        <v>42</v>
      </c>
      <c r="F3" s="40"/>
      <c r="G3" s="39" t="s">
        <v>43</v>
      </c>
      <c r="H3" s="39"/>
      <c r="I3" s="39"/>
      <c r="J3" s="39" t="s">
        <v>44</v>
      </c>
      <c r="K3" s="39" t="s">
        <v>45</v>
      </c>
      <c r="L3" s="39" t="s">
        <v>46</v>
      </c>
      <c r="M3" s="41" t="s">
        <v>47</v>
      </c>
      <c r="N3" s="42"/>
      <c r="O3" s="15"/>
      <c r="P3" s="15"/>
    </row>
    <row r="4" spans="1:16" x14ac:dyDescent="0.35">
      <c r="A4" s="43" t="s">
        <v>48</v>
      </c>
      <c r="B4" s="43" t="s">
        <v>49</v>
      </c>
      <c r="C4" s="43" t="s">
        <v>50</v>
      </c>
      <c r="D4" s="43" t="s">
        <v>51</v>
      </c>
      <c r="E4" s="43" t="s">
        <v>52</v>
      </c>
      <c r="F4" s="43"/>
      <c r="G4" s="43" t="s">
        <v>53</v>
      </c>
      <c r="H4" s="43" t="s">
        <v>54</v>
      </c>
      <c r="I4" s="43" t="s">
        <v>55</v>
      </c>
      <c r="J4" s="43" t="s">
        <v>56</v>
      </c>
      <c r="K4" s="43" t="s">
        <v>57</v>
      </c>
      <c r="L4" s="43" t="s">
        <v>58</v>
      </c>
      <c r="M4" s="44" t="s">
        <v>59</v>
      </c>
      <c r="N4" s="42"/>
      <c r="O4" s="15"/>
      <c r="P4" s="15"/>
    </row>
    <row r="5" spans="1:16" x14ac:dyDescent="0.35">
      <c r="A5" s="14">
        <v>1</v>
      </c>
      <c r="B5" s="45"/>
      <c r="C5" s="45"/>
      <c r="D5" s="45"/>
      <c r="E5" s="45"/>
      <c r="G5" s="46"/>
      <c r="H5" s="46"/>
      <c r="I5" s="46"/>
      <c r="J5" s="11"/>
      <c r="K5" s="46"/>
      <c r="L5" s="46"/>
      <c r="M5" s="47"/>
      <c r="N5" s="48"/>
      <c r="O5" s="33"/>
      <c r="P5" s="33"/>
    </row>
    <row r="6" spans="1:16" x14ac:dyDescent="0.35">
      <c r="A6" s="14">
        <v>2</v>
      </c>
      <c r="B6" s="45"/>
      <c r="C6" s="45"/>
      <c r="D6" s="45"/>
      <c r="E6" s="45"/>
      <c r="G6" s="46"/>
      <c r="H6" s="46"/>
      <c r="I6" s="46"/>
      <c r="J6" s="11"/>
      <c r="K6" s="46"/>
      <c r="L6" s="46"/>
      <c r="M6" s="47"/>
      <c r="N6" s="48"/>
      <c r="O6" s="33"/>
      <c r="P6" s="33"/>
    </row>
    <row r="7" spans="1:16" x14ac:dyDescent="0.35">
      <c r="A7" s="14">
        <v>3</v>
      </c>
      <c r="B7" s="45"/>
      <c r="C7" s="45"/>
      <c r="D7" s="45"/>
      <c r="E7" s="45"/>
      <c r="G7" s="46"/>
      <c r="H7" s="46"/>
      <c r="I7" s="46"/>
      <c r="J7" s="11"/>
      <c r="K7" s="46"/>
      <c r="L7" s="46"/>
      <c r="M7" s="47"/>
      <c r="N7" s="48"/>
      <c r="O7" s="33"/>
      <c r="P7" s="33"/>
    </row>
    <row r="8" spans="1:16" x14ac:dyDescent="0.35">
      <c r="A8" s="14">
        <v>4</v>
      </c>
      <c r="B8" s="45"/>
      <c r="C8" s="45"/>
      <c r="D8" s="45"/>
      <c r="E8" s="45"/>
      <c r="G8" s="46"/>
      <c r="H8" s="46"/>
      <c r="I8" s="46"/>
      <c r="J8" s="11"/>
      <c r="K8" s="46"/>
      <c r="L8" s="46"/>
      <c r="M8" s="47"/>
      <c r="N8" s="48"/>
      <c r="O8" s="33"/>
      <c r="P8" s="33"/>
    </row>
    <row r="9" spans="1:16" x14ac:dyDescent="0.35">
      <c r="A9" s="14">
        <v>5</v>
      </c>
      <c r="B9" s="45"/>
      <c r="C9" s="45"/>
      <c r="D9" s="45"/>
      <c r="E9" s="45"/>
      <c r="G9" s="46"/>
      <c r="H9" s="46"/>
      <c r="I9" s="46"/>
      <c r="J9" s="11"/>
      <c r="K9" s="46"/>
      <c r="L9" s="46"/>
      <c r="M9" s="47"/>
      <c r="N9" s="48"/>
      <c r="O9" s="33"/>
      <c r="P9" s="33"/>
    </row>
    <row r="10" spans="1:16" x14ac:dyDescent="0.35">
      <c r="A10" s="14">
        <v>6</v>
      </c>
      <c r="B10" s="45"/>
      <c r="C10" s="45"/>
      <c r="D10" s="45"/>
      <c r="E10" s="45"/>
      <c r="G10" s="46"/>
      <c r="H10" s="46"/>
      <c r="I10" s="46"/>
      <c r="J10" s="11"/>
      <c r="K10" s="46"/>
      <c r="L10" s="46"/>
      <c r="M10" s="47"/>
      <c r="N10" s="48"/>
      <c r="O10" s="33"/>
      <c r="P10" s="33"/>
    </row>
    <row r="11" spans="1:16" x14ac:dyDescent="0.35">
      <c r="A11" s="14">
        <v>7</v>
      </c>
      <c r="B11" s="45"/>
      <c r="C11" s="45"/>
      <c r="D11" s="45"/>
      <c r="E11" s="45"/>
      <c r="G11" s="46"/>
      <c r="H11" s="46"/>
      <c r="I11" s="46"/>
      <c r="J11" s="11"/>
      <c r="K11" s="46"/>
      <c r="L11" s="46"/>
      <c r="M11" s="47"/>
      <c r="N11" s="48"/>
      <c r="O11" s="33"/>
      <c r="P11" s="33"/>
    </row>
    <row r="12" spans="1:16" x14ac:dyDescent="0.35">
      <c r="A12" s="14">
        <v>8</v>
      </c>
      <c r="B12" s="45"/>
      <c r="C12" s="45"/>
      <c r="D12" s="45"/>
      <c r="E12" s="45"/>
      <c r="G12" s="46"/>
      <c r="H12" s="46"/>
      <c r="I12" s="46"/>
      <c r="J12" s="11"/>
      <c r="K12" s="46"/>
      <c r="L12" s="46"/>
      <c r="M12" s="47"/>
      <c r="N12" s="48"/>
      <c r="O12" s="33"/>
      <c r="P12" s="33"/>
    </row>
    <row r="13" spans="1:16" x14ac:dyDescent="0.35">
      <c r="A13" s="14">
        <v>9</v>
      </c>
      <c r="B13" s="45"/>
      <c r="C13" s="45"/>
      <c r="D13" s="45"/>
      <c r="E13" s="45"/>
      <c r="G13" s="46"/>
      <c r="H13" s="46"/>
      <c r="I13" s="46"/>
      <c r="J13" s="11"/>
      <c r="K13" s="46"/>
      <c r="L13" s="46"/>
      <c r="M13" s="47"/>
      <c r="N13" s="48"/>
      <c r="O13" s="33"/>
      <c r="P13" s="33"/>
    </row>
    <row r="14" spans="1:16" x14ac:dyDescent="0.35">
      <c r="A14" s="14">
        <v>10</v>
      </c>
      <c r="B14" s="45"/>
      <c r="C14" s="45"/>
      <c r="D14" s="45"/>
      <c r="E14" s="45"/>
      <c r="G14" s="46"/>
      <c r="H14" s="46"/>
      <c r="I14" s="46"/>
      <c r="J14" s="11"/>
      <c r="K14" s="45"/>
      <c r="L14" s="45"/>
      <c r="M14" s="47"/>
      <c r="N14" s="48"/>
      <c r="O14" s="33"/>
      <c r="P14" s="33"/>
    </row>
    <row r="15" spans="1:16" x14ac:dyDescent="0.35">
      <c r="A15" s="14">
        <v>11</v>
      </c>
      <c r="B15" s="45"/>
      <c r="C15" s="45"/>
      <c r="D15" s="45"/>
      <c r="E15" s="45"/>
      <c r="G15" s="46"/>
      <c r="H15" s="46"/>
      <c r="I15" s="46"/>
      <c r="J15" s="11"/>
      <c r="K15" s="45"/>
      <c r="L15" s="45"/>
      <c r="M15" s="47"/>
      <c r="N15" s="48"/>
      <c r="O15" s="33"/>
      <c r="P15" s="33"/>
    </row>
    <row r="16" spans="1:16" x14ac:dyDescent="0.35">
      <c r="A16" s="14">
        <v>12</v>
      </c>
      <c r="B16" s="45"/>
      <c r="C16" s="45"/>
      <c r="D16" s="45"/>
      <c r="E16" s="45"/>
      <c r="G16" s="46"/>
      <c r="H16" s="46"/>
      <c r="I16" s="46"/>
      <c r="J16" s="11"/>
      <c r="K16" s="45"/>
      <c r="L16" s="45"/>
      <c r="M16" s="47"/>
      <c r="N16" s="48"/>
      <c r="O16" s="33"/>
      <c r="P16" s="33"/>
    </row>
    <row r="17" spans="1:16" x14ac:dyDescent="0.35">
      <c r="A17" s="14">
        <v>13</v>
      </c>
      <c r="B17" s="45"/>
      <c r="C17" s="45"/>
      <c r="D17" s="45"/>
      <c r="E17" s="45"/>
      <c r="G17" s="46"/>
      <c r="H17" s="46"/>
      <c r="I17" s="46"/>
      <c r="J17" s="11"/>
      <c r="K17" s="45"/>
      <c r="L17" s="45"/>
      <c r="M17" s="47"/>
      <c r="N17" s="48"/>
      <c r="O17" s="33"/>
      <c r="P17" s="33"/>
    </row>
    <row r="18" spans="1:16" x14ac:dyDescent="0.35">
      <c r="A18" s="14">
        <v>14</v>
      </c>
      <c r="B18" s="45"/>
      <c r="C18" s="45"/>
      <c r="D18" s="45"/>
      <c r="E18" s="45"/>
      <c r="G18" s="46"/>
      <c r="H18" s="46"/>
      <c r="I18" s="46"/>
      <c r="J18" s="11"/>
      <c r="K18" s="45"/>
      <c r="L18" s="45"/>
      <c r="M18" s="47"/>
      <c r="N18" s="48"/>
      <c r="O18" s="33"/>
      <c r="P18" s="33"/>
    </row>
    <row r="19" spans="1:16" x14ac:dyDescent="0.35">
      <c r="A19" s="14">
        <v>15</v>
      </c>
      <c r="B19" s="45"/>
      <c r="C19" s="45"/>
      <c r="D19" s="45"/>
      <c r="E19" s="45"/>
      <c r="G19" s="46"/>
      <c r="H19" s="46"/>
      <c r="I19" s="46"/>
      <c r="J19" s="11"/>
      <c r="K19" s="45"/>
      <c r="L19" s="45"/>
      <c r="M19" s="47"/>
      <c r="N19" s="48"/>
      <c r="O19" s="33"/>
      <c r="P19" s="33"/>
    </row>
    <row r="20" spans="1:16" x14ac:dyDescent="0.35">
      <c r="A20" s="14">
        <v>16</v>
      </c>
      <c r="B20" s="45"/>
      <c r="C20" s="45"/>
      <c r="D20" s="45"/>
      <c r="E20" s="45"/>
      <c r="G20" s="46"/>
      <c r="H20" s="46"/>
      <c r="I20" s="46"/>
      <c r="J20" s="11"/>
      <c r="K20" s="45"/>
      <c r="L20" s="45"/>
      <c r="M20" s="47"/>
      <c r="N20" s="48"/>
      <c r="O20" s="33"/>
      <c r="P20" s="33"/>
    </row>
    <row r="21" spans="1:16" x14ac:dyDescent="0.35">
      <c r="A21" s="14">
        <v>17</v>
      </c>
      <c r="B21" s="45"/>
      <c r="C21" s="45"/>
      <c r="D21" s="45"/>
      <c r="E21" s="45"/>
      <c r="G21" s="46"/>
      <c r="H21" s="46"/>
      <c r="I21" s="46"/>
      <c r="J21" s="11"/>
      <c r="K21" s="45"/>
      <c r="L21" s="45"/>
      <c r="M21" s="47"/>
      <c r="N21" s="48"/>
      <c r="O21" s="33"/>
      <c r="P21" s="33"/>
    </row>
    <row r="22" spans="1:16" x14ac:dyDescent="0.35">
      <c r="A22" s="14">
        <v>18</v>
      </c>
      <c r="B22" s="45"/>
      <c r="C22" s="45"/>
      <c r="D22" s="45"/>
      <c r="E22" s="45"/>
      <c r="G22" s="46"/>
      <c r="H22" s="46"/>
      <c r="I22" s="46"/>
      <c r="J22" s="11"/>
      <c r="K22" s="45"/>
      <c r="L22" s="45"/>
      <c r="M22" s="47"/>
      <c r="N22" s="48"/>
      <c r="O22" s="33"/>
      <c r="P22" s="33"/>
    </row>
    <row r="23" spans="1:16" x14ac:dyDescent="0.35">
      <c r="A23" s="14">
        <v>19</v>
      </c>
      <c r="B23" s="45"/>
      <c r="C23" s="45"/>
      <c r="D23" s="45"/>
      <c r="E23" s="45"/>
      <c r="G23" s="46"/>
      <c r="H23" s="46"/>
      <c r="I23" s="46"/>
      <c r="J23" s="11"/>
      <c r="K23" s="45"/>
      <c r="L23" s="45"/>
      <c r="M23" s="47"/>
      <c r="N23" s="48"/>
      <c r="O23" s="33"/>
      <c r="P23" s="33"/>
    </row>
    <row r="24" spans="1:16" x14ac:dyDescent="0.35">
      <c r="A24" s="14">
        <v>20</v>
      </c>
      <c r="B24" s="45"/>
      <c r="C24" s="45"/>
      <c r="D24" s="45"/>
      <c r="E24" s="45"/>
      <c r="G24" s="46"/>
      <c r="H24" s="46"/>
      <c r="I24" s="46"/>
      <c r="J24" s="11"/>
      <c r="K24" s="45"/>
      <c r="L24" s="45"/>
      <c r="M24" s="47"/>
      <c r="N24" s="48"/>
      <c r="O24" s="33"/>
      <c r="P24" s="33"/>
    </row>
    <row r="25" spans="1:16" x14ac:dyDescent="0.35">
      <c r="A25" s="14">
        <v>21</v>
      </c>
      <c r="B25" s="45"/>
      <c r="C25" s="45"/>
      <c r="D25" s="45"/>
      <c r="E25" s="45"/>
      <c r="G25" s="46"/>
      <c r="H25" s="46"/>
      <c r="I25" s="46"/>
      <c r="J25" s="11"/>
      <c r="K25" s="45"/>
      <c r="L25" s="45"/>
      <c r="M25" s="47"/>
      <c r="N25" s="48"/>
      <c r="O25" s="33"/>
      <c r="P25" s="33"/>
    </row>
    <row r="26" spans="1:16" x14ac:dyDescent="0.35">
      <c r="A26" s="14">
        <v>22</v>
      </c>
      <c r="B26" s="45"/>
      <c r="C26" s="45"/>
      <c r="D26" s="45"/>
      <c r="E26" s="45"/>
      <c r="G26" s="46"/>
      <c r="H26" s="46"/>
      <c r="I26" s="46"/>
      <c r="J26" s="11"/>
      <c r="K26" s="45"/>
      <c r="L26" s="45"/>
      <c r="M26" s="47"/>
      <c r="N26" s="48"/>
      <c r="O26" s="33"/>
      <c r="P26" s="33"/>
    </row>
    <row r="27" spans="1:16" x14ac:dyDescent="0.35">
      <c r="A27" s="14">
        <v>23</v>
      </c>
      <c r="B27" s="45"/>
      <c r="C27" s="45"/>
      <c r="D27" s="45"/>
      <c r="E27" s="45"/>
      <c r="G27" s="46"/>
      <c r="H27" s="46"/>
      <c r="I27" s="46"/>
      <c r="J27" s="11"/>
      <c r="K27" s="45"/>
      <c r="L27" s="45"/>
      <c r="M27" s="47"/>
      <c r="N27" s="48"/>
      <c r="O27" s="33"/>
      <c r="P27" s="33"/>
    </row>
    <row r="28" spans="1:16" x14ac:dyDescent="0.35">
      <c r="A28" s="14">
        <v>24</v>
      </c>
      <c r="B28" s="45"/>
      <c r="C28" s="45"/>
      <c r="D28" s="45"/>
      <c r="E28" s="45"/>
      <c r="G28" s="46"/>
      <c r="H28" s="46"/>
      <c r="I28" s="46"/>
      <c r="J28" s="11"/>
      <c r="K28" s="45"/>
      <c r="L28" s="45"/>
      <c r="M28" s="47"/>
      <c r="N28" s="48"/>
      <c r="O28" s="33"/>
      <c r="P28" s="33"/>
    </row>
    <row r="29" spans="1:16" x14ac:dyDescent="0.35">
      <c r="A29" s="14">
        <v>25</v>
      </c>
      <c r="B29" s="45"/>
      <c r="C29" s="45"/>
      <c r="D29" s="45"/>
      <c r="E29" s="45"/>
      <c r="G29" s="46"/>
      <c r="H29" s="46"/>
      <c r="I29" s="46"/>
      <c r="J29" s="11"/>
      <c r="K29" s="45"/>
      <c r="L29" s="45"/>
      <c r="M29" s="47"/>
      <c r="N29" s="48"/>
      <c r="O29" s="33"/>
      <c r="P29" s="33"/>
    </row>
    <row r="30" spans="1:16" x14ac:dyDescent="0.35">
      <c r="A30" s="58">
        <f>A29+1</f>
        <v>26</v>
      </c>
      <c r="B30" s="11"/>
      <c r="C30" s="11"/>
      <c r="D30" s="11"/>
      <c r="E30" s="11"/>
      <c r="G30" s="11"/>
      <c r="H30" s="11"/>
      <c r="I30" s="11"/>
      <c r="J30" s="11"/>
      <c r="K30" s="11"/>
      <c r="L30" s="11"/>
      <c r="M30" s="11"/>
    </row>
    <row r="31" spans="1:16" x14ac:dyDescent="0.35">
      <c r="A31" s="58">
        <f t="shared" ref="A31:A34" si="0">A30+1</f>
        <v>27</v>
      </c>
      <c r="B31" s="11"/>
      <c r="C31" s="11"/>
      <c r="D31" s="11"/>
      <c r="E31" s="11"/>
      <c r="G31" s="11"/>
      <c r="H31" s="11"/>
      <c r="I31" s="11"/>
      <c r="J31" s="11"/>
      <c r="K31" s="11"/>
      <c r="L31" s="11"/>
      <c r="M31" s="11"/>
    </row>
    <row r="32" spans="1:16" x14ac:dyDescent="0.35">
      <c r="A32" s="58">
        <f t="shared" si="0"/>
        <v>28</v>
      </c>
      <c r="B32" s="11"/>
      <c r="C32" s="11"/>
      <c r="D32" s="11"/>
      <c r="E32" s="11"/>
      <c r="G32" s="11"/>
      <c r="H32" s="11"/>
      <c r="I32" s="11"/>
      <c r="J32" s="11"/>
      <c r="K32" s="11"/>
      <c r="L32" s="11"/>
      <c r="M32" s="11"/>
    </row>
    <row r="33" spans="1:13" x14ac:dyDescent="0.35">
      <c r="A33" s="58">
        <f t="shared" si="0"/>
        <v>29</v>
      </c>
      <c r="B33" s="11"/>
      <c r="C33" s="11"/>
      <c r="D33" s="11"/>
      <c r="E33" s="11"/>
      <c r="G33" s="11"/>
      <c r="H33" s="11"/>
      <c r="I33" s="11"/>
      <c r="J33" s="11"/>
      <c r="K33" s="11"/>
      <c r="L33" s="11"/>
      <c r="M33" s="11"/>
    </row>
    <row r="34" spans="1:13" x14ac:dyDescent="0.35">
      <c r="A34" s="58">
        <f t="shared" si="0"/>
        <v>30</v>
      </c>
      <c r="B34" s="11"/>
      <c r="C34" s="11"/>
      <c r="D34" s="11"/>
      <c r="E34" s="11"/>
      <c r="G34" s="11"/>
      <c r="H34" s="11"/>
      <c r="I34" s="11"/>
      <c r="J34" s="11"/>
      <c r="K34" s="11"/>
      <c r="L34" s="11"/>
      <c r="M34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showGridLines="0" workbookViewId="0">
      <pane ySplit="4" topLeftCell="A5" activePane="bottomLeft" state="frozen"/>
      <selection pane="bottomLeft" activeCell="G9" sqref="G9"/>
    </sheetView>
  </sheetViews>
  <sheetFormatPr defaultColWidth="11.7265625" defaultRowHeight="14.5" x14ac:dyDescent="0.35"/>
  <cols>
    <col min="1" max="4" width="11.7265625" style="12"/>
    <col min="5" max="5" width="11.7265625" style="12" customWidth="1"/>
    <col min="6" max="6" width="1.453125" style="12" customWidth="1"/>
    <col min="7" max="16384" width="11.7265625" style="12"/>
  </cols>
  <sheetData>
    <row r="1" spans="1:21" s="10" customFormat="1" ht="21" x14ac:dyDescent="0.5">
      <c r="A1" s="9" t="s">
        <v>60</v>
      </c>
    </row>
    <row r="2" spans="1:21" x14ac:dyDescent="0.35">
      <c r="B2" s="30" t="s">
        <v>39</v>
      </c>
      <c r="C2" s="31"/>
      <c r="G2" s="30" t="s">
        <v>40</v>
      </c>
      <c r="H2" s="22"/>
      <c r="I2" s="31"/>
      <c r="N2" s="38"/>
      <c r="O2" s="38"/>
      <c r="P2" s="38"/>
      <c r="Q2" s="38"/>
      <c r="R2" s="38"/>
    </row>
    <row r="3" spans="1:21" x14ac:dyDescent="0.35">
      <c r="A3" s="39"/>
      <c r="B3" s="39"/>
      <c r="C3" s="39" t="s">
        <v>41</v>
      </c>
      <c r="D3" s="39" t="s">
        <v>42</v>
      </c>
      <c r="E3" s="39" t="s">
        <v>42</v>
      </c>
      <c r="F3" s="15"/>
      <c r="G3" s="39" t="s">
        <v>43</v>
      </c>
      <c r="H3" s="39"/>
      <c r="I3" s="39"/>
      <c r="J3" s="39" t="s">
        <v>44</v>
      </c>
      <c r="K3" s="39" t="s">
        <v>45</v>
      </c>
      <c r="L3" s="39" t="s">
        <v>46</v>
      </c>
      <c r="M3" s="41" t="s">
        <v>47</v>
      </c>
      <c r="N3" s="42"/>
      <c r="O3" s="15"/>
      <c r="P3" s="15"/>
      <c r="Q3" s="15"/>
      <c r="R3" s="15"/>
      <c r="S3" s="15"/>
      <c r="T3" s="15"/>
      <c r="U3" s="15"/>
    </row>
    <row r="4" spans="1:21" x14ac:dyDescent="0.35">
      <c r="A4" s="43" t="s">
        <v>48</v>
      </c>
      <c r="B4" s="43" t="s">
        <v>49</v>
      </c>
      <c r="C4" s="43" t="s">
        <v>50</v>
      </c>
      <c r="D4" s="43" t="s">
        <v>51</v>
      </c>
      <c r="E4" s="43" t="s">
        <v>52</v>
      </c>
      <c r="F4" s="15"/>
      <c r="G4" s="43" t="s">
        <v>53</v>
      </c>
      <c r="H4" s="43" t="s">
        <v>54</v>
      </c>
      <c r="I4" s="43" t="s">
        <v>55</v>
      </c>
      <c r="J4" s="43" t="s">
        <v>56</v>
      </c>
      <c r="K4" s="43" t="s">
        <v>57</v>
      </c>
      <c r="L4" s="43" t="s">
        <v>58</v>
      </c>
      <c r="M4" s="44" t="s">
        <v>59</v>
      </c>
      <c r="N4" s="42"/>
      <c r="O4" s="15"/>
      <c r="P4" s="15"/>
      <c r="Q4" s="15"/>
      <c r="R4" s="15"/>
      <c r="S4" s="15"/>
      <c r="T4" s="15"/>
      <c r="U4" s="15"/>
    </row>
    <row r="5" spans="1:21" x14ac:dyDescent="0.35">
      <c r="A5" s="14">
        <v>1</v>
      </c>
      <c r="B5" s="45"/>
      <c r="C5" s="45"/>
      <c r="D5" s="45"/>
      <c r="E5" s="45"/>
      <c r="F5" s="33"/>
      <c r="G5" s="46"/>
      <c r="H5" s="46"/>
      <c r="I5" s="46"/>
      <c r="J5" s="49"/>
      <c r="K5" s="46"/>
      <c r="L5" s="46"/>
      <c r="M5" s="47"/>
      <c r="N5" s="50"/>
      <c r="O5" s="33"/>
      <c r="P5" s="19"/>
      <c r="Q5" s="33"/>
      <c r="R5" s="20"/>
      <c r="S5" s="19"/>
      <c r="T5" s="19"/>
      <c r="U5" s="33"/>
    </row>
    <row r="6" spans="1:21" x14ac:dyDescent="0.35">
      <c r="A6" s="14">
        <v>2</v>
      </c>
      <c r="B6" s="45"/>
      <c r="C6" s="45"/>
      <c r="D6" s="45"/>
      <c r="E6" s="45"/>
      <c r="F6" s="33"/>
      <c r="G6" s="46"/>
      <c r="H6" s="46"/>
      <c r="I6" s="46"/>
      <c r="J6" s="49"/>
      <c r="K6" s="46"/>
      <c r="L6" s="46"/>
      <c r="M6" s="47"/>
      <c r="N6" s="50"/>
      <c r="O6" s="33"/>
      <c r="P6" s="19"/>
      <c r="Q6" s="33"/>
      <c r="R6" s="20"/>
      <c r="S6" s="19"/>
      <c r="T6" s="19"/>
      <c r="U6" s="33"/>
    </row>
    <row r="7" spans="1:21" x14ac:dyDescent="0.35">
      <c r="A7" s="14">
        <v>3</v>
      </c>
      <c r="B7" s="45"/>
      <c r="C7" s="45"/>
      <c r="D7" s="45"/>
      <c r="E7" s="45"/>
      <c r="F7" s="33"/>
      <c r="G7" s="46"/>
      <c r="H7" s="46"/>
      <c r="I7" s="46"/>
      <c r="J7" s="49"/>
      <c r="K7" s="46"/>
      <c r="L7" s="46"/>
      <c r="M7" s="47"/>
      <c r="N7" s="50"/>
      <c r="O7" s="33"/>
      <c r="P7" s="19"/>
      <c r="Q7" s="33"/>
      <c r="R7" s="20"/>
      <c r="S7" s="19"/>
      <c r="T7" s="19"/>
      <c r="U7" s="33"/>
    </row>
    <row r="8" spans="1:21" x14ac:dyDescent="0.35">
      <c r="A8" s="14">
        <v>4</v>
      </c>
      <c r="B8" s="45"/>
      <c r="C8" s="45"/>
      <c r="D8" s="45"/>
      <c r="E8" s="45"/>
      <c r="F8" s="33"/>
      <c r="G8" s="46"/>
      <c r="H8" s="46"/>
      <c r="I8" s="46"/>
      <c r="J8" s="49"/>
      <c r="K8" s="46"/>
      <c r="L8" s="46"/>
      <c r="M8" s="47"/>
      <c r="N8" s="50"/>
      <c r="O8" s="33"/>
      <c r="P8" s="19"/>
      <c r="Q8" s="33"/>
      <c r="R8" s="20"/>
      <c r="S8" s="19"/>
      <c r="T8" s="19"/>
      <c r="U8" s="33"/>
    </row>
    <row r="9" spans="1:21" x14ac:dyDescent="0.35">
      <c r="A9" s="14">
        <v>5</v>
      </c>
      <c r="B9" s="45"/>
      <c r="C9" s="45"/>
      <c r="D9" s="45"/>
      <c r="E9" s="45"/>
      <c r="F9" s="33"/>
      <c r="G9" s="46"/>
      <c r="H9" s="46"/>
      <c r="I9" s="46"/>
      <c r="J9" s="49"/>
      <c r="K9" s="46"/>
      <c r="L9" s="46"/>
      <c r="M9" s="47"/>
      <c r="N9" s="50"/>
      <c r="O9" s="33"/>
      <c r="P9" s="19"/>
      <c r="Q9" s="33"/>
      <c r="R9" s="20"/>
      <c r="S9" s="19"/>
      <c r="T9" s="19"/>
      <c r="U9" s="33"/>
    </row>
    <row r="10" spans="1:21" x14ac:dyDescent="0.35">
      <c r="A10" s="14">
        <v>6</v>
      </c>
      <c r="B10" s="45"/>
      <c r="C10" s="45"/>
      <c r="D10" s="45"/>
      <c r="E10" s="45"/>
      <c r="F10" s="33"/>
      <c r="G10" s="46"/>
      <c r="H10" s="46"/>
      <c r="I10" s="46"/>
      <c r="J10" s="49"/>
      <c r="K10" s="46"/>
      <c r="L10" s="46"/>
      <c r="M10" s="47"/>
      <c r="N10" s="50"/>
      <c r="O10" s="33"/>
      <c r="P10" s="19"/>
      <c r="Q10" s="33"/>
      <c r="R10" s="20"/>
      <c r="S10" s="19"/>
      <c r="T10" s="19"/>
      <c r="U10" s="33"/>
    </row>
    <row r="11" spans="1:21" x14ac:dyDescent="0.35">
      <c r="A11" s="14">
        <v>7</v>
      </c>
      <c r="B11" s="45"/>
      <c r="C11" s="45"/>
      <c r="D11" s="45"/>
      <c r="E11" s="45"/>
      <c r="F11" s="33"/>
      <c r="G11" s="46"/>
      <c r="H11" s="46"/>
      <c r="I11" s="46"/>
      <c r="J11" s="49"/>
      <c r="K11" s="46"/>
      <c r="L11" s="46"/>
      <c r="M11" s="47"/>
      <c r="N11" s="50"/>
      <c r="O11" s="33"/>
      <c r="P11" s="19"/>
      <c r="Q11" s="33"/>
      <c r="R11" s="20"/>
      <c r="S11" s="19"/>
      <c r="T11" s="19"/>
      <c r="U11" s="33"/>
    </row>
    <row r="12" spans="1:21" x14ac:dyDescent="0.35">
      <c r="A12" s="14">
        <v>8</v>
      </c>
      <c r="B12" s="45"/>
      <c r="C12" s="45"/>
      <c r="D12" s="45"/>
      <c r="E12" s="45"/>
      <c r="F12" s="33"/>
      <c r="G12" s="46"/>
      <c r="H12" s="46"/>
      <c r="I12" s="46"/>
      <c r="J12" s="49"/>
      <c r="K12" s="46"/>
      <c r="L12" s="46"/>
      <c r="M12" s="47"/>
      <c r="N12" s="50"/>
      <c r="O12" s="33"/>
      <c r="P12" s="19"/>
      <c r="Q12" s="33"/>
      <c r="R12" s="20"/>
      <c r="S12" s="19"/>
      <c r="T12" s="19"/>
      <c r="U12" s="33"/>
    </row>
    <row r="13" spans="1:21" x14ac:dyDescent="0.35">
      <c r="A13" s="14">
        <v>9</v>
      </c>
      <c r="B13" s="45"/>
      <c r="C13" s="45"/>
      <c r="D13" s="45"/>
      <c r="E13" s="45"/>
      <c r="F13" s="33"/>
      <c r="G13" s="46"/>
      <c r="H13" s="46"/>
      <c r="I13" s="46"/>
      <c r="J13" s="49"/>
      <c r="K13" s="46"/>
      <c r="L13" s="46"/>
      <c r="M13" s="47"/>
      <c r="N13" s="50"/>
      <c r="O13" s="33"/>
      <c r="P13" s="19"/>
      <c r="Q13" s="33"/>
      <c r="R13" s="20"/>
      <c r="S13" s="19"/>
      <c r="T13" s="19"/>
      <c r="U13" s="33"/>
    </row>
    <row r="14" spans="1:21" x14ac:dyDescent="0.35">
      <c r="A14" s="14">
        <v>10</v>
      </c>
      <c r="B14" s="45"/>
      <c r="C14" s="45"/>
      <c r="D14" s="45"/>
      <c r="E14" s="45"/>
      <c r="F14" s="33"/>
      <c r="G14" s="46"/>
      <c r="H14" s="46"/>
      <c r="I14" s="46"/>
      <c r="J14" s="49"/>
      <c r="K14" s="46"/>
      <c r="L14" s="46"/>
      <c r="M14" s="47"/>
      <c r="N14" s="50"/>
      <c r="O14" s="33"/>
      <c r="P14" s="19"/>
      <c r="Q14" s="33"/>
      <c r="R14" s="20"/>
      <c r="S14" s="19"/>
      <c r="T14" s="19"/>
      <c r="U14" s="33"/>
    </row>
    <row r="15" spans="1:21" x14ac:dyDescent="0.35">
      <c r="A15" s="14">
        <v>11</v>
      </c>
      <c r="B15" s="45"/>
      <c r="C15" s="45"/>
      <c r="D15" s="45"/>
      <c r="E15" s="45"/>
      <c r="F15" s="33"/>
      <c r="G15" s="46"/>
      <c r="H15" s="46"/>
      <c r="I15" s="46"/>
      <c r="J15" s="49"/>
      <c r="K15" s="46"/>
      <c r="L15" s="46"/>
      <c r="M15" s="47"/>
      <c r="N15" s="50"/>
      <c r="O15" s="33"/>
      <c r="P15" s="19"/>
      <c r="Q15" s="33"/>
      <c r="R15" s="20"/>
      <c r="S15" s="19"/>
      <c r="T15" s="19"/>
      <c r="U15" s="33"/>
    </row>
    <row r="16" spans="1:21" x14ac:dyDescent="0.35">
      <c r="A16" s="14">
        <v>12</v>
      </c>
      <c r="B16" s="45"/>
      <c r="C16" s="45"/>
      <c r="D16" s="45"/>
      <c r="E16" s="45"/>
      <c r="F16" s="33"/>
      <c r="G16" s="46"/>
      <c r="H16" s="46"/>
      <c r="I16" s="46"/>
      <c r="J16" s="49"/>
      <c r="K16" s="46"/>
      <c r="L16" s="46"/>
      <c r="M16" s="47"/>
      <c r="N16" s="50"/>
      <c r="O16" s="33"/>
      <c r="P16" s="19"/>
      <c r="Q16" s="33"/>
      <c r="R16" s="20"/>
      <c r="S16" s="19"/>
      <c r="T16" s="19"/>
      <c r="U16" s="33"/>
    </row>
    <row r="17" spans="1:21" x14ac:dyDescent="0.35">
      <c r="A17" s="14">
        <v>13</v>
      </c>
      <c r="B17" s="45"/>
      <c r="C17" s="45"/>
      <c r="D17" s="45"/>
      <c r="E17" s="45"/>
      <c r="F17" s="33"/>
      <c r="G17" s="46"/>
      <c r="H17" s="46"/>
      <c r="I17" s="46"/>
      <c r="J17" s="49"/>
      <c r="K17" s="46"/>
      <c r="L17" s="46"/>
      <c r="M17" s="47"/>
      <c r="N17" s="50"/>
      <c r="O17" s="33"/>
      <c r="P17" s="19"/>
      <c r="Q17" s="33"/>
      <c r="R17" s="20"/>
      <c r="S17" s="19"/>
      <c r="T17" s="19"/>
      <c r="U17" s="33"/>
    </row>
    <row r="18" spans="1:21" x14ac:dyDescent="0.35">
      <c r="A18" s="14">
        <v>14</v>
      </c>
      <c r="B18" s="45"/>
      <c r="C18" s="45"/>
      <c r="D18" s="45"/>
      <c r="E18" s="45"/>
      <c r="F18" s="33"/>
      <c r="G18" s="46"/>
      <c r="H18" s="46"/>
      <c r="I18" s="46"/>
      <c r="J18" s="49"/>
      <c r="K18" s="46"/>
      <c r="L18" s="46"/>
      <c r="M18" s="47"/>
      <c r="N18" s="50"/>
      <c r="O18" s="33"/>
      <c r="P18" s="19"/>
      <c r="Q18" s="33"/>
      <c r="R18" s="20"/>
      <c r="S18" s="19"/>
      <c r="T18" s="19"/>
      <c r="U18" s="33"/>
    </row>
    <row r="19" spans="1:21" x14ac:dyDescent="0.35">
      <c r="A19" s="14">
        <v>15</v>
      </c>
      <c r="B19" s="45"/>
      <c r="C19" s="45"/>
      <c r="D19" s="45"/>
      <c r="E19" s="45"/>
      <c r="F19" s="33"/>
      <c r="G19" s="46"/>
      <c r="H19" s="46"/>
      <c r="I19" s="46"/>
      <c r="J19" s="49"/>
      <c r="K19" s="46"/>
      <c r="L19" s="46"/>
      <c r="M19" s="47"/>
      <c r="N19" s="50"/>
      <c r="O19" s="33"/>
      <c r="P19" s="19"/>
      <c r="Q19" s="33"/>
      <c r="R19" s="20"/>
      <c r="S19" s="19"/>
      <c r="T19" s="19"/>
      <c r="U19" s="33"/>
    </row>
    <row r="20" spans="1:21" x14ac:dyDescent="0.35">
      <c r="A20" s="14">
        <v>16</v>
      </c>
      <c r="B20" s="45"/>
      <c r="C20" s="45"/>
      <c r="D20" s="45"/>
      <c r="E20" s="45"/>
      <c r="F20" s="33"/>
      <c r="G20" s="46"/>
      <c r="H20" s="46"/>
      <c r="I20" s="46"/>
      <c r="J20" s="49"/>
      <c r="K20" s="46"/>
      <c r="L20" s="46"/>
      <c r="M20" s="47"/>
      <c r="N20" s="50"/>
      <c r="O20" s="33"/>
      <c r="P20" s="19"/>
      <c r="Q20" s="33"/>
      <c r="R20" s="20"/>
      <c r="S20" s="19"/>
      <c r="T20" s="19"/>
      <c r="U20" s="33"/>
    </row>
    <row r="21" spans="1:21" x14ac:dyDescent="0.35">
      <c r="A21" s="14">
        <v>17</v>
      </c>
      <c r="B21" s="45"/>
      <c r="C21" s="45"/>
      <c r="D21" s="45"/>
      <c r="E21" s="45"/>
      <c r="F21" s="33"/>
      <c r="G21" s="46"/>
      <c r="H21" s="46"/>
      <c r="I21" s="46"/>
      <c r="J21" s="49"/>
      <c r="K21" s="46"/>
      <c r="L21" s="46"/>
      <c r="M21" s="47"/>
      <c r="N21" s="50"/>
      <c r="O21" s="33"/>
      <c r="P21" s="19"/>
      <c r="Q21" s="33"/>
      <c r="R21" s="20"/>
      <c r="S21" s="19"/>
      <c r="T21" s="19"/>
      <c r="U21" s="33"/>
    </row>
    <row r="22" spans="1:21" x14ac:dyDescent="0.35">
      <c r="A22" s="14">
        <v>18</v>
      </c>
      <c r="B22" s="45"/>
      <c r="C22" s="45"/>
      <c r="D22" s="45"/>
      <c r="E22" s="45"/>
      <c r="F22" s="33"/>
      <c r="G22" s="46"/>
      <c r="H22" s="46"/>
      <c r="I22" s="46"/>
      <c r="J22" s="49"/>
      <c r="K22" s="46"/>
      <c r="L22" s="46"/>
      <c r="M22" s="47"/>
      <c r="N22" s="50"/>
      <c r="O22" s="33"/>
      <c r="P22" s="19"/>
      <c r="Q22" s="33"/>
      <c r="R22" s="20"/>
      <c r="S22" s="19"/>
      <c r="T22" s="19"/>
      <c r="U22" s="33"/>
    </row>
    <row r="23" spans="1:21" x14ac:dyDescent="0.35">
      <c r="A23" s="14">
        <v>19</v>
      </c>
      <c r="B23" s="45"/>
      <c r="C23" s="45"/>
      <c r="D23" s="45"/>
      <c r="E23" s="45"/>
      <c r="F23" s="33"/>
      <c r="G23" s="46"/>
      <c r="H23" s="46"/>
      <c r="I23" s="46"/>
      <c r="J23" s="49"/>
      <c r="K23" s="46"/>
      <c r="L23" s="46"/>
      <c r="M23" s="47"/>
      <c r="N23" s="50"/>
      <c r="O23" s="33"/>
      <c r="P23" s="19"/>
      <c r="Q23" s="33"/>
      <c r="R23" s="20"/>
      <c r="S23" s="19"/>
      <c r="T23" s="19"/>
      <c r="U23" s="33"/>
    </row>
    <row r="24" spans="1:21" x14ac:dyDescent="0.35">
      <c r="A24" s="14">
        <v>20</v>
      </c>
      <c r="B24" s="45"/>
      <c r="C24" s="45"/>
      <c r="D24" s="45"/>
      <c r="E24" s="45"/>
      <c r="F24" s="33"/>
      <c r="G24" s="46"/>
      <c r="H24" s="46"/>
      <c r="I24" s="46"/>
      <c r="J24" s="49"/>
      <c r="K24" s="46"/>
      <c r="L24" s="46"/>
      <c r="M24" s="47"/>
      <c r="N24" s="50"/>
      <c r="O24" s="33"/>
      <c r="P24" s="19"/>
      <c r="Q24" s="33"/>
      <c r="R24" s="20"/>
      <c r="S24" s="19"/>
      <c r="T24" s="19"/>
      <c r="U24" s="33"/>
    </row>
    <row r="25" spans="1:21" x14ac:dyDescent="0.35">
      <c r="A25" s="14">
        <v>21</v>
      </c>
      <c r="B25" s="45"/>
      <c r="C25" s="45"/>
      <c r="D25" s="45"/>
      <c r="E25" s="45"/>
      <c r="F25" s="33"/>
      <c r="G25" s="46"/>
      <c r="H25" s="46"/>
      <c r="I25" s="46"/>
      <c r="J25" s="49"/>
      <c r="K25" s="46"/>
      <c r="L25" s="46"/>
      <c r="M25" s="47"/>
      <c r="N25" s="50"/>
      <c r="O25" s="33"/>
      <c r="P25" s="19"/>
      <c r="Q25" s="33"/>
      <c r="R25" s="20"/>
      <c r="S25" s="19"/>
      <c r="T25" s="19"/>
      <c r="U25" s="33"/>
    </row>
    <row r="26" spans="1:21" x14ac:dyDescent="0.35">
      <c r="A26" s="14">
        <v>22</v>
      </c>
      <c r="B26" s="45"/>
      <c r="C26" s="45"/>
      <c r="D26" s="45"/>
      <c r="E26" s="45"/>
      <c r="F26" s="33"/>
      <c r="G26" s="46"/>
      <c r="H26" s="46"/>
      <c r="I26" s="46"/>
      <c r="J26" s="49"/>
      <c r="K26" s="46"/>
      <c r="L26" s="46"/>
      <c r="M26" s="47"/>
      <c r="N26" s="50"/>
      <c r="O26" s="33"/>
      <c r="P26" s="19"/>
      <c r="Q26" s="33"/>
      <c r="R26" s="20"/>
      <c r="S26" s="19"/>
      <c r="T26" s="19"/>
      <c r="U26" s="33"/>
    </row>
    <row r="27" spans="1:21" x14ac:dyDescent="0.35">
      <c r="A27" s="14">
        <v>23</v>
      </c>
      <c r="B27" s="45"/>
      <c r="C27" s="45"/>
      <c r="D27" s="45"/>
      <c r="E27" s="45"/>
      <c r="F27" s="33"/>
      <c r="G27" s="46"/>
      <c r="H27" s="46"/>
      <c r="I27" s="46"/>
      <c r="J27" s="49"/>
      <c r="K27" s="46"/>
      <c r="L27" s="46"/>
      <c r="M27" s="47"/>
      <c r="N27" s="50"/>
      <c r="O27" s="33"/>
      <c r="P27" s="19"/>
      <c r="Q27" s="33"/>
      <c r="R27" s="20"/>
      <c r="S27" s="19"/>
      <c r="T27" s="19"/>
      <c r="U27" s="33"/>
    </row>
    <row r="28" spans="1:21" x14ac:dyDescent="0.35">
      <c r="A28" s="14">
        <v>24</v>
      </c>
      <c r="B28" s="45"/>
      <c r="C28" s="45"/>
      <c r="D28" s="45"/>
      <c r="E28" s="45"/>
      <c r="F28" s="33"/>
      <c r="G28" s="46"/>
      <c r="H28" s="46"/>
      <c r="I28" s="46"/>
      <c r="J28" s="49"/>
      <c r="K28" s="46"/>
      <c r="L28" s="46"/>
      <c r="M28" s="47"/>
      <c r="N28" s="50"/>
      <c r="O28" s="33"/>
      <c r="P28" s="19"/>
      <c r="Q28" s="33"/>
      <c r="R28" s="20"/>
      <c r="S28" s="19"/>
      <c r="T28" s="19"/>
      <c r="U28" s="19"/>
    </row>
    <row r="29" spans="1:21" x14ac:dyDescent="0.35">
      <c r="A29" s="14">
        <v>25</v>
      </c>
      <c r="B29" s="45"/>
      <c r="C29" s="45"/>
      <c r="D29" s="45"/>
      <c r="E29" s="45"/>
      <c r="F29" s="33"/>
      <c r="G29" s="46"/>
      <c r="H29" s="46"/>
      <c r="I29" s="46"/>
      <c r="J29" s="49"/>
      <c r="K29" s="46"/>
      <c r="L29" s="46"/>
      <c r="M29" s="47"/>
      <c r="N29" s="50"/>
      <c r="O29" s="33"/>
      <c r="P29" s="19"/>
      <c r="Q29" s="33"/>
      <c r="R29" s="20"/>
      <c r="S29" s="19"/>
      <c r="T29" s="19"/>
      <c r="U29" s="19"/>
    </row>
    <row r="30" spans="1:21" x14ac:dyDescent="0.35">
      <c r="A30" s="14">
        <f>A29+1</f>
        <v>26</v>
      </c>
      <c r="B30" s="11"/>
      <c r="C30" s="11"/>
      <c r="D30" s="11"/>
      <c r="E30" s="11"/>
      <c r="G30" s="11"/>
      <c r="H30" s="11"/>
      <c r="I30" s="11"/>
      <c r="J30" s="11"/>
      <c r="K30" s="11"/>
      <c r="L30" s="11"/>
      <c r="M30" s="11"/>
      <c r="T30" s="19"/>
      <c r="U30" s="19"/>
    </row>
    <row r="31" spans="1:21" x14ac:dyDescent="0.35">
      <c r="A31" s="14">
        <f t="shared" ref="A31:A34" si="0">A30+1</f>
        <v>27</v>
      </c>
      <c r="B31" s="11"/>
      <c r="C31" s="11"/>
      <c r="D31" s="11"/>
      <c r="E31" s="11"/>
      <c r="G31" s="11"/>
      <c r="H31" s="11"/>
      <c r="I31" s="11"/>
      <c r="J31" s="11"/>
      <c r="K31" s="11"/>
      <c r="L31" s="11"/>
      <c r="M31" s="11"/>
      <c r="T31" s="19"/>
      <c r="U31" s="19"/>
    </row>
    <row r="32" spans="1:21" x14ac:dyDescent="0.35">
      <c r="A32" s="14">
        <f t="shared" si="0"/>
        <v>28</v>
      </c>
      <c r="B32" s="11"/>
      <c r="C32" s="11"/>
      <c r="D32" s="11"/>
      <c r="E32" s="11"/>
      <c r="G32" s="11"/>
      <c r="H32" s="11"/>
      <c r="I32" s="11"/>
      <c r="J32" s="11"/>
      <c r="K32" s="11"/>
      <c r="L32" s="11"/>
      <c r="M32" s="11"/>
      <c r="T32" s="19"/>
      <c r="U32" s="19"/>
    </row>
    <row r="33" spans="1:21" x14ac:dyDescent="0.35">
      <c r="A33" s="14">
        <f t="shared" si="0"/>
        <v>29</v>
      </c>
      <c r="B33" s="11"/>
      <c r="C33" s="11"/>
      <c r="D33" s="11"/>
      <c r="E33" s="11"/>
      <c r="G33" s="11"/>
      <c r="H33" s="11"/>
      <c r="I33" s="11"/>
      <c r="J33" s="11"/>
      <c r="K33" s="11"/>
      <c r="L33" s="11"/>
      <c r="M33" s="11"/>
      <c r="T33" s="19"/>
      <c r="U33" s="19"/>
    </row>
    <row r="34" spans="1:21" x14ac:dyDescent="0.35">
      <c r="A34" s="14">
        <f t="shared" si="0"/>
        <v>30</v>
      </c>
      <c r="B34" s="11"/>
      <c r="C34" s="11"/>
      <c r="D34" s="11"/>
      <c r="E34" s="11"/>
      <c r="G34" s="11"/>
      <c r="H34" s="11"/>
      <c r="I34" s="11"/>
      <c r="J34" s="11"/>
      <c r="K34" s="11"/>
      <c r="L34" s="11"/>
      <c r="M34" s="11"/>
      <c r="T34" s="19"/>
      <c r="U34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E22" sqref="E22"/>
    </sheetView>
  </sheetViews>
  <sheetFormatPr defaultColWidth="9.1796875" defaultRowHeight="14.5" x14ac:dyDescent="0.35"/>
  <cols>
    <col min="1" max="16384" width="9.1796875" style="2"/>
  </cols>
  <sheetData>
    <row r="1" s="56" customFormat="1" ht="15" customHeight="1" x14ac:dyDescent="0.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/>
  </sheetViews>
  <sheetFormatPr defaultColWidth="9.1796875" defaultRowHeight="14.5" x14ac:dyDescent="0.35"/>
  <cols>
    <col min="1" max="16384" width="9.1796875" style="2"/>
  </cols>
  <sheetData>
    <row r="1" s="56" customFormat="1" ht="15" customHeight="1" x14ac:dyDescent="0.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.1796875" defaultRowHeight="14.5" x14ac:dyDescent="0.35"/>
  <cols>
    <col min="1" max="16384" width="9.1796875" style="2"/>
  </cols>
  <sheetData>
    <row r="1" s="56" customFormat="1" ht="15" customHeight="1" x14ac:dyDescent="0.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B1" workbookViewId="0">
      <selection activeCell="B1" sqref="B1"/>
    </sheetView>
  </sheetViews>
  <sheetFormatPr defaultColWidth="9.1796875" defaultRowHeight="14.5" x14ac:dyDescent="0.35"/>
  <cols>
    <col min="1" max="16384" width="9.1796875" style="2"/>
  </cols>
  <sheetData>
    <row r="1" s="56" customFormat="1" ht="15" customHeight="1" x14ac:dyDescent="0.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Details</vt:lpstr>
      <vt:lpstr>Mortality table</vt:lpstr>
      <vt:lpstr>Inputs</vt:lpstr>
      <vt:lpstr>Reserves</vt:lpstr>
      <vt:lpstr>Profit test</vt:lpstr>
      <vt:lpstr>Answer 1</vt:lpstr>
      <vt:lpstr>Answer 2</vt:lpstr>
      <vt:lpstr>Answer 3</vt:lpstr>
      <vt:lpstr>Answer 4</vt:lpstr>
      <vt:lpstr>Answer 5 reserves</vt:lpstr>
      <vt:lpstr>Answer 5 profit test</vt:lpstr>
      <vt:lpstr>Answer 6</vt:lpstr>
      <vt:lpstr>A</vt:lpstr>
      <vt:lpstr>BO</vt:lpstr>
      <vt:lpstr>D</vt:lpstr>
      <vt:lpstr>P</vt:lpstr>
      <vt:lpstr>ProIE</vt:lpstr>
      <vt:lpstr>ProINF</vt:lpstr>
      <vt:lpstr>ProINT</vt:lpstr>
      <vt:lpstr>ProMM</vt:lpstr>
      <vt:lpstr>ProRE</vt:lpstr>
      <vt:lpstr>ProUG</vt:lpstr>
      <vt:lpstr>ResIE</vt:lpstr>
      <vt:lpstr>ResINF</vt:lpstr>
      <vt:lpstr>ResINT</vt:lpstr>
      <vt:lpstr>ResRE</vt:lpstr>
      <vt:lpstr>ResUG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Mitchell</dc:creator>
  <cp:lastModifiedBy>Admin</cp:lastModifiedBy>
  <dcterms:created xsi:type="dcterms:W3CDTF">2017-10-20T14:10:12Z</dcterms:created>
  <dcterms:modified xsi:type="dcterms:W3CDTF">2023-02-06T08:01:11Z</dcterms:modified>
</cp:coreProperties>
</file>