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tirth\OneDrive\Desktop\IAQS\Sem 1\FM\"/>
    </mc:Choice>
  </mc:AlternateContent>
  <xr:revisionPtr revIDLastSave="0" documentId="13_ncr:1_{1FAC1346-6935-42D0-805E-0F6F4CCE424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Q1)Cashflows" sheetId="1" r:id="rId1"/>
    <sheet name="Q2)" sheetId="3" r:id="rId2"/>
    <sheet name="Q3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4" l="1"/>
  <c r="F25" i="4"/>
  <c r="H25" i="4"/>
  <c r="J25" i="4"/>
  <c r="L25" i="4"/>
  <c r="N25" i="4"/>
  <c r="P25" i="4"/>
  <c r="R25" i="4"/>
  <c r="T25" i="4"/>
  <c r="D25" i="4"/>
  <c r="R15" i="4"/>
  <c r="R16" i="4"/>
  <c r="R17" i="4"/>
  <c r="R18" i="4"/>
  <c r="R19" i="4"/>
  <c r="R20" i="4"/>
  <c r="R21" i="4"/>
  <c r="R22" i="4"/>
  <c r="R23" i="4"/>
  <c r="R24" i="4"/>
  <c r="R12" i="4"/>
  <c r="Q2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K8" i="4"/>
  <c r="K24" i="4"/>
  <c r="L4" i="4"/>
  <c r="T15" i="4"/>
  <c r="T16" i="4"/>
  <c r="T17" i="4"/>
  <c r="T18" i="4"/>
  <c r="T19" i="4"/>
  <c r="T20" i="4"/>
  <c r="T21" i="4"/>
  <c r="T22" i="4"/>
  <c r="T23" i="4"/>
  <c r="T24" i="4"/>
  <c r="S15" i="4"/>
  <c r="S16" i="4"/>
  <c r="S17" i="4"/>
  <c r="S18" i="4"/>
  <c r="S19" i="4"/>
  <c r="S20" i="4"/>
  <c r="S21" i="4"/>
  <c r="S22" i="4"/>
  <c r="S23" i="4"/>
  <c r="S24" i="4"/>
  <c r="P15" i="4"/>
  <c r="P16" i="4"/>
  <c r="P17" i="4"/>
  <c r="P18" i="4"/>
  <c r="P19" i="4"/>
  <c r="P20" i="4"/>
  <c r="P21" i="4"/>
  <c r="P22" i="4"/>
  <c r="P23" i="4"/>
  <c r="P24" i="4"/>
  <c r="O15" i="4"/>
  <c r="O16" i="4"/>
  <c r="O17" i="4"/>
  <c r="O18" i="4"/>
  <c r="O19" i="4"/>
  <c r="O20" i="4"/>
  <c r="O21" i="4"/>
  <c r="O22" i="4"/>
  <c r="O23" i="4"/>
  <c r="O24" i="4"/>
  <c r="N15" i="4"/>
  <c r="N16" i="4"/>
  <c r="N17" i="4"/>
  <c r="N18" i="4"/>
  <c r="N19" i="4"/>
  <c r="N20" i="4"/>
  <c r="N21" i="4"/>
  <c r="N22" i="4"/>
  <c r="N23" i="4"/>
  <c r="N24" i="4"/>
  <c r="M15" i="4"/>
  <c r="M16" i="4"/>
  <c r="M17" i="4"/>
  <c r="M18" i="4"/>
  <c r="M19" i="4"/>
  <c r="M20" i="4"/>
  <c r="M21" i="4"/>
  <c r="M22" i="4"/>
  <c r="M23" i="4"/>
  <c r="M24" i="4"/>
  <c r="J15" i="4"/>
  <c r="J16" i="4"/>
  <c r="J17" i="4"/>
  <c r="J18" i="4"/>
  <c r="J19" i="4"/>
  <c r="J20" i="4"/>
  <c r="J21" i="4"/>
  <c r="J22" i="4"/>
  <c r="J23" i="4"/>
  <c r="J24" i="4"/>
  <c r="I15" i="4"/>
  <c r="I16" i="4"/>
  <c r="I17" i="4"/>
  <c r="I18" i="4"/>
  <c r="I19" i="4"/>
  <c r="I20" i="4"/>
  <c r="I21" i="4"/>
  <c r="I22" i="4"/>
  <c r="I23" i="4"/>
  <c r="I24" i="4"/>
  <c r="H15" i="4"/>
  <c r="H16" i="4"/>
  <c r="H17" i="4"/>
  <c r="H18" i="4"/>
  <c r="H19" i="4"/>
  <c r="H20" i="4"/>
  <c r="H21" i="4"/>
  <c r="H22" i="4"/>
  <c r="H23" i="4"/>
  <c r="H24" i="4"/>
  <c r="G15" i="4"/>
  <c r="G16" i="4"/>
  <c r="G17" i="4"/>
  <c r="G18" i="4"/>
  <c r="G19" i="4"/>
  <c r="G20" i="4"/>
  <c r="G21" i="4"/>
  <c r="G22" i="4"/>
  <c r="G23" i="4"/>
  <c r="G24" i="4"/>
  <c r="D4" i="4"/>
  <c r="F15" i="4"/>
  <c r="F16" i="4"/>
  <c r="F17" i="4"/>
  <c r="F18" i="4"/>
  <c r="F19" i="4"/>
  <c r="F20" i="4"/>
  <c r="F21" i="4"/>
  <c r="F22" i="4"/>
  <c r="F23" i="4"/>
  <c r="F24" i="4"/>
  <c r="E15" i="4"/>
  <c r="E16" i="4"/>
  <c r="E17" i="4"/>
  <c r="E18" i="4"/>
  <c r="E19" i="4"/>
  <c r="E20" i="4"/>
  <c r="E21" i="4"/>
  <c r="E22" i="4"/>
  <c r="E23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S14" i="4"/>
  <c r="T14" i="4" s="1"/>
  <c r="R14" i="4"/>
  <c r="O14" i="4"/>
  <c r="P14" i="4" s="1"/>
  <c r="M14" i="4"/>
  <c r="N14" i="4" s="1"/>
  <c r="J14" i="4"/>
  <c r="I14" i="4"/>
  <c r="H14" i="4"/>
  <c r="G14" i="4"/>
  <c r="F14" i="4"/>
  <c r="T13" i="4"/>
  <c r="S13" i="4"/>
  <c r="R13" i="4"/>
  <c r="P13" i="4"/>
  <c r="O13" i="4"/>
  <c r="M13" i="4"/>
  <c r="N13" i="4" s="1"/>
  <c r="J13" i="4"/>
  <c r="I13" i="4"/>
  <c r="H13" i="4"/>
  <c r="G13" i="4"/>
  <c r="F13" i="4"/>
  <c r="E13" i="4"/>
  <c r="T12" i="4"/>
  <c r="S12" i="4"/>
  <c r="P12" i="4"/>
  <c r="O12" i="4"/>
  <c r="M12" i="4"/>
  <c r="N12" i="4" s="1"/>
  <c r="J12" i="4"/>
  <c r="I12" i="4"/>
  <c r="H12" i="4"/>
  <c r="G12" i="4"/>
  <c r="F12" i="4"/>
  <c r="E12" i="4"/>
  <c r="T11" i="4"/>
  <c r="S11" i="4"/>
  <c r="R11" i="4"/>
  <c r="P11" i="4"/>
  <c r="O11" i="4"/>
  <c r="M11" i="4"/>
  <c r="N11" i="4" s="1"/>
  <c r="J11" i="4"/>
  <c r="I11" i="4"/>
  <c r="H11" i="4"/>
  <c r="G11" i="4"/>
  <c r="F11" i="4"/>
  <c r="E11" i="4"/>
  <c r="T10" i="4"/>
  <c r="S10" i="4"/>
  <c r="R10" i="4"/>
  <c r="P10" i="4"/>
  <c r="O10" i="4"/>
  <c r="M10" i="4"/>
  <c r="N10" i="4" s="1"/>
  <c r="J10" i="4"/>
  <c r="I10" i="4"/>
  <c r="H10" i="4"/>
  <c r="G10" i="4"/>
  <c r="F10" i="4"/>
  <c r="E10" i="4"/>
  <c r="D10" i="4"/>
  <c r="T9" i="4"/>
  <c r="S9" i="4"/>
  <c r="R9" i="4"/>
  <c r="P9" i="4"/>
  <c r="O9" i="4"/>
  <c r="M9" i="4"/>
  <c r="N9" i="4" s="1"/>
  <c r="J9" i="4"/>
  <c r="I9" i="4"/>
  <c r="H9" i="4"/>
  <c r="G9" i="4"/>
  <c r="F9" i="4"/>
  <c r="E9" i="4"/>
  <c r="D9" i="4"/>
  <c r="C9" i="4"/>
  <c r="T8" i="4"/>
  <c r="S8" i="4"/>
  <c r="R8" i="4"/>
  <c r="P8" i="4"/>
  <c r="O8" i="4"/>
  <c r="M8" i="4"/>
  <c r="N8" i="4" s="1"/>
  <c r="I8" i="4"/>
  <c r="J8" i="4" s="1"/>
  <c r="H8" i="4"/>
  <c r="G8" i="4"/>
  <c r="E8" i="4"/>
  <c r="F8" i="4" s="1"/>
  <c r="D8" i="4"/>
  <c r="C8" i="4"/>
  <c r="S7" i="4"/>
  <c r="T7" i="4" s="1"/>
  <c r="R7" i="4"/>
  <c r="P7" i="4"/>
  <c r="O7" i="4"/>
  <c r="N7" i="4"/>
  <c r="M7" i="4"/>
  <c r="I7" i="4"/>
  <c r="J7" i="4" s="1"/>
  <c r="H7" i="4"/>
  <c r="G7" i="4"/>
  <c r="E7" i="4"/>
  <c r="F7" i="4" s="1"/>
  <c r="D7" i="4"/>
  <c r="C7" i="4"/>
  <c r="S6" i="4"/>
  <c r="T6" i="4" s="1"/>
  <c r="R6" i="4"/>
  <c r="P6" i="4"/>
  <c r="O6" i="4"/>
  <c r="N6" i="4"/>
  <c r="M6" i="4"/>
  <c r="I6" i="4"/>
  <c r="J6" i="4" s="1"/>
  <c r="H6" i="4"/>
  <c r="G6" i="4"/>
  <c r="E6" i="4"/>
  <c r="F6" i="4" s="1"/>
  <c r="D6" i="4"/>
  <c r="C6" i="4"/>
  <c r="S5" i="4"/>
  <c r="T5" i="4" s="1"/>
  <c r="R5" i="4"/>
  <c r="P5" i="4"/>
  <c r="O5" i="4"/>
  <c r="N5" i="4"/>
  <c r="M5" i="4"/>
  <c r="I5" i="4"/>
  <c r="J5" i="4" s="1"/>
  <c r="H5" i="4"/>
  <c r="G5" i="4"/>
  <c r="E5" i="4"/>
  <c r="F5" i="4" s="1"/>
  <c r="D5" i="4"/>
  <c r="C5" i="4"/>
  <c r="S4" i="4"/>
  <c r="T4" i="4" s="1"/>
  <c r="R4" i="4"/>
  <c r="P4" i="4"/>
  <c r="O4" i="4"/>
  <c r="N4" i="4"/>
  <c r="M4" i="4"/>
  <c r="I4" i="4"/>
  <c r="J4" i="4" s="1"/>
  <c r="H4" i="4"/>
  <c r="G4" i="4"/>
  <c r="E4" i="4"/>
  <c r="F4" i="4" s="1"/>
  <c r="C4" i="4"/>
  <c r="E3" i="4"/>
  <c r="H12" i="3"/>
  <c r="T5" i="3"/>
  <c r="T6" i="3"/>
  <c r="T7" i="3"/>
  <c r="T8" i="3"/>
  <c r="T9" i="3"/>
  <c r="T10" i="3"/>
  <c r="T11" i="3"/>
  <c r="T12" i="3"/>
  <c r="T13" i="3"/>
  <c r="T14" i="3"/>
  <c r="T4" i="3"/>
  <c r="S5" i="3"/>
  <c r="S6" i="3"/>
  <c r="S7" i="3"/>
  <c r="S8" i="3"/>
  <c r="S9" i="3"/>
  <c r="S10" i="3"/>
  <c r="S11" i="3"/>
  <c r="S12" i="3"/>
  <c r="S13" i="3"/>
  <c r="S14" i="3"/>
  <c r="S4" i="3"/>
  <c r="R5" i="3"/>
  <c r="R6" i="3"/>
  <c r="R7" i="3"/>
  <c r="R8" i="3"/>
  <c r="R9" i="3"/>
  <c r="R10" i="3"/>
  <c r="R11" i="3"/>
  <c r="R12" i="3"/>
  <c r="R13" i="3"/>
  <c r="R14" i="3"/>
  <c r="R4" i="3"/>
  <c r="Q14" i="3"/>
  <c r="P5" i="3"/>
  <c r="P6" i="3"/>
  <c r="P7" i="3"/>
  <c r="P8" i="3"/>
  <c r="P9" i="3"/>
  <c r="P10" i="3"/>
  <c r="P11" i="3"/>
  <c r="P12" i="3"/>
  <c r="P13" i="3"/>
  <c r="P14" i="3"/>
  <c r="P4" i="3"/>
  <c r="O5" i="3"/>
  <c r="O6" i="3"/>
  <c r="O7" i="3"/>
  <c r="O8" i="3"/>
  <c r="O9" i="3"/>
  <c r="O10" i="3"/>
  <c r="O11" i="3"/>
  <c r="O12" i="3"/>
  <c r="O13" i="3"/>
  <c r="O14" i="3"/>
  <c r="O4" i="3"/>
  <c r="N5" i="3"/>
  <c r="N6" i="3"/>
  <c r="N7" i="3"/>
  <c r="N8" i="3"/>
  <c r="N9" i="3"/>
  <c r="N10" i="3"/>
  <c r="N11" i="3"/>
  <c r="N12" i="3"/>
  <c r="N13" i="3"/>
  <c r="N14" i="3"/>
  <c r="N4" i="3"/>
  <c r="M5" i="3"/>
  <c r="M6" i="3"/>
  <c r="M7" i="3"/>
  <c r="M8" i="3"/>
  <c r="M9" i="3"/>
  <c r="M10" i="3"/>
  <c r="M11" i="3"/>
  <c r="M12" i="3"/>
  <c r="M13" i="3"/>
  <c r="M14" i="3"/>
  <c r="M4" i="3"/>
  <c r="L5" i="3"/>
  <c r="L6" i="3"/>
  <c r="L7" i="3"/>
  <c r="L8" i="3"/>
  <c r="L9" i="3"/>
  <c r="L10" i="3"/>
  <c r="L11" i="3"/>
  <c r="L12" i="3"/>
  <c r="L13" i="3"/>
  <c r="L14" i="3"/>
  <c r="L4" i="3"/>
  <c r="K8" i="3"/>
  <c r="J5" i="3"/>
  <c r="J6" i="3"/>
  <c r="J7" i="3"/>
  <c r="J8" i="3"/>
  <c r="J9" i="3"/>
  <c r="J10" i="3"/>
  <c r="J11" i="3"/>
  <c r="J12" i="3"/>
  <c r="J13" i="3"/>
  <c r="J14" i="3"/>
  <c r="J4" i="3"/>
  <c r="I5" i="3"/>
  <c r="I6" i="3"/>
  <c r="I7" i="3"/>
  <c r="I8" i="3"/>
  <c r="I9" i="3"/>
  <c r="I10" i="3"/>
  <c r="I11" i="3"/>
  <c r="I12" i="3"/>
  <c r="I13" i="3"/>
  <c r="I14" i="3"/>
  <c r="I4" i="3"/>
  <c r="H5" i="3"/>
  <c r="H6" i="3"/>
  <c r="H7" i="3"/>
  <c r="H8" i="3"/>
  <c r="H9" i="3"/>
  <c r="H10" i="3"/>
  <c r="H11" i="3"/>
  <c r="H13" i="3"/>
  <c r="H14" i="3"/>
  <c r="H4" i="3"/>
  <c r="G5" i="3"/>
  <c r="G6" i="3"/>
  <c r="G7" i="3"/>
  <c r="G8" i="3"/>
  <c r="G9" i="3"/>
  <c r="G10" i="3"/>
  <c r="G11" i="3"/>
  <c r="G12" i="3"/>
  <c r="G13" i="3"/>
  <c r="G14" i="3"/>
  <c r="G4" i="3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19" i="1"/>
  <c r="F5" i="3"/>
  <c r="F6" i="3"/>
  <c r="F7" i="3"/>
  <c r="F8" i="3"/>
  <c r="F9" i="3"/>
  <c r="F10" i="3"/>
  <c r="F11" i="3"/>
  <c r="F12" i="3"/>
  <c r="F13" i="3"/>
  <c r="F14" i="3"/>
  <c r="D5" i="3"/>
  <c r="D6" i="3"/>
  <c r="D7" i="3"/>
  <c r="D8" i="3"/>
  <c r="D9" i="3"/>
  <c r="D10" i="3"/>
  <c r="D11" i="3"/>
  <c r="D12" i="3"/>
  <c r="D13" i="3"/>
  <c r="D14" i="3"/>
  <c r="E4" i="3"/>
  <c r="F4" i="3" s="1"/>
  <c r="E5" i="3"/>
  <c r="E6" i="3"/>
  <c r="E7" i="3"/>
  <c r="E8" i="3"/>
  <c r="E9" i="3"/>
  <c r="E10" i="3"/>
  <c r="E11" i="3"/>
  <c r="E12" i="3"/>
  <c r="E13" i="3"/>
  <c r="E14" i="3"/>
  <c r="E3" i="3"/>
  <c r="C5" i="3"/>
  <c r="C6" i="3"/>
  <c r="C7" i="3"/>
  <c r="C8" i="3"/>
  <c r="C9" i="3"/>
  <c r="C10" i="3"/>
  <c r="C11" i="3"/>
  <c r="C12" i="3"/>
  <c r="C13" i="3"/>
  <c r="C14" i="3"/>
  <c r="C4" i="3"/>
  <c r="D4" i="3" s="1"/>
  <c r="V20" i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U20" i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X20" i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P21" i="1"/>
  <c r="P22" i="1"/>
  <c r="P23" i="1" s="1"/>
  <c r="P24" i="1" s="1"/>
  <c r="P25" i="1" s="1"/>
  <c r="P26" i="1" s="1"/>
  <c r="P27" i="1" s="1"/>
  <c r="P28" i="1" s="1"/>
  <c r="P29" i="1" s="1"/>
  <c r="P30" i="1" s="1"/>
  <c r="O39" i="1"/>
  <c r="O21" i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L21" i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K21" i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I22" i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H21" i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G21" i="1"/>
  <c r="G22" i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F21" i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E21" i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20" i="1"/>
  <c r="AC20" i="1"/>
  <c r="AC19" i="1"/>
  <c r="AA19" i="1"/>
  <c r="AE31" i="1"/>
  <c r="AE32" i="1" s="1"/>
  <c r="AE33" i="1" s="1"/>
  <c r="AE34" i="1" s="1"/>
  <c r="AE35" i="1" s="1"/>
  <c r="AE36" i="1" s="1"/>
  <c r="AE37" i="1" s="1"/>
  <c r="AE38" i="1" s="1"/>
  <c r="AE39" i="1" s="1"/>
  <c r="AE20" i="1"/>
  <c r="AE21" i="1" s="1"/>
  <c r="AE22" i="1" s="1"/>
  <c r="AE23" i="1" s="1"/>
  <c r="AE24" i="1" s="1"/>
  <c r="AE25" i="1" s="1"/>
  <c r="AE26" i="1" s="1"/>
  <c r="AE27" i="1" s="1"/>
  <c r="AE28" i="1" s="1"/>
  <c r="AE29" i="1" s="1"/>
  <c r="W20" i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T20" i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Q19" i="1"/>
  <c r="P20" i="1"/>
  <c r="O20" i="1"/>
  <c r="L20" i="1"/>
  <c r="K20" i="1"/>
  <c r="I21" i="1"/>
  <c r="G7" i="1"/>
  <c r="G8" i="1" s="1"/>
  <c r="F7" i="1"/>
  <c r="F8" i="1" s="1"/>
  <c r="E19" i="1" s="1"/>
  <c r="C7" i="1"/>
  <c r="C9" i="1" s="1"/>
  <c r="F15" i="3" l="1"/>
  <c r="H15" i="3"/>
  <c r="T15" i="3"/>
  <c r="D15" i="3"/>
  <c r="N15" i="3"/>
  <c r="J15" i="3"/>
  <c r="L15" i="3"/>
  <c r="P15" i="3"/>
  <c r="R15" i="3"/>
  <c r="P31" i="1"/>
  <c r="P32" i="1" s="1"/>
  <c r="P33" i="1" s="1"/>
  <c r="P34" i="1" s="1"/>
  <c r="P35" i="1" s="1"/>
  <c r="P36" i="1" s="1"/>
  <c r="P37" i="1" s="1"/>
  <c r="P38" i="1" s="1"/>
  <c r="P39" i="1" s="1"/>
  <c r="Q20" i="1"/>
  <c r="F19" i="1"/>
  <c r="H19" i="1"/>
  <c r="G19" i="1"/>
  <c r="B17" i="3" l="1"/>
  <c r="F20" i="1"/>
  <c r="G20" i="1"/>
  <c r="M19" i="1"/>
  <c r="Y19" i="1" s="1"/>
  <c r="H20" i="1"/>
  <c r="J19" i="1"/>
  <c r="N19" i="1" s="1"/>
  <c r="Z19" i="1" s="1"/>
  <c r="Y29" i="1" l="1"/>
  <c r="AA29" i="1"/>
  <c r="Y22" i="1"/>
  <c r="AA22" i="1"/>
  <c r="Y28" i="1"/>
  <c r="AA28" i="1"/>
  <c r="Y21" i="1"/>
  <c r="AA21" i="1"/>
  <c r="Y23" i="1"/>
  <c r="AA23" i="1"/>
  <c r="Y27" i="1"/>
  <c r="AA27" i="1"/>
  <c r="Y25" i="1"/>
  <c r="AA25" i="1"/>
  <c r="Y26" i="1"/>
  <c r="AA26" i="1"/>
  <c r="Y20" i="1"/>
  <c r="AA20" i="1"/>
  <c r="Y24" i="1"/>
  <c r="AA24" i="1"/>
  <c r="J20" i="1"/>
  <c r="Z20" i="1" s="1"/>
  <c r="Y30" i="1" l="1"/>
  <c r="AA30" i="1"/>
  <c r="Z30" i="1" l="1"/>
  <c r="AC30" i="1"/>
  <c r="Z21" i="1"/>
  <c r="AC21" i="1"/>
  <c r="Z31" i="1"/>
  <c r="AC31" i="1"/>
  <c r="Y31" i="1"/>
  <c r="AA31" i="1"/>
  <c r="Z32" i="1" l="1"/>
  <c r="AC32" i="1"/>
  <c r="Z22" i="1"/>
  <c r="AC22" i="1"/>
  <c r="Y32" i="1"/>
  <c r="AA32" i="1"/>
  <c r="Z33" i="1" l="1"/>
  <c r="AC33" i="1"/>
  <c r="Y33" i="1"/>
  <c r="AA33" i="1"/>
  <c r="Z34" i="1" l="1"/>
  <c r="AC34" i="1"/>
  <c r="Z23" i="1"/>
  <c r="AC23" i="1"/>
  <c r="Y34" i="1"/>
  <c r="AA34" i="1"/>
  <c r="Z35" i="1" l="1"/>
  <c r="AC35" i="1"/>
  <c r="Z24" i="1"/>
  <c r="AC24" i="1"/>
  <c r="Y35" i="1"/>
  <c r="AA35" i="1"/>
  <c r="Z25" i="1" l="1"/>
  <c r="AC25" i="1"/>
  <c r="Z36" i="1"/>
  <c r="AC36" i="1"/>
  <c r="Y36" i="1"/>
  <c r="AA36" i="1"/>
  <c r="Z37" i="1" l="1"/>
  <c r="AC37" i="1"/>
  <c r="Z27" i="1"/>
  <c r="AC27" i="1"/>
  <c r="Z26" i="1"/>
  <c r="AC26" i="1"/>
  <c r="Y37" i="1"/>
  <c r="AA37" i="1"/>
  <c r="Z38" i="1" l="1"/>
  <c r="AC38" i="1"/>
  <c r="Z28" i="1"/>
  <c r="AC28" i="1"/>
  <c r="Y38" i="1"/>
  <c r="AA38" i="1"/>
  <c r="Z39" i="1" l="1"/>
  <c r="AC39" i="1"/>
  <c r="Z29" i="1"/>
  <c r="AC29" i="1"/>
  <c r="Y39" i="1"/>
  <c r="AA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Tirth Parmar</author>
  </authors>
  <commentList>
    <comment ref="C5" authorId="0" shapeId="0" xr:uid="{B0C8FCFE-0A29-4AC2-9DF9-BB7EC0287267}">
      <text>
        <r>
          <rPr>
            <b/>
            <sz val="9"/>
            <color indexed="81"/>
            <rFont val="Tahoma"/>
            <family val="2"/>
          </rPr>
          <t>Tirth Parmar:</t>
        </r>
        <r>
          <rPr>
            <sz val="9"/>
            <color indexed="81"/>
            <rFont val="Tahoma"/>
            <family val="2"/>
          </rPr>
          <t xml:space="preserve">
Price in dollars($)</t>
        </r>
      </text>
    </comment>
    <comment ref="E5" authorId="0" shapeId="0" xr:uid="{982F1FB4-E78D-40FF-B078-EAA221BCB3D1}">
      <text>
        <r>
          <rPr>
            <b/>
            <sz val="9"/>
            <color indexed="81"/>
            <rFont val="Tahoma"/>
            <family val="2"/>
          </rPr>
          <t>Tirth Parmar:</t>
        </r>
        <r>
          <rPr>
            <sz val="9"/>
            <color indexed="81"/>
            <rFont val="Tahoma"/>
            <family val="2"/>
          </rPr>
          <t xml:space="preserve">
Without Alternium</t>
        </r>
      </text>
    </comment>
    <comment ref="C7" authorId="0" shapeId="0" xr:uid="{F5B98E2A-F1AA-4DB8-B972-88A19B507C10}">
      <text>
        <r>
          <rPr>
            <b/>
            <sz val="9"/>
            <color indexed="81"/>
            <rFont val="Tahoma"/>
            <family val="2"/>
          </rPr>
          <t>Tirth Parmar:</t>
        </r>
        <r>
          <rPr>
            <sz val="9"/>
            <color indexed="81"/>
            <rFont val="Tahoma"/>
            <family val="2"/>
          </rPr>
          <t xml:space="preserve">
Price in dollars($)</t>
        </r>
      </text>
    </comment>
    <comment ref="C8" authorId="0" shapeId="0" xr:uid="{4D434C74-AE2A-4D8B-9CDF-34B4F1D0CF85}">
      <text>
        <r>
          <rPr>
            <b/>
            <sz val="9"/>
            <color indexed="81"/>
            <rFont val="Tahoma"/>
            <family val="2"/>
          </rPr>
          <t>Tirth Parmar:</t>
        </r>
        <r>
          <rPr>
            <sz val="9"/>
            <color indexed="81"/>
            <rFont val="Tahoma"/>
            <family val="2"/>
          </rPr>
          <t xml:space="preserve">
Price in dollars($)</t>
        </r>
      </text>
    </comment>
  </commentList>
</comments>
</file>

<file path=xl/sharedStrings.xml><?xml version="1.0" encoding="utf-8"?>
<sst xmlns="http://schemas.openxmlformats.org/spreadsheetml/2006/main" count="108" uniqueCount="46">
  <si>
    <t>Stock Price per Share</t>
  </si>
  <si>
    <t>No.of Shares in Circulation</t>
  </si>
  <si>
    <t>Amount of Capital Raised by Equity</t>
  </si>
  <si>
    <t>Amount Raised by Debt</t>
  </si>
  <si>
    <t>Gearing/Leverage</t>
  </si>
  <si>
    <t>Marginal Tax Rate</t>
  </si>
  <si>
    <t>US Treasury Bond Rate</t>
  </si>
  <si>
    <t>Inflation Rate</t>
  </si>
  <si>
    <t>Cost of Capital</t>
  </si>
  <si>
    <t>Universal Swaps (New Project = The Alternium)</t>
  </si>
  <si>
    <t>Year</t>
  </si>
  <si>
    <t>Time Period</t>
  </si>
  <si>
    <t>R&amp;D Expenses</t>
  </si>
  <si>
    <t>Introductory Costs</t>
  </si>
  <si>
    <t>US and Russia</t>
  </si>
  <si>
    <t>International</t>
  </si>
  <si>
    <t>No.of Participants(Universal Swaps)</t>
  </si>
  <si>
    <t>Without Alternium</t>
  </si>
  <si>
    <t>With Alternium</t>
  </si>
  <si>
    <t>Alternium Participants</t>
  </si>
  <si>
    <t>International(Universal Swaps)</t>
  </si>
  <si>
    <t>Charges to Participants</t>
  </si>
  <si>
    <t>No.of Participants</t>
  </si>
  <si>
    <t>Cost to Participants</t>
  </si>
  <si>
    <t>Cost to Particiapnts(Universal Swaps)</t>
  </si>
  <si>
    <t>Cost to Participants(Alternium)</t>
  </si>
  <si>
    <t>Cost to Company</t>
  </si>
  <si>
    <t>Cost to Company(Per Participant)</t>
  </si>
  <si>
    <t>Cost to Particiapnts(Per Participants)</t>
  </si>
  <si>
    <t>Server Facilities and Costs</t>
  </si>
  <si>
    <t>G&amp;A Expenses</t>
  </si>
  <si>
    <t>Advertising</t>
  </si>
  <si>
    <t>Side Benefits</t>
  </si>
  <si>
    <t>Total Revenue(Yearly)</t>
  </si>
  <si>
    <t>Working Capital</t>
  </si>
  <si>
    <t>Inventory</t>
  </si>
  <si>
    <t>Accounts Payable</t>
  </si>
  <si>
    <t>Net Present Value</t>
  </si>
  <si>
    <t>NPV</t>
  </si>
  <si>
    <t>i</t>
  </si>
  <si>
    <t>Server Cost</t>
  </si>
  <si>
    <t>Total NPV</t>
  </si>
  <si>
    <t>IRR</t>
  </si>
  <si>
    <t>Assumptions</t>
  </si>
  <si>
    <t>The growth rate remains constant and hopefully the business is still profitable by the end.</t>
  </si>
  <si>
    <t>the tenure is 20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</si>
</sst>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&quot;₹&quot;\ #,##0.00"/>
    <numFmt numFmtId="165" formatCode="_-[$$-409]* #,##0.00_ ;_-[$$-409]* \-#,##0.00\ ;_-[$$-409]* &quot;-&quot;??_ ;_-@_ "/>
    <numFmt numFmtId="166" formatCode="_ * #,##0_ ;_ * \-#,##0_ ;_ * &quot;-&quot;??_ ;_ @_ "/>
    <numFmt numFmtId="167" formatCode="0.0%"/>
    <numFmt numFmtId="168" formatCode="_ * #,##0_ ;_ * \-#,##0_ ;_ * &quot;-&quot;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0" fontId="6" fillId="0" borderId="2" xfId="0" applyFont="1" applyBorder="1"/>
    <xf numFmtId="0" fontId="6" fillId="0" borderId="4" xfId="0" applyFont="1" applyBorder="1"/>
    <xf numFmtId="0" fontId="6" fillId="0" borderId="6" xfId="0" applyFont="1" applyBorder="1"/>
    <xf numFmtId="2" fontId="6" fillId="0" borderId="3" xfId="1" applyNumberFormat="1" applyFont="1" applyBorder="1" applyAlignment="1">
      <alignment horizontal="right"/>
    </xf>
    <xf numFmtId="166" fontId="6" fillId="0" borderId="5" xfId="1" applyNumberFormat="1" applyFont="1" applyBorder="1"/>
    <xf numFmtId="166" fontId="6" fillId="0" borderId="5" xfId="1" applyNumberFormat="1" applyFont="1" applyBorder="1" applyAlignment="1">
      <alignment horizontal="right"/>
    </xf>
    <xf numFmtId="12" fontId="6" fillId="0" borderId="5" xfId="1" applyNumberFormat="1" applyFont="1" applyBorder="1"/>
    <xf numFmtId="9" fontId="6" fillId="0" borderId="5" xfId="1" applyNumberFormat="1" applyFont="1" applyBorder="1"/>
    <xf numFmtId="9" fontId="6" fillId="0" borderId="5" xfId="2" applyFont="1" applyBorder="1"/>
    <xf numFmtId="167" fontId="6" fillId="0" borderId="5" xfId="2" applyNumberFormat="1" applyFont="1" applyBorder="1"/>
    <xf numFmtId="0" fontId="6" fillId="2" borderId="8" xfId="0" applyFont="1" applyFill="1" applyBorder="1"/>
    <xf numFmtId="166" fontId="6" fillId="2" borderId="1" xfId="1" applyNumberFormat="1" applyFont="1" applyFill="1" applyBorder="1"/>
    <xf numFmtId="166" fontId="6" fillId="2" borderId="1" xfId="0" applyNumberFormat="1" applyFont="1" applyFill="1" applyBorder="1"/>
    <xf numFmtId="166" fontId="6" fillId="2" borderId="9" xfId="0" applyNumberFormat="1" applyFont="1" applyFill="1" applyBorder="1"/>
    <xf numFmtId="0" fontId="6" fillId="3" borderId="3" xfId="0" applyFont="1" applyFill="1" applyBorder="1"/>
    <xf numFmtId="166" fontId="6" fillId="3" borderId="5" xfId="1" applyNumberFormat="1" applyFont="1" applyFill="1" applyBorder="1"/>
    <xf numFmtId="166" fontId="6" fillId="3" borderId="5" xfId="0" applyNumberFormat="1" applyFont="1" applyFill="1" applyBorder="1"/>
    <xf numFmtId="166" fontId="6" fillId="3" borderId="7" xfId="0" applyNumberFormat="1" applyFont="1" applyFill="1" applyBorder="1"/>
    <xf numFmtId="0" fontId="6" fillId="0" borderId="1" xfId="0" applyFont="1" applyBorder="1"/>
    <xf numFmtId="164" fontId="6" fillId="0" borderId="6" xfId="1" applyNumberFormat="1" applyFont="1" applyBorder="1"/>
    <xf numFmtId="1" fontId="6" fillId="0" borderId="7" xfId="2" applyNumberFormat="1" applyFont="1" applyFill="1" applyBorder="1"/>
    <xf numFmtId="164" fontId="6" fillId="0" borderId="0" xfId="1" applyNumberFormat="1" applyFont="1" applyBorder="1"/>
    <xf numFmtId="1" fontId="6" fillId="0" borderId="0" xfId="2" applyNumberFormat="1" applyFont="1" applyFill="1" applyBorder="1"/>
    <xf numFmtId="0" fontId="0" fillId="0" borderId="1" xfId="0" applyBorder="1"/>
    <xf numFmtId="1" fontId="0" fillId="0" borderId="1" xfId="1" applyNumberFormat="1" applyFont="1" applyBorder="1"/>
    <xf numFmtId="166" fontId="5" fillId="0" borderId="1" xfId="1" applyNumberFormat="1" applyFont="1" applyBorder="1"/>
    <xf numFmtId="166" fontId="0" fillId="4" borderId="1" xfId="0" applyNumberFormat="1" applyFill="1" applyBorder="1"/>
    <xf numFmtId="166" fontId="0" fillId="3" borderId="1" xfId="0" applyNumberFormat="1" applyFill="1" applyBorder="1"/>
    <xf numFmtId="166" fontId="0" fillId="5" borderId="1" xfId="0" applyNumberFormat="1" applyFill="1" applyBorder="1"/>
    <xf numFmtId="166" fontId="7" fillId="0" borderId="1" xfId="1" applyNumberFormat="1" applyFont="1" applyBorder="1"/>
    <xf numFmtId="166" fontId="7" fillId="0" borderId="1" xfId="0" applyNumberFormat="1" applyFont="1" applyBorder="1"/>
    <xf numFmtId="2" fontId="0" fillId="0" borderId="1" xfId="0" applyNumberFormat="1" applyBorder="1"/>
    <xf numFmtId="43" fontId="0" fillId="0" borderId="1" xfId="0" applyNumberFormat="1" applyBorder="1"/>
    <xf numFmtId="43" fontId="0" fillId="0" borderId="1" xfId="0" applyNumberFormat="1" applyFont="1" applyBorder="1"/>
    <xf numFmtId="166" fontId="0" fillId="0" borderId="1" xfId="1" applyNumberFormat="1" applyFont="1" applyBorder="1"/>
    <xf numFmtId="168" fontId="0" fillId="0" borderId="1" xfId="0" applyNumberFormat="1" applyBorder="1"/>
    <xf numFmtId="168" fontId="5" fillId="0" borderId="1" xfId="0" applyNumberFormat="1" applyFont="1" applyBorder="1"/>
    <xf numFmtId="168" fontId="7" fillId="0" borderId="1" xfId="0" applyNumberFormat="1" applyFont="1" applyBorder="1"/>
    <xf numFmtId="166" fontId="5" fillId="0" borderId="1" xfId="0" applyNumberFormat="1" applyFont="1" applyBorder="1"/>
    <xf numFmtId="166" fontId="0" fillId="0" borderId="1" xfId="0" applyNumberFormat="1" applyBorder="1"/>
    <xf numFmtId="166" fontId="8" fillId="0" borderId="1" xfId="1" applyNumberFormat="1" applyFont="1" applyBorder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/>
    <xf numFmtId="0" fontId="0" fillId="0" borderId="1" xfId="0" applyBorder="1" applyAlignment="1"/>
    <xf numFmtId="0" fontId="6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6" fontId="0" fillId="0" borderId="0" xfId="0" applyNumberFormat="1"/>
    <xf numFmtId="0" fontId="8" fillId="0" borderId="1" xfId="0" applyFont="1" applyBorder="1"/>
    <xf numFmtId="9" fontId="0" fillId="0" borderId="1" xfId="0" applyNumberFormat="1" applyBorder="1"/>
    <xf numFmtId="0" fontId="0" fillId="0" borderId="0" xfId="0" applyAlignment="1"/>
    <xf numFmtId="0" fontId="0" fillId="0" borderId="12" xfId="0" applyBorder="1"/>
    <xf numFmtId="166" fontId="5" fillId="0" borderId="12" xfId="1" applyNumberFormat="1" applyFont="1" applyBorder="1"/>
    <xf numFmtId="166" fontId="7" fillId="0" borderId="12" xfId="1" applyNumberFormat="1" applyFont="1" applyBorder="1"/>
    <xf numFmtId="166" fontId="0" fillId="0" borderId="12" xfId="1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" fontId="0" fillId="0" borderId="12" xfId="1" applyNumberFormat="1" applyFont="1" applyBorder="1"/>
    <xf numFmtId="166" fontId="0" fillId="4" borderId="12" xfId="0" applyNumberFormat="1" applyFill="1" applyBorder="1"/>
    <xf numFmtId="166" fontId="0" fillId="3" borderId="12" xfId="0" applyNumberFormat="1" applyFill="1" applyBorder="1"/>
    <xf numFmtId="166" fontId="0" fillId="5" borderId="12" xfId="1" applyNumberFormat="1" applyFont="1" applyFill="1" applyBorder="1"/>
    <xf numFmtId="166" fontId="7" fillId="0" borderId="12" xfId="0" applyNumberFormat="1" applyFont="1" applyBorder="1"/>
    <xf numFmtId="166" fontId="0" fillId="0" borderId="12" xfId="0" applyNumberFormat="1" applyFont="1" applyBorder="1"/>
    <xf numFmtId="43" fontId="0" fillId="0" borderId="12" xfId="0" applyNumberFormat="1" applyBorder="1"/>
    <xf numFmtId="166" fontId="8" fillId="0" borderId="12" xfId="1" applyNumberFormat="1" applyFont="1" applyBorder="1"/>
    <xf numFmtId="0" fontId="0" fillId="0" borderId="2" xfId="0" applyBorder="1" applyAlignment="1"/>
    <xf numFmtId="0" fontId="0" fillId="0" borderId="8" xfId="0" applyBorder="1" applyAlignment="1"/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164" fontId="6" fillId="0" borderId="9" xfId="1" applyNumberFormat="1" applyFont="1" applyBorder="1"/>
    <xf numFmtId="0" fontId="6" fillId="0" borderId="9" xfId="0" applyFont="1" applyBorder="1"/>
    <xf numFmtId="0" fontId="6" fillId="0" borderId="9" xfId="0" applyFont="1" applyFill="1" applyBorder="1"/>
    <xf numFmtId="0" fontId="6" fillId="0" borderId="7" xfId="0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9"/>
  <sheetViews>
    <sheetView topLeftCell="T17" zoomScale="98" zoomScaleNormal="98" workbookViewId="0">
      <selection activeCell="E14" sqref="E14"/>
    </sheetView>
  </sheetViews>
  <sheetFormatPr defaultRowHeight="14.4" x14ac:dyDescent="0.3"/>
  <cols>
    <col min="1" max="1" width="20.21875" customWidth="1"/>
    <col min="2" max="2" width="31.33203125" style="1" customWidth="1"/>
    <col min="3" max="3" width="17.5546875" customWidth="1"/>
    <col min="4" max="4" width="23.109375" customWidth="1"/>
    <col min="5" max="5" width="31.6640625" customWidth="1"/>
    <col min="6" max="6" width="17.88671875" customWidth="1"/>
    <col min="7" max="7" width="19.109375" customWidth="1"/>
    <col min="8" max="8" width="18" customWidth="1"/>
    <col min="9" max="9" width="19.77734375" customWidth="1"/>
    <col min="10" max="10" width="27.109375" customWidth="1"/>
    <col min="11" max="11" width="33" customWidth="1"/>
    <col min="12" max="12" width="27.44140625" customWidth="1"/>
    <col min="13" max="13" width="18.44140625" customWidth="1"/>
    <col min="14" max="14" width="15.77734375" customWidth="1"/>
    <col min="15" max="15" width="13.21875" customWidth="1"/>
    <col min="16" max="16" width="12.6640625" customWidth="1"/>
    <col min="17" max="17" width="14.77734375" customWidth="1"/>
    <col min="18" max="18" width="17" customWidth="1"/>
    <col min="19" max="19" width="17.33203125" customWidth="1"/>
    <col min="20" max="20" width="23" customWidth="1"/>
    <col min="21" max="21" width="17.33203125" customWidth="1"/>
    <col min="22" max="22" width="15.77734375" customWidth="1"/>
    <col min="23" max="23" width="17.109375" customWidth="1"/>
    <col min="24" max="24" width="14.88671875" customWidth="1"/>
    <col min="25" max="25" width="17.109375" customWidth="1"/>
    <col min="26" max="26" width="15.77734375" customWidth="1"/>
    <col min="27" max="27" width="16.109375" customWidth="1"/>
    <col min="28" max="28" width="16.21875" customWidth="1"/>
    <col min="29" max="29" width="14.33203125" customWidth="1"/>
    <col min="30" max="30" width="16.21875" customWidth="1"/>
    <col min="31" max="31" width="13.21875" customWidth="1"/>
  </cols>
  <sheetData>
    <row r="1" spans="1:31" ht="18" x14ac:dyDescent="0.35">
      <c r="A1" s="47" t="s">
        <v>9</v>
      </c>
      <c r="B1" s="47"/>
    </row>
    <row r="2" spans="1:31" x14ac:dyDescent="0.3">
      <c r="B2" s="2"/>
    </row>
    <row r="4" spans="1:31" ht="15" thickBot="1" x14ac:dyDescent="0.35"/>
    <row r="5" spans="1:31" x14ac:dyDescent="0.3">
      <c r="B5" s="3" t="s">
        <v>0</v>
      </c>
      <c r="C5" s="6">
        <v>87.5</v>
      </c>
      <c r="E5" s="3" t="s">
        <v>16</v>
      </c>
      <c r="F5" s="13" t="s">
        <v>14</v>
      </c>
      <c r="G5" s="17" t="s">
        <v>15</v>
      </c>
    </row>
    <row r="6" spans="1:31" x14ac:dyDescent="0.3">
      <c r="B6" s="4" t="s">
        <v>1</v>
      </c>
      <c r="C6" s="7">
        <v>251430000</v>
      </c>
      <c r="E6" s="4">
        <v>2020</v>
      </c>
      <c r="F6" s="14">
        <v>45000000</v>
      </c>
      <c r="G6" s="18">
        <v>30000000</v>
      </c>
    </row>
    <row r="7" spans="1:31" x14ac:dyDescent="0.3">
      <c r="B7" s="4" t="s">
        <v>2</v>
      </c>
      <c r="C7" s="8">
        <f>C5*C6</f>
        <v>22000125000</v>
      </c>
      <c r="E7" s="4">
        <v>2021</v>
      </c>
      <c r="F7" s="15">
        <f>F6*(1+5%)</f>
        <v>47250000</v>
      </c>
      <c r="G7" s="19">
        <f>G6*(1+8%)</f>
        <v>32400000.000000004</v>
      </c>
    </row>
    <row r="8" spans="1:31" ht="15" thickBot="1" x14ac:dyDescent="0.35">
      <c r="B8" s="4" t="s">
        <v>3</v>
      </c>
      <c r="C8" s="7">
        <v>2432000000</v>
      </c>
      <c r="E8" s="5">
        <v>2022</v>
      </c>
      <c r="F8" s="16">
        <f>F7*(1+5%)</f>
        <v>49612500</v>
      </c>
      <c r="G8" s="20">
        <f>G7*(1+8%)</f>
        <v>34992000.000000007</v>
      </c>
    </row>
    <row r="9" spans="1:31" x14ac:dyDescent="0.3">
      <c r="B9" s="4" t="s">
        <v>4</v>
      </c>
      <c r="C9" s="9">
        <f>C8/C7</f>
        <v>0.11054482644984971</v>
      </c>
    </row>
    <row r="10" spans="1:31" x14ac:dyDescent="0.3">
      <c r="B10" s="4" t="s">
        <v>5</v>
      </c>
      <c r="C10" s="10">
        <v>0.1</v>
      </c>
    </row>
    <row r="11" spans="1:31" x14ac:dyDescent="0.3">
      <c r="B11" s="4" t="s">
        <v>6</v>
      </c>
      <c r="C11" s="11">
        <v>0.02</v>
      </c>
    </row>
    <row r="12" spans="1:31" x14ac:dyDescent="0.3">
      <c r="B12" s="4" t="s">
        <v>7</v>
      </c>
      <c r="C12" s="12">
        <v>1.4999999999999999E-2</v>
      </c>
    </row>
    <row r="13" spans="1:31" x14ac:dyDescent="0.3">
      <c r="B13" s="4" t="s">
        <v>8</v>
      </c>
      <c r="C13" s="11">
        <v>0.11</v>
      </c>
    </row>
    <row r="14" spans="1:31" ht="15" thickBot="1" x14ac:dyDescent="0.35">
      <c r="B14" s="22" t="s">
        <v>21</v>
      </c>
      <c r="C14" s="23">
        <v>100</v>
      </c>
    </row>
    <row r="15" spans="1:31" ht="15" thickBot="1" x14ac:dyDescent="0.35">
      <c r="B15" s="24"/>
      <c r="C15" s="25"/>
    </row>
    <row r="16" spans="1:31" x14ac:dyDescent="0.3">
      <c r="A16" s="70"/>
      <c r="B16" s="71"/>
      <c r="C16" s="71"/>
      <c r="D16" s="71"/>
      <c r="E16" s="72" t="s">
        <v>22</v>
      </c>
      <c r="F16" s="73"/>
      <c r="G16" s="73"/>
      <c r="H16" s="73"/>
      <c r="I16" s="73"/>
      <c r="J16" s="73"/>
      <c r="K16" s="72" t="s">
        <v>28</v>
      </c>
      <c r="L16" s="72"/>
      <c r="M16" s="72" t="s">
        <v>23</v>
      </c>
      <c r="N16" s="72"/>
      <c r="O16" s="72" t="s">
        <v>27</v>
      </c>
      <c r="P16" s="72"/>
      <c r="Q16" s="72"/>
      <c r="R16" s="72" t="s">
        <v>26</v>
      </c>
      <c r="S16" s="72"/>
      <c r="T16" s="71"/>
      <c r="U16" s="71"/>
      <c r="V16" s="71"/>
      <c r="W16" s="71"/>
      <c r="X16" s="71"/>
      <c r="Y16" s="74"/>
      <c r="Z16" s="75"/>
      <c r="AA16" s="72" t="s">
        <v>34</v>
      </c>
      <c r="AB16" s="72"/>
      <c r="AC16" s="72"/>
      <c r="AD16" s="72"/>
      <c r="AE16" s="76"/>
    </row>
    <row r="17" spans="1:31" x14ac:dyDescent="0.3">
      <c r="A17" s="77"/>
      <c r="B17" s="48"/>
      <c r="C17" s="48"/>
      <c r="D17" s="48"/>
      <c r="E17" s="45" t="s">
        <v>17</v>
      </c>
      <c r="F17" s="45"/>
      <c r="G17" s="45" t="s">
        <v>18</v>
      </c>
      <c r="H17" s="45"/>
      <c r="I17" s="48"/>
      <c r="J17" s="48"/>
      <c r="K17" s="45"/>
      <c r="L17" s="45"/>
      <c r="M17" s="45"/>
      <c r="N17" s="45"/>
      <c r="O17" s="45" t="s">
        <v>17</v>
      </c>
      <c r="P17" s="46"/>
      <c r="Q17" s="21" t="s">
        <v>18</v>
      </c>
      <c r="R17" s="45"/>
      <c r="S17" s="45"/>
      <c r="T17" s="48"/>
      <c r="U17" s="45" t="s">
        <v>30</v>
      </c>
      <c r="V17" s="45"/>
      <c r="W17" s="45" t="s">
        <v>31</v>
      </c>
      <c r="X17" s="45"/>
      <c r="Y17" s="49" t="s">
        <v>33</v>
      </c>
      <c r="Z17" s="50"/>
      <c r="AA17" s="45" t="s">
        <v>17</v>
      </c>
      <c r="AB17" s="45"/>
      <c r="AC17" s="45" t="s">
        <v>18</v>
      </c>
      <c r="AD17" s="45"/>
      <c r="AE17" s="78"/>
    </row>
    <row r="18" spans="1:31" ht="15" thickBot="1" x14ac:dyDescent="0.35">
      <c r="A18" s="5" t="s">
        <v>10</v>
      </c>
      <c r="B18" s="79" t="s">
        <v>11</v>
      </c>
      <c r="C18" s="80" t="s">
        <v>12</v>
      </c>
      <c r="D18" s="80" t="s">
        <v>13</v>
      </c>
      <c r="E18" s="80" t="s">
        <v>14</v>
      </c>
      <c r="F18" s="80" t="s">
        <v>15</v>
      </c>
      <c r="G18" s="80" t="s">
        <v>14</v>
      </c>
      <c r="H18" s="80" t="s">
        <v>15</v>
      </c>
      <c r="I18" s="80" t="s">
        <v>19</v>
      </c>
      <c r="J18" s="80" t="s">
        <v>20</v>
      </c>
      <c r="K18" s="80" t="s">
        <v>24</v>
      </c>
      <c r="L18" s="80" t="s">
        <v>25</v>
      </c>
      <c r="M18" s="80" t="s">
        <v>17</v>
      </c>
      <c r="N18" s="81" t="s">
        <v>18</v>
      </c>
      <c r="O18" s="81" t="s">
        <v>14</v>
      </c>
      <c r="P18" s="81" t="s">
        <v>15</v>
      </c>
      <c r="Q18" s="81" t="s">
        <v>15</v>
      </c>
      <c r="R18" s="81" t="s">
        <v>17</v>
      </c>
      <c r="S18" s="81" t="s">
        <v>18</v>
      </c>
      <c r="T18" s="81" t="s">
        <v>29</v>
      </c>
      <c r="U18" s="81" t="s">
        <v>17</v>
      </c>
      <c r="V18" s="81" t="s">
        <v>18</v>
      </c>
      <c r="W18" s="81" t="s">
        <v>17</v>
      </c>
      <c r="X18" s="81" t="s">
        <v>18</v>
      </c>
      <c r="Y18" s="81" t="s">
        <v>17</v>
      </c>
      <c r="Z18" s="81" t="s">
        <v>18</v>
      </c>
      <c r="AA18" s="81" t="s">
        <v>35</v>
      </c>
      <c r="AB18" s="81" t="s">
        <v>36</v>
      </c>
      <c r="AC18" s="81" t="s">
        <v>35</v>
      </c>
      <c r="AD18" s="81" t="s">
        <v>36</v>
      </c>
      <c r="AE18" s="82" t="s">
        <v>32</v>
      </c>
    </row>
    <row r="19" spans="1:31" x14ac:dyDescent="0.3">
      <c r="A19" s="55">
        <v>2022</v>
      </c>
      <c r="B19" s="62">
        <v>0</v>
      </c>
      <c r="C19" s="56">
        <v>-1500000000</v>
      </c>
      <c r="D19" s="56">
        <v>-1000000000</v>
      </c>
      <c r="E19" s="63">
        <f>F8</f>
        <v>49612500</v>
      </c>
      <c r="F19" s="64">
        <f>G8</f>
        <v>34992000.000000007</v>
      </c>
      <c r="G19" s="63">
        <f>F8</f>
        <v>49612500</v>
      </c>
      <c r="H19" s="64">
        <f>G8</f>
        <v>34992000.000000007</v>
      </c>
      <c r="I19" s="65">
        <v>0</v>
      </c>
      <c r="J19" s="64">
        <f>H19-I19</f>
        <v>34992000.000000007</v>
      </c>
      <c r="K19" s="55">
        <v>100</v>
      </c>
      <c r="L19" s="55">
        <v>50</v>
      </c>
      <c r="M19" s="66">
        <f>(E19+F19)*K19</f>
        <v>8460450000</v>
      </c>
      <c r="N19" s="66">
        <f>((G19+J19)*K19)+(I19*L19)</f>
        <v>8460450000</v>
      </c>
      <c r="O19" s="67">
        <v>36</v>
      </c>
      <c r="P19" s="67">
        <v>48</v>
      </c>
      <c r="Q19" s="68">
        <f>P19*60%</f>
        <v>28.799999999999997</v>
      </c>
      <c r="R19" s="56">
        <f>-((O19*E19)+(P19*F19))</f>
        <v>-3465666000.0000005</v>
      </c>
      <c r="S19" s="56">
        <f>-((O19*G19)+(P19*J19)+(Q19*I19))</f>
        <v>-3465666000.0000005</v>
      </c>
      <c r="T19" s="58">
        <v>-600000000</v>
      </c>
      <c r="U19" s="56">
        <v>-400000000</v>
      </c>
      <c r="V19" s="56">
        <v>-440000000</v>
      </c>
      <c r="W19" s="56">
        <v>-500000000</v>
      </c>
      <c r="X19" s="56">
        <v>-500000000</v>
      </c>
      <c r="Y19" s="69">
        <f>M19</f>
        <v>8460450000</v>
      </c>
      <c r="Z19" s="69">
        <f>(N19*10%)/5%</f>
        <v>16920900000</v>
      </c>
      <c r="AA19" s="69">
        <f>M19*10%</f>
        <v>846045000</v>
      </c>
      <c r="AB19" s="56">
        <f>-(M19*6%)</f>
        <v>-507627000</v>
      </c>
      <c r="AC19" s="69">
        <f>N19*10%</f>
        <v>846045000</v>
      </c>
      <c r="AD19" s="56">
        <f>-(N19*6%)</f>
        <v>-507627000</v>
      </c>
      <c r="AE19" s="58">
        <v>30000000</v>
      </c>
    </row>
    <row r="20" spans="1:31" x14ac:dyDescent="0.3">
      <c r="A20" s="26">
        <v>2023</v>
      </c>
      <c r="B20" s="27">
        <v>1</v>
      </c>
      <c r="C20" s="26">
        <v>0</v>
      </c>
      <c r="D20" s="26">
        <v>0</v>
      </c>
      <c r="E20" s="29">
        <f>E19*(1+5%)</f>
        <v>52093125</v>
      </c>
      <c r="F20" s="30">
        <f>F19*(1+8%)</f>
        <v>37791360.000000007</v>
      </c>
      <c r="G20" s="29">
        <f>G19*(1+5%)</f>
        <v>52093125</v>
      </c>
      <c r="H20" s="30">
        <f>H19*(1+10%)</f>
        <v>38491200.000000015</v>
      </c>
      <c r="I20" s="31">
        <v>5000000</v>
      </c>
      <c r="J20" s="30">
        <f t="shared" ref="J20:J39" si="0">H20-I20</f>
        <v>33491200.000000015</v>
      </c>
      <c r="K20" s="34">
        <f>K19*(1+$C$12)</f>
        <v>101.49999999999999</v>
      </c>
      <c r="L20" s="34">
        <f>L19*(1+$C$12)</f>
        <v>50.749999999999993</v>
      </c>
      <c r="M20" s="33">
        <f t="shared" ref="M20:M39" si="1">(E20+F20)*K20</f>
        <v>9123275227.4999981</v>
      </c>
      <c r="N20" s="33">
        <f t="shared" ref="N20:N39" si="2">((G20+J20)*K20)+(I20*L20)</f>
        <v>8940558987.5</v>
      </c>
      <c r="O20" s="36">
        <f>O19*(1+$C$12)</f>
        <v>36.54</v>
      </c>
      <c r="P20" s="36">
        <f>P19*(1+$C$12)</f>
        <v>48.72</v>
      </c>
      <c r="Q20" s="35">
        <f t="shared" ref="Q20:Q39" si="3">P20*60%</f>
        <v>29.231999999999999</v>
      </c>
      <c r="R20" s="28">
        <f t="shared" ref="R20:R39" si="4">-((O20*E20)+(P20*F20))</f>
        <v>-3744677846.7000003</v>
      </c>
      <c r="S20" s="28">
        <f t="shared" ref="S20:S39" si="5">-((O20*G20)+(P20*J20)+(Q20*I20))</f>
        <v>-3681334051.500001</v>
      </c>
      <c r="T20" s="38">
        <f>T19*(1+1.5%)</f>
        <v>-609000000</v>
      </c>
      <c r="U20" s="41">
        <f>U19*(1+5%)</f>
        <v>-420000000</v>
      </c>
      <c r="V20" s="41">
        <f>V19*(1+10%)</f>
        <v>-484000000.00000006</v>
      </c>
      <c r="W20" s="41">
        <f>W19*(1+5%)</f>
        <v>-525000000</v>
      </c>
      <c r="X20" s="41">
        <f>X19*(1+15%)</f>
        <v>-575000000</v>
      </c>
      <c r="Y20" s="43">
        <f t="shared" ref="Y20:Y39" si="6">M20</f>
        <v>9123275227.4999981</v>
      </c>
      <c r="Z20" s="43">
        <f t="shared" ref="Z20:Z39" si="7">(N20*10%)/5%</f>
        <v>17881117975</v>
      </c>
      <c r="AA20" s="43">
        <f t="shared" ref="AA20:AA39" si="8">M20*10%</f>
        <v>912327522.74999988</v>
      </c>
      <c r="AB20" s="28">
        <f t="shared" ref="AB20:AB39" si="9">-(M20*6%)</f>
        <v>-547396513.64999986</v>
      </c>
      <c r="AC20" s="43">
        <f t="shared" ref="AC20:AC39" si="10">N20*10%</f>
        <v>894055898.75</v>
      </c>
      <c r="AD20" s="28">
        <f t="shared" ref="AD20:AD39" si="11">-(N20*6%)</f>
        <v>-536433539.25</v>
      </c>
      <c r="AE20" s="42">
        <f>AE19*(1+3%)</f>
        <v>30900000</v>
      </c>
    </row>
    <row r="21" spans="1:31" x14ac:dyDescent="0.3">
      <c r="A21" s="26">
        <v>2024</v>
      </c>
      <c r="B21" s="27">
        <v>2</v>
      </c>
      <c r="C21" s="26">
        <v>0</v>
      </c>
      <c r="D21" s="26">
        <v>0</v>
      </c>
      <c r="E21" s="29">
        <f t="shared" ref="E21:E39" si="12">E20*(1+5%)</f>
        <v>54697781.25</v>
      </c>
      <c r="F21" s="30">
        <f t="shared" ref="F21:F39" si="13">F20*(1+8%)</f>
        <v>40814668.800000012</v>
      </c>
      <c r="G21" s="29">
        <f t="shared" ref="G21:G39" si="14">G20*(1+5%)</f>
        <v>54697781.25</v>
      </c>
      <c r="H21" s="30">
        <f t="shared" ref="H21:H39" si="15">H20*(1+10%)</f>
        <v>42340320.000000022</v>
      </c>
      <c r="I21" s="31">
        <f t="shared" ref="I21:I39" si="16">I20*(1+8%)</f>
        <v>5400000</v>
      </c>
      <c r="J21" s="30">
        <f t="shared" si="0"/>
        <v>36940320.000000022</v>
      </c>
      <c r="K21" s="34">
        <f t="shared" ref="K21:K39" si="17">K20*(1+$C$12)</f>
        <v>103.02249999999998</v>
      </c>
      <c r="L21" s="34">
        <f t="shared" ref="L21:L39" si="18">L20*(1+$C$12)</f>
        <v>51.51124999999999</v>
      </c>
      <c r="M21" s="33">
        <f t="shared" si="1"/>
        <v>9839931385.276125</v>
      </c>
      <c r="N21" s="33">
        <f t="shared" si="2"/>
        <v>9718947036.0281258</v>
      </c>
      <c r="O21" s="36">
        <f t="shared" ref="O21:O38" si="19">O20*(1+$C$12)</f>
        <v>37.088099999999997</v>
      </c>
      <c r="P21" s="36">
        <f t="shared" ref="P21:P39" si="20">P20*(1+$C$12)</f>
        <v>49.450799999999994</v>
      </c>
      <c r="Q21" s="35">
        <f t="shared" si="3"/>
        <v>29.670479999999994</v>
      </c>
      <c r="R21" s="28">
        <f t="shared" si="4"/>
        <v>-4046954804.6731653</v>
      </c>
      <c r="S21" s="28">
        <f t="shared" si="5"/>
        <v>-4015585749.0341258</v>
      </c>
      <c r="T21" s="38">
        <f t="shared" ref="T21:T39" si="21">T20*(1+1.5%)</f>
        <v>-618135000</v>
      </c>
      <c r="U21" s="41">
        <f t="shared" ref="U21:U39" si="22">U20*(1+5%)</f>
        <v>-441000000</v>
      </c>
      <c r="V21" s="41">
        <f t="shared" ref="V21:V39" si="23">V20*(1+10%)</f>
        <v>-532400000.00000012</v>
      </c>
      <c r="W21" s="41">
        <f t="shared" ref="W21:W39" si="24">W20*(1+5%)</f>
        <v>-551250000</v>
      </c>
      <c r="X21" s="41">
        <f t="shared" ref="X21:X39" si="25">X20*(1+15%)</f>
        <v>-661250000</v>
      </c>
      <c r="Y21" s="43">
        <f t="shared" si="6"/>
        <v>9839931385.276125</v>
      </c>
      <c r="Z21" s="43">
        <f t="shared" si="7"/>
        <v>19437894072.056252</v>
      </c>
      <c r="AA21" s="43">
        <f t="shared" si="8"/>
        <v>983993138.52761257</v>
      </c>
      <c r="AB21" s="28">
        <f t="shared" si="9"/>
        <v>-590395883.11656749</v>
      </c>
      <c r="AC21" s="43">
        <f t="shared" si="10"/>
        <v>971894703.60281265</v>
      </c>
      <c r="AD21" s="28">
        <f t="shared" si="11"/>
        <v>-583136822.16168749</v>
      </c>
      <c r="AE21" s="42">
        <f t="shared" ref="AE21:AE29" si="26">AE20*(1+3%)</f>
        <v>31827000</v>
      </c>
    </row>
    <row r="22" spans="1:31" x14ac:dyDescent="0.3">
      <c r="A22" s="26">
        <v>2025</v>
      </c>
      <c r="B22" s="27">
        <v>3</v>
      </c>
      <c r="C22" s="26">
        <v>0</v>
      </c>
      <c r="D22" s="26">
        <v>0</v>
      </c>
      <c r="E22" s="29">
        <f t="shared" si="12"/>
        <v>57432670.3125</v>
      </c>
      <c r="F22" s="30">
        <f t="shared" si="13"/>
        <v>44079842.304000013</v>
      </c>
      <c r="G22" s="29">
        <f t="shared" si="14"/>
        <v>57432670.3125</v>
      </c>
      <c r="H22" s="30">
        <f t="shared" si="15"/>
        <v>46574352.00000003</v>
      </c>
      <c r="I22" s="31">
        <f t="shared" si="16"/>
        <v>5832000</v>
      </c>
      <c r="J22" s="30">
        <f t="shared" si="0"/>
        <v>40742352.00000003</v>
      </c>
      <c r="K22" s="34">
        <f t="shared" si="17"/>
        <v>104.56783749999997</v>
      </c>
      <c r="L22" s="34">
        <f t="shared" si="18"/>
        <v>52.283918749999984</v>
      </c>
      <c r="M22" s="33">
        <f t="shared" si="1"/>
        <v>10614943923.498871</v>
      </c>
      <c r="N22" s="33">
        <f t="shared" si="2"/>
        <v>10570869593.882374</v>
      </c>
      <c r="O22" s="36">
        <f t="shared" si="19"/>
        <v>37.644421499999993</v>
      </c>
      <c r="P22" s="36">
        <f t="shared" si="20"/>
        <v>50.192561999999988</v>
      </c>
      <c r="Q22" s="35">
        <f t="shared" si="3"/>
        <v>30.115537199999991</v>
      </c>
      <c r="R22" s="28">
        <f t="shared" si="4"/>
        <v>-4374499866.9080296</v>
      </c>
      <c r="S22" s="28">
        <f t="shared" si="5"/>
        <v>-4382616490.8505116</v>
      </c>
      <c r="T22" s="38">
        <f t="shared" si="21"/>
        <v>-627407024.99999988</v>
      </c>
      <c r="U22" s="41">
        <f t="shared" si="22"/>
        <v>-463050000</v>
      </c>
      <c r="V22" s="41">
        <f t="shared" si="23"/>
        <v>-585640000.00000012</v>
      </c>
      <c r="W22" s="41">
        <f t="shared" si="24"/>
        <v>-578812500</v>
      </c>
      <c r="X22" s="41">
        <f t="shared" si="25"/>
        <v>-760437500</v>
      </c>
      <c r="Y22" s="43">
        <f t="shared" si="6"/>
        <v>10614943923.498871</v>
      </c>
      <c r="Z22" s="43">
        <f t="shared" si="7"/>
        <v>21141739187.764748</v>
      </c>
      <c r="AA22" s="43">
        <f t="shared" si="8"/>
        <v>1061494392.3498871</v>
      </c>
      <c r="AB22" s="28">
        <f t="shared" si="9"/>
        <v>-636896635.40993226</v>
      </c>
      <c r="AC22" s="43">
        <f t="shared" si="10"/>
        <v>1057086959.3882375</v>
      </c>
      <c r="AD22" s="28">
        <f t="shared" si="11"/>
        <v>-634252175.63294244</v>
      </c>
      <c r="AE22" s="42">
        <f t="shared" si="26"/>
        <v>32781810</v>
      </c>
    </row>
    <row r="23" spans="1:31" x14ac:dyDescent="0.3">
      <c r="A23" s="26">
        <v>2026</v>
      </c>
      <c r="B23" s="27">
        <v>4</v>
      </c>
      <c r="C23" s="26">
        <v>0</v>
      </c>
      <c r="D23" s="26">
        <v>0</v>
      </c>
      <c r="E23" s="29">
        <f t="shared" si="12"/>
        <v>60304303.828125</v>
      </c>
      <c r="F23" s="30">
        <f t="shared" si="13"/>
        <v>47606229.688320018</v>
      </c>
      <c r="G23" s="29">
        <f t="shared" si="14"/>
        <v>60304303.828125</v>
      </c>
      <c r="H23" s="30">
        <f t="shared" si="15"/>
        <v>51231787.20000004</v>
      </c>
      <c r="I23" s="31">
        <f t="shared" si="16"/>
        <v>6298560</v>
      </c>
      <c r="J23" s="30">
        <f t="shared" si="0"/>
        <v>44933227.20000004</v>
      </c>
      <c r="K23" s="34">
        <f t="shared" si="17"/>
        <v>106.13635506249996</v>
      </c>
      <c r="L23" s="34">
        <f t="shared" si="18"/>
        <v>53.068177531249979</v>
      </c>
      <c r="M23" s="33">
        <f t="shared" si="1"/>
        <v>11453230700.28521</v>
      </c>
      <c r="N23" s="33">
        <f t="shared" si="2"/>
        <v>11503781059.373167</v>
      </c>
      <c r="O23" s="36">
        <f t="shared" si="19"/>
        <v>38.209087822499988</v>
      </c>
      <c r="P23" s="36">
        <f t="shared" si="20"/>
        <v>50.94545042999998</v>
      </c>
      <c r="Q23" s="35">
        <f t="shared" si="3"/>
        <v>30.567270257999986</v>
      </c>
      <c r="R23" s="28">
        <f t="shared" si="4"/>
        <v>-4729493255.7890511</v>
      </c>
      <c r="S23" s="28">
        <f t="shared" si="5"/>
        <v>-4785845725.7773085</v>
      </c>
      <c r="T23" s="39">
        <f t="shared" si="21"/>
        <v>-636818130.37499976</v>
      </c>
      <c r="U23" s="41">
        <f t="shared" si="22"/>
        <v>-486202500</v>
      </c>
      <c r="V23" s="41">
        <f t="shared" si="23"/>
        <v>-644204000.00000024</v>
      </c>
      <c r="W23" s="41">
        <f t="shared" si="24"/>
        <v>-607753125</v>
      </c>
      <c r="X23" s="41">
        <f t="shared" si="25"/>
        <v>-874503124.99999988</v>
      </c>
      <c r="Y23" s="43">
        <f t="shared" si="6"/>
        <v>11453230700.28521</v>
      </c>
      <c r="Z23" s="43">
        <f t="shared" si="7"/>
        <v>23007562118.74633</v>
      </c>
      <c r="AA23" s="43">
        <f t="shared" si="8"/>
        <v>1145323070.0285211</v>
      </c>
      <c r="AB23" s="28">
        <f t="shared" si="9"/>
        <v>-687193842.01711261</v>
      </c>
      <c r="AC23" s="43">
        <f t="shared" si="10"/>
        <v>1150378105.9373167</v>
      </c>
      <c r="AD23" s="28">
        <f t="shared" si="11"/>
        <v>-690226863.56238997</v>
      </c>
      <c r="AE23" s="42">
        <f t="shared" si="26"/>
        <v>33765264.300000004</v>
      </c>
    </row>
    <row r="24" spans="1:31" x14ac:dyDescent="0.3">
      <c r="A24" s="26">
        <v>2027</v>
      </c>
      <c r="B24" s="27">
        <v>5</v>
      </c>
      <c r="C24" s="26">
        <v>0</v>
      </c>
      <c r="D24" s="26">
        <v>0</v>
      </c>
      <c r="E24" s="29">
        <f t="shared" si="12"/>
        <v>63319519.01953125</v>
      </c>
      <c r="F24" s="30">
        <f t="shared" si="13"/>
        <v>51414728.063385621</v>
      </c>
      <c r="G24" s="29">
        <f t="shared" si="14"/>
        <v>63319519.01953125</v>
      </c>
      <c r="H24" s="30">
        <f t="shared" si="15"/>
        <v>56354965.920000046</v>
      </c>
      <c r="I24" s="31">
        <f t="shared" si="16"/>
        <v>6802444.8000000007</v>
      </c>
      <c r="J24" s="30">
        <f t="shared" si="0"/>
        <v>49552521.120000049</v>
      </c>
      <c r="K24" s="34">
        <f t="shared" si="17"/>
        <v>107.72840038843745</v>
      </c>
      <c r="L24" s="34">
        <f t="shared" si="18"/>
        <v>53.864200194218725</v>
      </c>
      <c r="M24" s="33">
        <f t="shared" si="1"/>
        <v>12360136908.01438</v>
      </c>
      <c r="N24" s="33">
        <f t="shared" si="2"/>
        <v>12525932581.328533</v>
      </c>
      <c r="O24" s="36">
        <f t="shared" si="19"/>
        <v>38.782224139837481</v>
      </c>
      <c r="P24" s="36">
        <f t="shared" si="20"/>
        <v>51.709632186449973</v>
      </c>
      <c r="Q24" s="35">
        <f t="shared" si="3"/>
        <v>31.025779311869982</v>
      </c>
      <c r="R24" s="28">
        <f t="shared" si="4"/>
        <v>-5114308456.1661816</v>
      </c>
      <c r="S24" s="28">
        <f t="shared" si="5"/>
        <v>-5229065571.2146378</v>
      </c>
      <c r="T24" s="38">
        <f t="shared" si="21"/>
        <v>-646370402.3306247</v>
      </c>
      <c r="U24" s="41">
        <f t="shared" si="22"/>
        <v>-510512625</v>
      </c>
      <c r="V24" s="41">
        <f t="shared" si="23"/>
        <v>-708624400.00000036</v>
      </c>
      <c r="W24" s="41">
        <f t="shared" si="24"/>
        <v>-638140781.25</v>
      </c>
      <c r="X24" s="41">
        <f t="shared" si="25"/>
        <v>-1005678593.7499998</v>
      </c>
      <c r="Y24" s="43">
        <f t="shared" si="6"/>
        <v>12360136908.01438</v>
      </c>
      <c r="Z24" s="43">
        <f t="shared" si="7"/>
        <v>25051865162.657063</v>
      </c>
      <c r="AA24" s="43">
        <f t="shared" si="8"/>
        <v>1236013690.8014381</v>
      </c>
      <c r="AB24" s="28">
        <f t="shared" si="9"/>
        <v>-741608214.48086274</v>
      </c>
      <c r="AC24" s="43">
        <f t="shared" si="10"/>
        <v>1252593258.1328533</v>
      </c>
      <c r="AD24" s="28">
        <f t="shared" si="11"/>
        <v>-751555954.87971199</v>
      </c>
      <c r="AE24" s="42">
        <f t="shared" si="26"/>
        <v>34778222.229000002</v>
      </c>
    </row>
    <row r="25" spans="1:31" x14ac:dyDescent="0.3">
      <c r="A25" s="26">
        <v>2028</v>
      </c>
      <c r="B25" s="27">
        <v>6</v>
      </c>
      <c r="C25" s="26">
        <v>0</v>
      </c>
      <c r="D25" s="26">
        <v>0</v>
      </c>
      <c r="E25" s="29">
        <f t="shared" si="12"/>
        <v>66485494.970507815</v>
      </c>
      <c r="F25" s="30">
        <f t="shared" si="13"/>
        <v>55527906.308456473</v>
      </c>
      <c r="G25" s="29">
        <f t="shared" si="14"/>
        <v>66485494.970507815</v>
      </c>
      <c r="H25" s="30">
        <f t="shared" si="15"/>
        <v>61990462.512000054</v>
      </c>
      <c r="I25" s="31">
        <f t="shared" si="16"/>
        <v>7346640.3840000015</v>
      </c>
      <c r="J25" s="30">
        <f t="shared" si="0"/>
        <v>54643822.128000051</v>
      </c>
      <c r="K25" s="34">
        <f t="shared" si="17"/>
        <v>109.344326394264</v>
      </c>
      <c r="L25" s="34">
        <f t="shared" si="18"/>
        <v>54.672163197132001</v>
      </c>
      <c r="M25" s="33">
        <f t="shared" si="1"/>
        <v>13341473173.921379</v>
      </c>
      <c r="N25" s="33">
        <f t="shared" si="2"/>
        <v>13646460306.758236</v>
      </c>
      <c r="O25" s="36">
        <f t="shared" si="19"/>
        <v>39.36395750193504</v>
      </c>
      <c r="P25" s="36">
        <f t="shared" si="20"/>
        <v>52.485276669246716</v>
      </c>
      <c r="Q25" s="35">
        <f t="shared" si="3"/>
        <v>31.491166001548027</v>
      </c>
      <c r="R25" s="28">
        <f t="shared" si="4"/>
        <v>-5531529723.9775333</v>
      </c>
      <c r="S25" s="28">
        <f t="shared" si="5"/>
        <v>-5716482593.0535946</v>
      </c>
      <c r="T25" s="38">
        <f t="shared" si="21"/>
        <v>-656065958.36558402</v>
      </c>
      <c r="U25" s="41">
        <f t="shared" si="22"/>
        <v>-536038256.25</v>
      </c>
      <c r="V25" s="41">
        <f t="shared" si="23"/>
        <v>-779486840.00000048</v>
      </c>
      <c r="W25" s="41">
        <f t="shared" si="24"/>
        <v>-670047820.3125</v>
      </c>
      <c r="X25" s="41">
        <f t="shared" si="25"/>
        <v>-1156530382.8124995</v>
      </c>
      <c r="Y25" s="43">
        <f t="shared" si="6"/>
        <v>13341473173.921379</v>
      </c>
      <c r="Z25" s="43">
        <f t="shared" si="7"/>
        <v>27292920613.516472</v>
      </c>
      <c r="AA25" s="43">
        <f t="shared" si="8"/>
        <v>1334147317.392138</v>
      </c>
      <c r="AB25" s="28">
        <f t="shared" si="9"/>
        <v>-800488390.43528271</v>
      </c>
      <c r="AC25" s="43">
        <f t="shared" si="10"/>
        <v>1364646030.6758237</v>
      </c>
      <c r="AD25" s="28">
        <f t="shared" si="11"/>
        <v>-818787618.40549409</v>
      </c>
      <c r="AE25" s="42">
        <f t="shared" si="26"/>
        <v>35821568.89587</v>
      </c>
    </row>
    <row r="26" spans="1:31" x14ac:dyDescent="0.3">
      <c r="A26" s="26">
        <v>2029</v>
      </c>
      <c r="B26" s="27">
        <v>7</v>
      </c>
      <c r="C26" s="26">
        <v>0</v>
      </c>
      <c r="D26" s="26">
        <v>0</v>
      </c>
      <c r="E26" s="29">
        <f t="shared" si="12"/>
        <v>69809769.719033211</v>
      </c>
      <c r="F26" s="30">
        <f t="shared" si="13"/>
        <v>59970138.813132994</v>
      </c>
      <c r="G26" s="29">
        <f t="shared" si="14"/>
        <v>69809769.719033211</v>
      </c>
      <c r="H26" s="30">
        <f t="shared" si="15"/>
        <v>68189508.76320006</v>
      </c>
      <c r="I26" s="31">
        <f t="shared" si="16"/>
        <v>7934371.6147200018</v>
      </c>
      <c r="J26" s="30">
        <f t="shared" si="0"/>
        <v>60255137.148480058</v>
      </c>
      <c r="K26" s="34">
        <f t="shared" si="17"/>
        <v>110.98449129017796</v>
      </c>
      <c r="L26" s="34">
        <f t="shared" si="18"/>
        <v>55.492245645088978</v>
      </c>
      <c r="M26" s="33">
        <f t="shared" si="1"/>
        <v>14403557128.128292</v>
      </c>
      <c r="N26" s="33">
        <f t="shared" si="2"/>
        <v>14875483622.078798</v>
      </c>
      <c r="O26" s="36">
        <f t="shared" si="19"/>
        <v>39.954416864464065</v>
      </c>
      <c r="P26" s="36">
        <f t="shared" si="20"/>
        <v>53.272555819285408</v>
      </c>
      <c r="Q26" s="35">
        <f t="shared" si="3"/>
        <v>31.963533491571244</v>
      </c>
      <c r="R26" s="28">
        <f t="shared" si="4"/>
        <v>-5983971207.9794159</v>
      </c>
      <c r="S26" s="28">
        <f t="shared" si="5"/>
        <v>-6252764350.5492706</v>
      </c>
      <c r="T26" s="38">
        <f t="shared" si="21"/>
        <v>-665906947.74106777</v>
      </c>
      <c r="U26" s="41">
        <f t="shared" si="22"/>
        <v>-562840169.0625</v>
      </c>
      <c r="V26" s="41">
        <f t="shared" si="23"/>
        <v>-857435524.0000006</v>
      </c>
      <c r="W26" s="41">
        <f t="shared" si="24"/>
        <v>-703550211.328125</v>
      </c>
      <c r="X26" s="41">
        <f t="shared" si="25"/>
        <v>-1330009940.2343743</v>
      </c>
      <c r="Y26" s="43">
        <f t="shared" si="6"/>
        <v>14403557128.128292</v>
      </c>
      <c r="Z26" s="43">
        <f t="shared" si="7"/>
        <v>29750967244.1576</v>
      </c>
      <c r="AA26" s="43">
        <f t="shared" si="8"/>
        <v>1440355712.8128293</v>
      </c>
      <c r="AB26" s="28">
        <f t="shared" si="9"/>
        <v>-864213427.68769753</v>
      </c>
      <c r="AC26" s="43">
        <f t="shared" si="10"/>
        <v>1487548362.20788</v>
      </c>
      <c r="AD26" s="28">
        <f t="shared" si="11"/>
        <v>-892529017.32472789</v>
      </c>
      <c r="AE26" s="42">
        <f t="shared" si="26"/>
        <v>36896215.962746099</v>
      </c>
    </row>
    <row r="27" spans="1:31" x14ac:dyDescent="0.3">
      <c r="A27" s="26">
        <v>2030</v>
      </c>
      <c r="B27" s="27">
        <v>8</v>
      </c>
      <c r="C27" s="26">
        <v>0</v>
      </c>
      <c r="D27" s="26">
        <v>0</v>
      </c>
      <c r="E27" s="29">
        <f t="shared" si="12"/>
        <v>73300258.204984874</v>
      </c>
      <c r="F27" s="30">
        <f t="shared" si="13"/>
        <v>64767749.91818364</v>
      </c>
      <c r="G27" s="29">
        <f t="shared" si="14"/>
        <v>73300258.204984874</v>
      </c>
      <c r="H27" s="30">
        <f t="shared" si="15"/>
        <v>75008459.639520079</v>
      </c>
      <c r="I27" s="31">
        <f t="shared" si="16"/>
        <v>8569121.3438976035</v>
      </c>
      <c r="J27" s="30">
        <f t="shared" si="0"/>
        <v>66439338.295622475</v>
      </c>
      <c r="K27" s="34">
        <f t="shared" si="17"/>
        <v>112.64925865953062</v>
      </c>
      <c r="L27" s="34">
        <f t="shared" si="18"/>
        <v>56.324629329765308</v>
      </c>
      <c r="M27" s="33">
        <f t="shared" si="1"/>
        <v>15553258759.672985</v>
      </c>
      <c r="N27" s="33">
        <f t="shared" si="2"/>
        <v>16224214534.552168</v>
      </c>
      <c r="O27" s="36">
        <f t="shared" si="19"/>
        <v>40.553733117431022</v>
      </c>
      <c r="P27" s="36">
        <f t="shared" si="20"/>
        <v>54.071644156574685</v>
      </c>
      <c r="Q27" s="35">
        <f t="shared" si="3"/>
        <v>32.442986493944808</v>
      </c>
      <c r="R27" s="28">
        <f t="shared" si="4"/>
        <v>-6474697835.0817852</v>
      </c>
      <c r="S27" s="28">
        <f t="shared" si="5"/>
        <v>-6843091255.0279684</v>
      </c>
      <c r="T27" s="38">
        <f t="shared" si="21"/>
        <v>-675895551.95718372</v>
      </c>
      <c r="U27" s="41">
        <f t="shared" si="22"/>
        <v>-590982177.515625</v>
      </c>
      <c r="V27" s="41">
        <f t="shared" si="23"/>
        <v>-943179076.40000069</v>
      </c>
      <c r="W27" s="41">
        <f t="shared" si="24"/>
        <v>-738727721.89453125</v>
      </c>
      <c r="X27" s="41">
        <f t="shared" si="25"/>
        <v>-1529511431.2695303</v>
      </c>
      <c r="Y27" s="43">
        <f t="shared" si="6"/>
        <v>15553258759.672985</v>
      </c>
      <c r="Z27" s="43">
        <f t="shared" si="7"/>
        <v>32448429069.104336</v>
      </c>
      <c r="AA27" s="43">
        <f t="shared" si="8"/>
        <v>1555325875.9672985</v>
      </c>
      <c r="AB27" s="28">
        <f t="shared" si="9"/>
        <v>-933195525.58037913</v>
      </c>
      <c r="AC27" s="43">
        <f t="shared" si="10"/>
        <v>1622421453.4552169</v>
      </c>
      <c r="AD27" s="28">
        <f t="shared" si="11"/>
        <v>-973452872.07313001</v>
      </c>
      <c r="AE27" s="42">
        <f t="shared" si="26"/>
        <v>38003102.441628486</v>
      </c>
    </row>
    <row r="28" spans="1:31" x14ac:dyDescent="0.3">
      <c r="A28" s="26">
        <v>2031</v>
      </c>
      <c r="B28" s="27">
        <v>9</v>
      </c>
      <c r="C28" s="26">
        <v>0</v>
      </c>
      <c r="D28" s="26">
        <v>0</v>
      </c>
      <c r="E28" s="29">
        <f t="shared" si="12"/>
        <v>76965271.115234122</v>
      </c>
      <c r="F28" s="30">
        <f t="shared" si="13"/>
        <v>69949169.911638334</v>
      </c>
      <c r="G28" s="29">
        <f t="shared" si="14"/>
        <v>76965271.115234122</v>
      </c>
      <c r="H28" s="30">
        <f t="shared" si="15"/>
        <v>82509305.603472099</v>
      </c>
      <c r="I28" s="31">
        <f t="shared" si="16"/>
        <v>9254651.0514094122</v>
      </c>
      <c r="J28" s="30">
        <f t="shared" si="0"/>
        <v>73254654.55206269</v>
      </c>
      <c r="K28" s="34">
        <f t="shared" si="17"/>
        <v>114.33899753942356</v>
      </c>
      <c r="L28" s="34">
        <f t="shared" si="18"/>
        <v>57.16949876971178</v>
      </c>
      <c r="M28" s="33">
        <f t="shared" si="1"/>
        <v>16798049911.077358</v>
      </c>
      <c r="N28" s="33">
        <f t="shared" si="2"/>
        <v>17705079473.143105</v>
      </c>
      <c r="O28" s="36">
        <f t="shared" si="19"/>
        <v>41.162039114192481</v>
      </c>
      <c r="P28" s="36">
        <f t="shared" si="20"/>
        <v>54.882718818923301</v>
      </c>
      <c r="Q28" s="35">
        <f t="shared" si="3"/>
        <v>32.929631291353978</v>
      </c>
      <c r="R28" s="28">
        <f t="shared" si="4"/>
        <v>-7007048123.9572325</v>
      </c>
      <c r="S28" s="28">
        <f t="shared" si="5"/>
        <v>-7493214354.8909655</v>
      </c>
      <c r="T28" s="38">
        <f t="shared" si="21"/>
        <v>-686033985.23654139</v>
      </c>
      <c r="U28" s="41">
        <f t="shared" si="22"/>
        <v>-620531286.3914063</v>
      </c>
      <c r="V28" s="41">
        <f t="shared" si="23"/>
        <v>-1037496984.0400008</v>
      </c>
      <c r="W28" s="41">
        <f t="shared" si="24"/>
        <v>-775664107.98925781</v>
      </c>
      <c r="X28" s="41">
        <f t="shared" si="25"/>
        <v>-1758938145.9599597</v>
      </c>
      <c r="Y28" s="43">
        <f t="shared" si="6"/>
        <v>16798049911.077358</v>
      </c>
      <c r="Z28" s="43">
        <f t="shared" si="7"/>
        <v>35410158946.286209</v>
      </c>
      <c r="AA28" s="43">
        <f t="shared" si="8"/>
        <v>1679804991.1077359</v>
      </c>
      <c r="AB28" s="28">
        <f t="shared" si="9"/>
        <v>-1007882994.6646415</v>
      </c>
      <c r="AC28" s="43">
        <f t="shared" si="10"/>
        <v>1770507947.3143106</v>
      </c>
      <c r="AD28" s="28">
        <f t="shared" si="11"/>
        <v>-1062304768.3885863</v>
      </c>
      <c r="AE28" s="42">
        <f t="shared" si="26"/>
        <v>39143195.514877342</v>
      </c>
    </row>
    <row r="29" spans="1:31" x14ac:dyDescent="0.3">
      <c r="A29" s="26">
        <v>2032</v>
      </c>
      <c r="B29" s="27">
        <v>10</v>
      </c>
      <c r="C29" s="26">
        <v>0</v>
      </c>
      <c r="D29" s="32">
        <v>200000000</v>
      </c>
      <c r="E29" s="29">
        <f t="shared" si="12"/>
        <v>80813534.670995831</v>
      </c>
      <c r="F29" s="30">
        <f t="shared" si="13"/>
        <v>75545103.504569411</v>
      </c>
      <c r="G29" s="29">
        <f t="shared" si="14"/>
        <v>80813534.670995831</v>
      </c>
      <c r="H29" s="30">
        <f t="shared" si="15"/>
        <v>90760236.163819313</v>
      </c>
      <c r="I29" s="31">
        <f t="shared" si="16"/>
        <v>9995023.1355221663</v>
      </c>
      <c r="J29" s="30">
        <f t="shared" si="0"/>
        <v>80765213.028297141</v>
      </c>
      <c r="K29" s="34">
        <f t="shared" si="17"/>
        <v>116.0540825025149</v>
      </c>
      <c r="L29" s="34">
        <f t="shared" si="18"/>
        <v>58.027041251257451</v>
      </c>
      <c r="M29" s="33">
        <f t="shared" si="1"/>
        <v>18146058294.807926</v>
      </c>
      <c r="N29" s="33">
        <f t="shared" si="2"/>
        <v>19331854935.939003</v>
      </c>
      <c r="O29" s="36">
        <f t="shared" si="19"/>
        <v>41.779469700905366</v>
      </c>
      <c r="P29" s="36">
        <f t="shared" si="20"/>
        <v>55.705959601207148</v>
      </c>
      <c r="Q29" s="35">
        <f t="shared" si="3"/>
        <v>33.42357576072429</v>
      </c>
      <c r="R29" s="28">
        <f t="shared" si="4"/>
        <v>-7584659107.1044922</v>
      </c>
      <c r="S29" s="28">
        <f t="shared" si="5"/>
        <v>-8209519730.3474627</v>
      </c>
      <c r="T29" s="40">
        <f t="shared" si="21"/>
        <v>-696324495.01508939</v>
      </c>
      <c r="U29" s="41">
        <f t="shared" si="22"/>
        <v>-651557850.7109766</v>
      </c>
      <c r="V29" s="41">
        <f t="shared" si="23"/>
        <v>-1141246682.444001</v>
      </c>
      <c r="W29" s="41">
        <f t="shared" si="24"/>
        <v>-814447313.38872075</v>
      </c>
      <c r="X29" s="41">
        <f t="shared" si="25"/>
        <v>-2022778867.8539536</v>
      </c>
      <c r="Y29" s="43">
        <f t="shared" si="6"/>
        <v>18146058294.807926</v>
      </c>
      <c r="Z29" s="43">
        <f t="shared" si="7"/>
        <v>38663709871.878006</v>
      </c>
      <c r="AA29" s="32">
        <f t="shared" si="8"/>
        <v>1814605829.4807928</v>
      </c>
      <c r="AB29" s="28">
        <f t="shared" si="9"/>
        <v>-1088763497.6884756</v>
      </c>
      <c r="AC29" s="32">
        <f t="shared" si="10"/>
        <v>1933185493.5939004</v>
      </c>
      <c r="AD29" s="28">
        <f t="shared" si="11"/>
        <v>-1159911296.1563401</v>
      </c>
      <c r="AE29" s="42">
        <f t="shared" si="26"/>
        <v>40317491.380323663</v>
      </c>
    </row>
    <row r="30" spans="1:31" x14ac:dyDescent="0.3">
      <c r="A30" s="26">
        <v>2033</v>
      </c>
      <c r="B30" s="27">
        <v>11</v>
      </c>
      <c r="C30" s="26">
        <v>0</v>
      </c>
      <c r="D30" s="26">
        <v>0</v>
      </c>
      <c r="E30" s="29">
        <f t="shared" si="12"/>
        <v>84854211.40454562</v>
      </c>
      <c r="F30" s="30">
        <f t="shared" si="13"/>
        <v>81588711.784934968</v>
      </c>
      <c r="G30" s="29">
        <f t="shared" si="14"/>
        <v>84854211.40454562</v>
      </c>
      <c r="H30" s="30">
        <f t="shared" si="15"/>
        <v>99836259.780201256</v>
      </c>
      <c r="I30" s="31">
        <f t="shared" si="16"/>
        <v>10794624.98636394</v>
      </c>
      <c r="J30" s="30">
        <f t="shared" si="0"/>
        <v>89041634.793837309</v>
      </c>
      <c r="K30" s="34">
        <f t="shared" si="17"/>
        <v>117.79489374005261</v>
      </c>
      <c r="L30" s="34">
        <f t="shared" si="18"/>
        <v>58.897446870026307</v>
      </c>
      <c r="M30" s="33">
        <f t="shared" si="1"/>
        <v>19606126450.888607</v>
      </c>
      <c r="N30" s="33">
        <f t="shared" si="2"/>
        <v>21119818576.391277</v>
      </c>
      <c r="O30" s="36">
        <f t="shared" si="19"/>
        <v>42.406161746418945</v>
      </c>
      <c r="P30" s="36">
        <f t="shared" si="20"/>
        <v>56.541548995225249</v>
      </c>
      <c r="Q30" s="35">
        <f t="shared" si="3"/>
        <v>33.924929397135145</v>
      </c>
      <c r="R30" s="28">
        <f t="shared" si="4"/>
        <v>-8211493558.5312004</v>
      </c>
      <c r="S30" s="28">
        <f t="shared" si="5"/>
        <v>-8999100260.5276413</v>
      </c>
      <c r="T30" s="38">
        <f t="shared" si="21"/>
        <v>-706769362.44031572</v>
      </c>
      <c r="U30" s="41">
        <f t="shared" si="22"/>
        <v>-684135743.24652541</v>
      </c>
      <c r="V30" s="41">
        <f t="shared" si="23"/>
        <v>-1255371350.6884012</v>
      </c>
      <c r="W30" s="41">
        <f t="shared" si="24"/>
        <v>-855169679.05815685</v>
      </c>
      <c r="X30" s="41">
        <f t="shared" si="25"/>
        <v>-2326195698.0320463</v>
      </c>
      <c r="Y30" s="43">
        <f>M30</f>
        <v>19606126450.888607</v>
      </c>
      <c r="Z30" s="43">
        <f>(N30*10%)/5%</f>
        <v>42239637152.782555</v>
      </c>
      <c r="AA30" s="43">
        <f t="shared" si="8"/>
        <v>1960612645.0888608</v>
      </c>
      <c r="AB30" s="28">
        <f t="shared" si="9"/>
        <v>-1176367587.0533164</v>
      </c>
      <c r="AC30" s="43">
        <f t="shared" si="10"/>
        <v>2111981857.6391277</v>
      </c>
      <c r="AD30" s="28">
        <f t="shared" si="11"/>
        <v>-1267189114.5834765</v>
      </c>
      <c r="AE30" s="37">
        <v>30000001</v>
      </c>
    </row>
    <row r="31" spans="1:31" x14ac:dyDescent="0.3">
      <c r="A31" s="26">
        <v>2034</v>
      </c>
      <c r="B31" s="27">
        <v>12</v>
      </c>
      <c r="C31" s="26">
        <v>0</v>
      </c>
      <c r="D31" s="26">
        <v>0</v>
      </c>
      <c r="E31" s="29">
        <f t="shared" si="12"/>
        <v>89096921.9747729</v>
      </c>
      <c r="F31" s="30">
        <f t="shared" si="13"/>
        <v>88115808.727729768</v>
      </c>
      <c r="G31" s="29">
        <f t="shared" si="14"/>
        <v>89096921.9747729</v>
      </c>
      <c r="H31" s="30">
        <f t="shared" si="15"/>
        <v>109819885.75822139</v>
      </c>
      <c r="I31" s="31">
        <f t="shared" si="16"/>
        <v>11658194.985273056</v>
      </c>
      <c r="J31" s="30">
        <f t="shared" si="0"/>
        <v>98161690.772948325</v>
      </c>
      <c r="K31" s="34">
        <f t="shared" si="17"/>
        <v>119.56181714615339</v>
      </c>
      <c r="L31" s="34">
        <f t="shared" si="18"/>
        <v>59.780908573076694</v>
      </c>
      <c r="M31" s="33">
        <f t="shared" si="1"/>
        <v>21187876104.223145</v>
      </c>
      <c r="N31" s="33">
        <f t="shared" si="2"/>
        <v>23085917504.927101</v>
      </c>
      <c r="O31" s="36">
        <f t="shared" si="19"/>
        <v>43.042254172615223</v>
      </c>
      <c r="P31" s="36">
        <f t="shared" si="20"/>
        <v>57.389672230153622</v>
      </c>
      <c r="Q31" s="35">
        <f t="shared" si="3"/>
        <v>34.433803338092169</v>
      </c>
      <c r="R31" s="28">
        <f t="shared" si="4"/>
        <v>-8891869742.8151627</v>
      </c>
      <c r="S31" s="28">
        <f t="shared" si="5"/>
        <v>-9869835614.0530663</v>
      </c>
      <c r="T31" s="38">
        <f t="shared" si="21"/>
        <v>-717370902.87692034</v>
      </c>
      <c r="U31" s="41">
        <f t="shared" si="22"/>
        <v>-718342530.40885174</v>
      </c>
      <c r="V31" s="41">
        <f t="shared" si="23"/>
        <v>-1380908485.7572415</v>
      </c>
      <c r="W31" s="41">
        <f t="shared" si="24"/>
        <v>-897928163.01106477</v>
      </c>
      <c r="X31" s="41">
        <f t="shared" si="25"/>
        <v>-2675125052.7368531</v>
      </c>
      <c r="Y31" s="43">
        <f t="shared" si="6"/>
        <v>21187876104.223145</v>
      </c>
      <c r="Z31" s="43">
        <f t="shared" si="7"/>
        <v>46171835009.854202</v>
      </c>
      <c r="AA31" s="43">
        <f t="shared" si="8"/>
        <v>2118787610.4223146</v>
      </c>
      <c r="AB31" s="28">
        <f t="shared" si="9"/>
        <v>-1271272566.2533886</v>
      </c>
      <c r="AC31" s="43">
        <f t="shared" si="10"/>
        <v>2308591750.4927101</v>
      </c>
      <c r="AD31" s="28">
        <f t="shared" si="11"/>
        <v>-1385155050.2956259</v>
      </c>
      <c r="AE31" s="42">
        <f>AE30*(1+3%)</f>
        <v>30900001.030000001</v>
      </c>
    </row>
    <row r="32" spans="1:31" x14ac:dyDescent="0.3">
      <c r="A32" s="26">
        <v>2035</v>
      </c>
      <c r="B32" s="27">
        <v>13</v>
      </c>
      <c r="C32" s="26">
        <v>0</v>
      </c>
      <c r="D32" s="26">
        <v>0</v>
      </c>
      <c r="E32" s="29">
        <f t="shared" si="12"/>
        <v>93551768.073511556</v>
      </c>
      <c r="F32" s="30">
        <f t="shared" si="13"/>
        <v>95165073.425948158</v>
      </c>
      <c r="G32" s="29">
        <f t="shared" si="14"/>
        <v>93551768.073511556</v>
      </c>
      <c r="H32" s="30">
        <f t="shared" si="15"/>
        <v>120801874.33404353</v>
      </c>
      <c r="I32" s="31">
        <f t="shared" si="16"/>
        <v>12590850.584094901</v>
      </c>
      <c r="J32" s="30">
        <f t="shared" si="0"/>
        <v>108211023.74994864</v>
      </c>
      <c r="K32" s="34">
        <f t="shared" si="17"/>
        <v>121.35524440334568</v>
      </c>
      <c r="L32" s="34">
        <f t="shared" si="18"/>
        <v>60.67762220167284</v>
      </c>
      <c r="M32" s="33">
        <f t="shared" si="1"/>
        <v>22901778423.194382</v>
      </c>
      <c r="N32" s="33">
        <f t="shared" si="2"/>
        <v>25248955788.176788</v>
      </c>
      <c r="O32" s="36">
        <f t="shared" si="19"/>
        <v>43.687887985204448</v>
      </c>
      <c r="P32" s="36">
        <f t="shared" si="20"/>
        <v>58.250517313605918</v>
      </c>
      <c r="Q32" s="35">
        <f t="shared" si="3"/>
        <v>34.950310388163551</v>
      </c>
      <c r="R32" s="28">
        <f t="shared" si="4"/>
        <v>-9630493921.6621704</v>
      </c>
      <c r="S32" s="28">
        <f t="shared" si="5"/>
        <v>-10830481412.84791</v>
      </c>
      <c r="T32" s="38">
        <f t="shared" si="21"/>
        <v>-728131466.42007411</v>
      </c>
      <c r="U32" s="41">
        <f t="shared" si="22"/>
        <v>-754259656.92929435</v>
      </c>
      <c r="V32" s="41">
        <f t="shared" si="23"/>
        <v>-1518999334.3329659</v>
      </c>
      <c r="W32" s="41">
        <f t="shared" si="24"/>
        <v>-942824571.16161799</v>
      </c>
      <c r="X32" s="41">
        <f t="shared" si="25"/>
        <v>-3076393810.6473808</v>
      </c>
      <c r="Y32" s="43">
        <f t="shared" si="6"/>
        <v>22901778423.194382</v>
      </c>
      <c r="Z32" s="43">
        <f t="shared" si="7"/>
        <v>50497911576.353577</v>
      </c>
      <c r="AA32" s="43">
        <f t="shared" si="8"/>
        <v>2290177842.3194385</v>
      </c>
      <c r="AB32" s="28">
        <f t="shared" si="9"/>
        <v>-1374106705.3916628</v>
      </c>
      <c r="AC32" s="43">
        <f t="shared" si="10"/>
        <v>2524895578.8176789</v>
      </c>
      <c r="AD32" s="28">
        <f t="shared" si="11"/>
        <v>-1514937347.2906072</v>
      </c>
      <c r="AE32" s="42">
        <f t="shared" ref="AE32:AE39" si="27">AE31*(1+3%)</f>
        <v>31827001.060900003</v>
      </c>
    </row>
    <row r="33" spans="1:31" x14ac:dyDescent="0.3">
      <c r="A33" s="26">
        <v>2036</v>
      </c>
      <c r="B33" s="27">
        <v>14</v>
      </c>
      <c r="C33" s="26">
        <v>0</v>
      </c>
      <c r="D33" s="26">
        <v>0</v>
      </c>
      <c r="E33" s="29">
        <f t="shared" si="12"/>
        <v>98229356.477187142</v>
      </c>
      <c r="F33" s="30">
        <f t="shared" si="13"/>
        <v>102778279.30002402</v>
      </c>
      <c r="G33" s="29">
        <f t="shared" si="14"/>
        <v>98229356.477187142</v>
      </c>
      <c r="H33" s="30">
        <f t="shared" si="15"/>
        <v>132882061.7674479</v>
      </c>
      <c r="I33" s="31">
        <f t="shared" si="16"/>
        <v>13598118.630822493</v>
      </c>
      <c r="J33" s="30">
        <f t="shared" si="0"/>
        <v>119283943.13662541</v>
      </c>
      <c r="K33" s="34">
        <f t="shared" si="17"/>
        <v>123.17557306939585</v>
      </c>
      <c r="L33" s="34">
        <f t="shared" si="18"/>
        <v>61.587786534697926</v>
      </c>
      <c r="M33" s="33">
        <f t="shared" si="1"/>
        <v>24759230728.182381</v>
      </c>
      <c r="N33" s="33">
        <f t="shared" si="2"/>
        <v>27629803357.655155</v>
      </c>
      <c r="O33" s="36">
        <f t="shared" si="19"/>
        <v>44.343206304982509</v>
      </c>
      <c r="P33" s="36">
        <f t="shared" si="20"/>
        <v>59.124275073310002</v>
      </c>
      <c r="Q33" s="35">
        <f t="shared" si="3"/>
        <v>35.474565043985997</v>
      </c>
      <c r="R33" s="28">
        <f t="shared" si="4"/>
        <v>-10432495876.369682</v>
      </c>
      <c r="S33" s="28">
        <f t="shared" si="5"/>
        <v>-11890768629.157438</v>
      </c>
      <c r="T33" s="38">
        <f t="shared" si="21"/>
        <v>-739053438.41637516</v>
      </c>
      <c r="U33" s="41">
        <f t="shared" si="22"/>
        <v>-791972639.7757591</v>
      </c>
      <c r="V33" s="41">
        <f t="shared" si="23"/>
        <v>-1670899267.7662625</v>
      </c>
      <c r="W33" s="41">
        <f t="shared" si="24"/>
        <v>-989965799.71969891</v>
      </c>
      <c r="X33" s="41">
        <f t="shared" si="25"/>
        <v>-3537852882.2444878</v>
      </c>
      <c r="Y33" s="43">
        <f t="shared" si="6"/>
        <v>24759230728.182381</v>
      </c>
      <c r="Z33" s="43">
        <f t="shared" si="7"/>
        <v>55259606715.31031</v>
      </c>
      <c r="AA33" s="43">
        <f t="shared" si="8"/>
        <v>2475923072.8182383</v>
      </c>
      <c r="AB33" s="28">
        <f t="shared" si="9"/>
        <v>-1485553843.6909428</v>
      </c>
      <c r="AC33" s="43">
        <f t="shared" si="10"/>
        <v>2762980335.7655158</v>
      </c>
      <c r="AD33" s="28">
        <f t="shared" si="11"/>
        <v>-1657788201.4593093</v>
      </c>
      <c r="AE33" s="42">
        <f t="shared" si="27"/>
        <v>32781811.092727005</v>
      </c>
    </row>
    <row r="34" spans="1:31" x14ac:dyDescent="0.3">
      <c r="A34" s="26">
        <v>2037</v>
      </c>
      <c r="B34" s="27">
        <v>15</v>
      </c>
      <c r="C34" s="26">
        <v>0</v>
      </c>
      <c r="D34" s="26">
        <v>0</v>
      </c>
      <c r="E34" s="29">
        <f t="shared" si="12"/>
        <v>103140824.30104651</v>
      </c>
      <c r="F34" s="30">
        <f t="shared" si="13"/>
        <v>111000541.64402595</v>
      </c>
      <c r="G34" s="29">
        <f t="shared" si="14"/>
        <v>103140824.30104651</v>
      </c>
      <c r="H34" s="30">
        <f t="shared" si="15"/>
        <v>146170267.94419271</v>
      </c>
      <c r="I34" s="31">
        <f t="shared" si="16"/>
        <v>14685968.121288294</v>
      </c>
      <c r="J34" s="30">
        <f t="shared" si="0"/>
        <v>131484299.82290441</v>
      </c>
      <c r="K34" s="34">
        <f t="shared" si="17"/>
        <v>125.02320666543677</v>
      </c>
      <c r="L34" s="34">
        <f t="shared" si="18"/>
        <v>62.511603332718387</v>
      </c>
      <c r="M34" s="33">
        <f t="shared" si="1"/>
        <v>26772640250.16972</v>
      </c>
      <c r="N34" s="33">
        <f t="shared" si="2"/>
        <v>30251628796.007389</v>
      </c>
      <c r="O34" s="36">
        <f t="shared" si="19"/>
        <v>45.008354399557241</v>
      </c>
      <c r="P34" s="36">
        <f t="shared" si="20"/>
        <v>60.011139199409648</v>
      </c>
      <c r="Q34" s="35">
        <f t="shared" si="3"/>
        <v>36.00668351964579</v>
      </c>
      <c r="R34" s="28">
        <f t="shared" si="4"/>
        <v>-11303467729.013477</v>
      </c>
      <c r="S34" s="28">
        <f t="shared" si="5"/>
        <v>-13061514398.736031</v>
      </c>
      <c r="T34" s="38">
        <f t="shared" si="21"/>
        <v>-750139239.99262071</v>
      </c>
      <c r="U34" s="41">
        <f t="shared" si="22"/>
        <v>-831571271.76454711</v>
      </c>
      <c r="V34" s="41">
        <f t="shared" si="23"/>
        <v>-1837989194.5428889</v>
      </c>
      <c r="W34" s="41">
        <f t="shared" si="24"/>
        <v>-1039464089.7056839</v>
      </c>
      <c r="X34" s="41">
        <f t="shared" si="25"/>
        <v>-4068530814.5811605</v>
      </c>
      <c r="Y34" s="43">
        <f t="shared" si="6"/>
        <v>26772640250.16972</v>
      </c>
      <c r="Z34" s="43">
        <f t="shared" si="7"/>
        <v>60503257592.014778</v>
      </c>
      <c r="AA34" s="43">
        <f t="shared" si="8"/>
        <v>2677264025.0169721</v>
      </c>
      <c r="AB34" s="28">
        <f t="shared" si="9"/>
        <v>-1606358415.0101831</v>
      </c>
      <c r="AC34" s="43">
        <f t="shared" si="10"/>
        <v>3025162879.600739</v>
      </c>
      <c r="AD34" s="28">
        <f t="shared" si="11"/>
        <v>-1815097727.7604432</v>
      </c>
      <c r="AE34" s="42">
        <f t="shared" si="27"/>
        <v>33765265.42550882</v>
      </c>
    </row>
    <row r="35" spans="1:31" x14ac:dyDescent="0.3">
      <c r="A35" s="26">
        <v>2038</v>
      </c>
      <c r="B35" s="27">
        <v>16</v>
      </c>
      <c r="C35" s="26">
        <v>0</v>
      </c>
      <c r="D35" s="26">
        <v>0</v>
      </c>
      <c r="E35" s="29">
        <f t="shared" si="12"/>
        <v>108297865.51609884</v>
      </c>
      <c r="F35" s="30">
        <f t="shared" si="13"/>
        <v>119880584.97554803</v>
      </c>
      <c r="G35" s="29">
        <f t="shared" si="14"/>
        <v>108297865.51609884</v>
      </c>
      <c r="H35" s="30">
        <f t="shared" si="15"/>
        <v>160787294.738612</v>
      </c>
      <c r="I35" s="31">
        <f t="shared" si="16"/>
        <v>15860845.570991358</v>
      </c>
      <c r="J35" s="30">
        <f t="shared" si="0"/>
        <v>144926449.16762063</v>
      </c>
      <c r="K35" s="34">
        <f t="shared" si="17"/>
        <v>126.89855476541831</v>
      </c>
      <c r="L35" s="34">
        <f t="shared" si="18"/>
        <v>63.449277382709155</v>
      </c>
      <c r="M35" s="33">
        <f t="shared" si="1"/>
        <v>28955515596.002544</v>
      </c>
      <c r="N35" s="33">
        <f t="shared" si="2"/>
        <v>33140158754.985638</v>
      </c>
      <c r="O35" s="36">
        <f t="shared" si="19"/>
        <v>45.683479715550597</v>
      </c>
      <c r="P35" s="36">
        <f t="shared" si="20"/>
        <v>60.911306287400784</v>
      </c>
      <c r="Q35" s="35">
        <f t="shared" si="3"/>
        <v>36.54678377244047</v>
      </c>
      <c r="R35" s="28">
        <f t="shared" si="4"/>
        <v>-12249506371.900509</v>
      </c>
      <c r="S35" s="28">
        <f t="shared" si="5"/>
        <v>-14354745570.467579</v>
      </c>
      <c r="T35" s="38">
        <f t="shared" si="21"/>
        <v>-761391328.59250998</v>
      </c>
      <c r="U35" s="41">
        <f t="shared" si="22"/>
        <v>-873149835.3527745</v>
      </c>
      <c r="V35" s="41">
        <f t="shared" si="23"/>
        <v>-2021788113.9971778</v>
      </c>
      <c r="W35" s="41">
        <f t="shared" si="24"/>
        <v>-1091437294.1909683</v>
      </c>
      <c r="X35" s="41">
        <f t="shared" si="25"/>
        <v>-4678810436.7683344</v>
      </c>
      <c r="Y35" s="43">
        <f t="shared" si="6"/>
        <v>28955515596.002544</v>
      </c>
      <c r="Z35" s="43">
        <f t="shared" si="7"/>
        <v>66280317509.971275</v>
      </c>
      <c r="AA35" s="43">
        <f t="shared" si="8"/>
        <v>2895551559.6002545</v>
      </c>
      <c r="AB35" s="28">
        <f t="shared" si="9"/>
        <v>-1737330935.7601526</v>
      </c>
      <c r="AC35" s="43">
        <f t="shared" si="10"/>
        <v>3314015875.4985638</v>
      </c>
      <c r="AD35" s="28">
        <f t="shared" si="11"/>
        <v>-1988409525.2991381</v>
      </c>
      <c r="AE35" s="42">
        <f t="shared" si="27"/>
        <v>34778223.388274089</v>
      </c>
    </row>
    <row r="36" spans="1:31" x14ac:dyDescent="0.3">
      <c r="A36" s="26">
        <v>2039</v>
      </c>
      <c r="B36" s="27">
        <v>17</v>
      </c>
      <c r="C36" s="26">
        <v>0</v>
      </c>
      <c r="D36" s="26">
        <v>0</v>
      </c>
      <c r="E36" s="29">
        <f t="shared" si="12"/>
        <v>113712758.79190379</v>
      </c>
      <c r="F36" s="30">
        <f t="shared" si="13"/>
        <v>129471031.77359188</v>
      </c>
      <c r="G36" s="29">
        <f t="shared" si="14"/>
        <v>113712758.79190379</v>
      </c>
      <c r="H36" s="30">
        <f t="shared" si="15"/>
        <v>176866024.21247321</v>
      </c>
      <c r="I36" s="31">
        <f t="shared" si="16"/>
        <v>17129713.216670666</v>
      </c>
      <c r="J36" s="30">
        <f t="shared" si="0"/>
        <v>159736310.99580255</v>
      </c>
      <c r="K36" s="34">
        <f t="shared" si="17"/>
        <v>128.80203308689957</v>
      </c>
      <c r="L36" s="34">
        <f t="shared" si="18"/>
        <v>64.401016543449785</v>
      </c>
      <c r="M36" s="33">
        <f t="shared" si="1"/>
        <v>31322566638.614628</v>
      </c>
      <c r="N36" s="33">
        <f t="shared" si="2"/>
        <v>36323967078.629425</v>
      </c>
      <c r="O36" s="36">
        <f t="shared" si="19"/>
        <v>46.368731911283852</v>
      </c>
      <c r="P36" s="36">
        <f t="shared" si="20"/>
        <v>61.824975881711786</v>
      </c>
      <c r="Q36" s="35">
        <f t="shared" si="3"/>
        <v>37.09498552902707</v>
      </c>
      <c r="R36" s="28">
        <f t="shared" si="4"/>
        <v>-13277259844.096931</v>
      </c>
      <c r="S36" s="28">
        <f t="shared" si="5"/>
        <v>-15783836465.95216</v>
      </c>
      <c r="T36" s="38">
        <f t="shared" si="21"/>
        <v>-772812198.52139759</v>
      </c>
      <c r="U36" s="41">
        <f t="shared" si="22"/>
        <v>-916807327.1204133</v>
      </c>
      <c r="V36" s="41">
        <f t="shared" si="23"/>
        <v>-2223966925.3968959</v>
      </c>
      <c r="W36" s="41">
        <f t="shared" si="24"/>
        <v>-1146009158.9005167</v>
      </c>
      <c r="X36" s="41">
        <f t="shared" si="25"/>
        <v>-5380632002.2835846</v>
      </c>
      <c r="Y36" s="43">
        <f t="shared" si="6"/>
        <v>31322566638.614628</v>
      </c>
      <c r="Z36" s="43">
        <f t="shared" si="7"/>
        <v>72647934157.25885</v>
      </c>
      <c r="AA36" s="43">
        <f t="shared" si="8"/>
        <v>3132256663.8614631</v>
      </c>
      <c r="AB36" s="28">
        <f t="shared" si="9"/>
        <v>-1879353998.3168776</v>
      </c>
      <c r="AC36" s="43">
        <f t="shared" si="10"/>
        <v>3632396707.8629427</v>
      </c>
      <c r="AD36" s="28">
        <f t="shared" si="11"/>
        <v>-2179438024.7177653</v>
      </c>
      <c r="AE36" s="42">
        <f t="shared" si="27"/>
        <v>35821570.089922309</v>
      </c>
    </row>
    <row r="37" spans="1:31" x14ac:dyDescent="0.3">
      <c r="A37" s="26">
        <v>2040</v>
      </c>
      <c r="B37" s="27">
        <v>18</v>
      </c>
      <c r="C37" s="26">
        <v>0</v>
      </c>
      <c r="D37" s="26">
        <v>0</v>
      </c>
      <c r="E37" s="29">
        <f t="shared" si="12"/>
        <v>119398396.73149899</v>
      </c>
      <c r="F37" s="30">
        <f t="shared" si="13"/>
        <v>139828714.31547925</v>
      </c>
      <c r="G37" s="29">
        <f t="shared" si="14"/>
        <v>119398396.73149899</v>
      </c>
      <c r="H37" s="30">
        <f t="shared" si="15"/>
        <v>194552626.63372055</v>
      </c>
      <c r="I37" s="31">
        <f t="shared" si="16"/>
        <v>18500090.274004322</v>
      </c>
      <c r="J37" s="30">
        <f t="shared" si="0"/>
        <v>176052536.35971624</v>
      </c>
      <c r="K37" s="34">
        <f t="shared" si="17"/>
        <v>130.73406358320304</v>
      </c>
      <c r="L37" s="34">
        <f t="shared" si="18"/>
        <v>65.367031791601519</v>
      </c>
      <c r="M37" s="33">
        <f t="shared" si="1"/>
        <v>33889813618.105686</v>
      </c>
      <c r="N37" s="33">
        <f t="shared" si="2"/>
        <v>39834797061.551941</v>
      </c>
      <c r="O37" s="36">
        <f t="shared" si="19"/>
        <v>47.064262889953106</v>
      </c>
      <c r="P37" s="36">
        <f t="shared" si="20"/>
        <v>62.752350519937458</v>
      </c>
      <c r="Q37" s="35">
        <f t="shared" si="3"/>
        <v>37.651410311962472</v>
      </c>
      <c r="R37" s="28">
        <f t="shared" si="4"/>
        <v>-14393978025.887337</v>
      </c>
      <c r="S37" s="28">
        <f t="shared" si="5"/>
        <v>-17363662493.694016</v>
      </c>
      <c r="T37" s="38">
        <f t="shared" si="21"/>
        <v>-784404381.49921846</v>
      </c>
      <c r="U37" s="41">
        <f t="shared" si="22"/>
        <v>-962647693.47643399</v>
      </c>
      <c r="V37" s="41">
        <f t="shared" si="23"/>
        <v>-2446363617.9365859</v>
      </c>
      <c r="W37" s="41">
        <f t="shared" si="24"/>
        <v>-1203309616.8455427</v>
      </c>
      <c r="X37" s="41">
        <f t="shared" si="25"/>
        <v>-6187726802.6261215</v>
      </c>
      <c r="Y37" s="43">
        <f t="shared" si="6"/>
        <v>33889813618.105686</v>
      </c>
      <c r="Z37" s="43">
        <f t="shared" si="7"/>
        <v>79669594123.103882</v>
      </c>
      <c r="AA37" s="43">
        <f t="shared" si="8"/>
        <v>3388981361.8105688</v>
      </c>
      <c r="AB37" s="28">
        <f t="shared" si="9"/>
        <v>-2033388817.0863411</v>
      </c>
      <c r="AC37" s="43">
        <f t="shared" si="10"/>
        <v>3983479706.1551943</v>
      </c>
      <c r="AD37" s="28">
        <f t="shared" si="11"/>
        <v>-2390087823.6931162</v>
      </c>
      <c r="AE37" s="42">
        <f t="shared" si="27"/>
        <v>36896217.192619979</v>
      </c>
    </row>
    <row r="38" spans="1:31" x14ac:dyDescent="0.3">
      <c r="A38" s="26">
        <v>2041</v>
      </c>
      <c r="B38" s="27">
        <v>19</v>
      </c>
      <c r="C38" s="26">
        <v>0</v>
      </c>
      <c r="D38" s="26">
        <v>0</v>
      </c>
      <c r="E38" s="29">
        <f t="shared" si="12"/>
        <v>125368316.56807394</v>
      </c>
      <c r="F38" s="30">
        <f t="shared" si="13"/>
        <v>151015011.46071759</v>
      </c>
      <c r="G38" s="29">
        <f t="shared" si="14"/>
        <v>125368316.56807394</v>
      </c>
      <c r="H38" s="30">
        <f t="shared" si="15"/>
        <v>214007889.29709262</v>
      </c>
      <c r="I38" s="31">
        <f t="shared" si="16"/>
        <v>19980097.49592467</v>
      </c>
      <c r="J38" s="30">
        <f t="shared" si="0"/>
        <v>194027791.80116794</v>
      </c>
      <c r="K38" s="34">
        <f t="shared" si="17"/>
        <v>132.69507453695107</v>
      </c>
      <c r="L38" s="34">
        <f t="shared" si="18"/>
        <v>66.347537268475534</v>
      </c>
      <c r="M38" s="33">
        <f t="shared" si="1"/>
        <v>36674706313.551094</v>
      </c>
      <c r="N38" s="33">
        <f t="shared" si="2"/>
        <v>43707920670.107292</v>
      </c>
      <c r="O38" s="36">
        <f t="shared" si="19"/>
        <v>47.770226833302395</v>
      </c>
      <c r="P38" s="36">
        <f t="shared" si="20"/>
        <v>63.693635777736517</v>
      </c>
      <c r="Q38" s="35">
        <f t="shared" si="3"/>
        <v>38.216181466641906</v>
      </c>
      <c r="R38" s="28">
        <f t="shared" si="4"/>
        <v>-15607568057.115807</v>
      </c>
      <c r="S38" s="28">
        <f t="shared" si="5"/>
        <v>-19110771453.533691</v>
      </c>
      <c r="T38" s="38">
        <f t="shared" si="21"/>
        <v>-796170447.22170663</v>
      </c>
      <c r="U38" s="41">
        <f t="shared" si="22"/>
        <v>-1010780078.1502557</v>
      </c>
      <c r="V38" s="41">
        <f t="shared" si="23"/>
        <v>-2690999979.7302446</v>
      </c>
      <c r="W38" s="41">
        <f t="shared" si="24"/>
        <v>-1263475097.68782</v>
      </c>
      <c r="X38" s="41">
        <f t="shared" si="25"/>
        <v>-7115885823.0200396</v>
      </c>
      <c r="Y38" s="43">
        <f t="shared" si="6"/>
        <v>36674706313.551094</v>
      </c>
      <c r="Z38" s="43">
        <f t="shared" si="7"/>
        <v>87415841340.214584</v>
      </c>
      <c r="AA38" s="43">
        <f t="shared" si="8"/>
        <v>3667470631.3551097</v>
      </c>
      <c r="AB38" s="28">
        <f t="shared" si="9"/>
        <v>-2200482378.8130655</v>
      </c>
      <c r="AC38" s="43">
        <f t="shared" si="10"/>
        <v>4370792067.0107298</v>
      </c>
      <c r="AD38" s="28">
        <f t="shared" si="11"/>
        <v>-2622475240.2064376</v>
      </c>
      <c r="AE38" s="42">
        <f t="shared" si="27"/>
        <v>38003103.708398581</v>
      </c>
    </row>
    <row r="39" spans="1:31" x14ac:dyDescent="0.3">
      <c r="A39" s="26">
        <v>2042</v>
      </c>
      <c r="B39" s="27">
        <v>20</v>
      </c>
      <c r="C39" s="26">
        <v>0</v>
      </c>
      <c r="D39" s="26">
        <v>0</v>
      </c>
      <c r="E39" s="29">
        <f t="shared" si="12"/>
        <v>131636732.39647764</v>
      </c>
      <c r="F39" s="30">
        <f t="shared" si="13"/>
        <v>163096212.37757501</v>
      </c>
      <c r="G39" s="29">
        <f t="shared" si="14"/>
        <v>131636732.39647764</v>
      </c>
      <c r="H39" s="30">
        <f t="shared" si="15"/>
        <v>235408678.2268019</v>
      </c>
      <c r="I39" s="31">
        <f t="shared" si="16"/>
        <v>21578505.295598645</v>
      </c>
      <c r="J39" s="30">
        <f t="shared" si="0"/>
        <v>213830172.93120325</v>
      </c>
      <c r="K39" s="34">
        <f t="shared" si="17"/>
        <v>134.68550065500531</v>
      </c>
      <c r="L39" s="34">
        <f t="shared" si="18"/>
        <v>67.342750327502657</v>
      </c>
      <c r="M39" s="33">
        <f t="shared" si="1"/>
        <v>39696254226.417313</v>
      </c>
      <c r="N39" s="33">
        <f t="shared" si="2"/>
        <v>47982538998.356216</v>
      </c>
      <c r="O39" s="36">
        <f>O38*(1+$C$12)</f>
        <v>48.486780235801923</v>
      </c>
      <c r="P39" s="36">
        <f t="shared" si="20"/>
        <v>64.649040314402555</v>
      </c>
      <c r="Q39" s="35">
        <f t="shared" si="3"/>
        <v>38.789424188641533</v>
      </c>
      <c r="R39" s="28">
        <f t="shared" si="4"/>
        <v>-16926654923.791286</v>
      </c>
      <c r="S39" s="28">
        <f t="shared" si="5"/>
        <v>-21043574580.199928</v>
      </c>
      <c r="T39" s="40">
        <f t="shared" si="21"/>
        <v>-808113003.93003213</v>
      </c>
      <c r="U39" s="41">
        <f t="shared" si="22"/>
        <v>-1061319082.0577685</v>
      </c>
      <c r="V39" s="41">
        <f t="shared" si="23"/>
        <v>-2960099977.7032695</v>
      </c>
      <c r="W39" s="41">
        <f t="shared" si="24"/>
        <v>-1326648852.572211</v>
      </c>
      <c r="X39" s="41">
        <f t="shared" si="25"/>
        <v>-8183268696.4730444</v>
      </c>
      <c r="Y39" s="43">
        <f t="shared" si="6"/>
        <v>39696254226.417313</v>
      </c>
      <c r="Z39" s="43">
        <f t="shared" si="7"/>
        <v>95965077996.712433</v>
      </c>
      <c r="AA39" s="32">
        <f t="shared" si="8"/>
        <v>3969625422.6417313</v>
      </c>
      <c r="AB39" s="28">
        <f t="shared" si="9"/>
        <v>-2381775253.5850387</v>
      </c>
      <c r="AC39" s="32">
        <f t="shared" si="10"/>
        <v>4798253899.8356218</v>
      </c>
      <c r="AD39" s="28">
        <f t="shared" si="11"/>
        <v>-2878952339.9013729</v>
      </c>
      <c r="AE39" s="42">
        <f t="shared" si="27"/>
        <v>39143196.819650538</v>
      </c>
    </row>
  </sheetData>
  <mergeCells count="21">
    <mergeCell ref="AE16:AE17"/>
    <mergeCell ref="Y17:Z17"/>
    <mergeCell ref="Y16:Z16"/>
    <mergeCell ref="T16:T17"/>
    <mergeCell ref="U17:V17"/>
    <mergeCell ref="U16:V16"/>
    <mergeCell ref="W17:X17"/>
    <mergeCell ref="W16:X16"/>
    <mergeCell ref="AA16:AD16"/>
    <mergeCell ref="AA17:AB17"/>
    <mergeCell ref="AC17:AD17"/>
    <mergeCell ref="A1:B1"/>
    <mergeCell ref="E17:F17"/>
    <mergeCell ref="G17:J17"/>
    <mergeCell ref="E16:J16"/>
    <mergeCell ref="A16:D17"/>
    <mergeCell ref="O17:P17"/>
    <mergeCell ref="O16:Q16"/>
    <mergeCell ref="R16:S17"/>
    <mergeCell ref="K16:L17"/>
    <mergeCell ref="M16:N17"/>
  </mergeCells>
  <pageMargins left="0.7" right="0.7" top="0.75" bottom="0.75" header="0.3" footer="0.3"/>
  <pageSetup orientation="portrait" r:id="rId1"/>
  <ignoredErrors>
    <ignoredError sqref="F20 V20 V21:V39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FEA3-364F-4578-A424-4C3507077423}">
  <dimension ref="A1:T18"/>
  <sheetViews>
    <sheetView tabSelected="1" workbookViewId="0">
      <selection activeCell="B18" sqref="B18"/>
    </sheetView>
  </sheetViews>
  <sheetFormatPr defaultRowHeight="14.4" x14ac:dyDescent="0.3"/>
  <cols>
    <col min="1" max="1" width="15.88671875" customWidth="1"/>
    <col min="2" max="2" width="14.77734375" bestFit="1" customWidth="1"/>
    <col min="3" max="3" width="18.109375" customWidth="1"/>
    <col min="4" max="4" width="17" customWidth="1"/>
    <col min="5" max="5" width="16.44140625" customWidth="1"/>
    <col min="6" max="6" width="16.6640625" customWidth="1"/>
    <col min="7" max="7" width="16.88671875" customWidth="1"/>
    <col min="8" max="8" width="16.77734375" customWidth="1"/>
    <col min="9" max="9" width="17.6640625" customWidth="1"/>
    <col min="10" max="10" width="16.77734375" customWidth="1"/>
    <col min="11" max="11" width="17.44140625" customWidth="1"/>
    <col min="12" max="12" width="15" customWidth="1"/>
    <col min="13" max="13" width="16.109375" customWidth="1"/>
    <col min="14" max="14" width="15.5546875" bestFit="1" customWidth="1"/>
    <col min="15" max="15" width="15.6640625" customWidth="1"/>
    <col min="16" max="16" width="15.5546875" bestFit="1" customWidth="1"/>
    <col min="17" max="17" width="16" customWidth="1"/>
    <col min="18" max="18" width="14.44140625" customWidth="1"/>
    <col min="19" max="19" width="16.44140625" customWidth="1"/>
    <col min="20" max="20" width="15.5546875" bestFit="1" customWidth="1"/>
  </cols>
  <sheetData>
    <row r="1" spans="1:20" x14ac:dyDescent="0.3">
      <c r="A1" s="44" t="s">
        <v>37</v>
      </c>
      <c r="C1" s="26" t="s">
        <v>39</v>
      </c>
      <c r="D1" s="53">
        <v>0.11</v>
      </c>
    </row>
    <row r="2" spans="1:20" ht="15" thickBot="1" x14ac:dyDescent="0.35"/>
    <row r="3" spans="1:20" ht="15" thickBot="1" x14ac:dyDescent="0.35">
      <c r="A3" s="59" t="s">
        <v>11</v>
      </c>
      <c r="B3" s="60" t="s">
        <v>10</v>
      </c>
      <c r="C3" s="60" t="s">
        <v>12</v>
      </c>
      <c r="D3" s="60" t="s">
        <v>38</v>
      </c>
      <c r="E3" s="60" t="str">
        <f>'Q1)Cashflows'!D18</f>
        <v>Introductory Costs</v>
      </c>
      <c r="F3" s="60" t="s">
        <v>38</v>
      </c>
      <c r="G3" s="60" t="s">
        <v>23</v>
      </c>
      <c r="H3" s="60" t="s">
        <v>38</v>
      </c>
      <c r="I3" s="60" t="s">
        <v>26</v>
      </c>
      <c r="J3" s="60" t="s">
        <v>38</v>
      </c>
      <c r="K3" s="60" t="s">
        <v>40</v>
      </c>
      <c r="L3" s="60" t="s">
        <v>38</v>
      </c>
      <c r="M3" s="60" t="s">
        <v>30</v>
      </c>
      <c r="N3" s="60" t="s">
        <v>38</v>
      </c>
      <c r="O3" s="60" t="s">
        <v>31</v>
      </c>
      <c r="P3" s="60" t="s">
        <v>38</v>
      </c>
      <c r="Q3" s="60" t="s">
        <v>35</v>
      </c>
      <c r="R3" s="60" t="s">
        <v>38</v>
      </c>
      <c r="S3" s="60" t="s">
        <v>36</v>
      </c>
      <c r="T3" s="61" t="s">
        <v>38</v>
      </c>
    </row>
    <row r="4" spans="1:20" x14ac:dyDescent="0.3">
      <c r="A4" s="55">
        <v>0</v>
      </c>
      <c r="B4" s="55">
        <v>2022</v>
      </c>
      <c r="C4" s="56">
        <f>'Q1)Cashflows'!C19</f>
        <v>-1500000000</v>
      </c>
      <c r="D4" s="56">
        <f>C4*(1+$D$1)^-A4</f>
        <v>-1500000000</v>
      </c>
      <c r="E4" s="56">
        <f>'Q1)Cashflows'!D19</f>
        <v>-1000000000</v>
      </c>
      <c r="F4" s="56">
        <f>E4*(1+$D$1)^-A4</f>
        <v>-1000000000</v>
      </c>
      <c r="G4" s="57">
        <f>'Q1)Cashflows'!N19</f>
        <v>8460450000</v>
      </c>
      <c r="H4" s="57">
        <f>G4*(1+$D$1)^-A4</f>
        <v>8460450000</v>
      </c>
      <c r="I4" s="56">
        <f>'Q1)Cashflows'!S19</f>
        <v>-3465666000.0000005</v>
      </c>
      <c r="J4" s="56">
        <f>I4*(1+$D$1)^-A4</f>
        <v>-3465666000.0000005</v>
      </c>
      <c r="K4" s="58">
        <v>0</v>
      </c>
      <c r="L4" s="55">
        <f>K4*(1+$D$1)^-A4</f>
        <v>0</v>
      </c>
      <c r="M4" s="56">
        <f>'Q1)Cashflows'!V19</f>
        <v>-440000000</v>
      </c>
      <c r="N4" s="56">
        <f>M4*(1+$D$1)^-A4</f>
        <v>-440000000</v>
      </c>
      <c r="O4" s="56">
        <f>'Q1)Cashflows'!X19</f>
        <v>-500000000</v>
      </c>
      <c r="P4" s="56">
        <f>O4*(1+$D$1)^-A4</f>
        <v>-500000000</v>
      </c>
      <c r="Q4" s="58">
        <v>0</v>
      </c>
      <c r="R4" s="57">
        <f>Q4*(1+$D$1)^-A4</f>
        <v>0</v>
      </c>
      <c r="S4" s="56">
        <f>'Q1)Cashflows'!AD19</f>
        <v>-507627000</v>
      </c>
      <c r="T4" s="56">
        <f>S4*(1+$D$1)^-A4</f>
        <v>-507627000</v>
      </c>
    </row>
    <row r="5" spans="1:20" x14ac:dyDescent="0.3">
      <c r="A5" s="26">
        <v>1</v>
      </c>
      <c r="B5" s="26">
        <v>2023</v>
      </c>
      <c r="C5" s="26">
        <f>'Q1)Cashflows'!C20</f>
        <v>0</v>
      </c>
      <c r="D5" s="52">
        <f t="shared" ref="D5:D14" si="0">C5*(1+$D$1)^-A5</f>
        <v>0</v>
      </c>
      <c r="E5" s="37">
        <f>'Q1)Cashflows'!D20</f>
        <v>0</v>
      </c>
      <c r="F5" s="37">
        <f t="shared" ref="F5:F14" si="1">E5*(1+$D$1)^-A5</f>
        <v>0</v>
      </c>
      <c r="G5" s="32">
        <f>'Q1)Cashflows'!N20</f>
        <v>8940558987.5</v>
      </c>
      <c r="H5" s="32">
        <f t="shared" ref="H5:H14" si="2">G5*(1+$D$1)^-A5</f>
        <v>8054557646.3963957</v>
      </c>
      <c r="I5" s="28">
        <f>'Q1)Cashflows'!S20</f>
        <v>-3681334051.500001</v>
      </c>
      <c r="J5" s="28">
        <f t="shared" ref="J5:J14" si="3">I5*(1+$D$1)^-A5</f>
        <v>-3316517163.513514</v>
      </c>
      <c r="K5" s="37">
        <v>0</v>
      </c>
      <c r="L5" s="26">
        <f t="shared" ref="L5:L14" si="4">K5*(1+$D$1)^-A5</f>
        <v>0</v>
      </c>
      <c r="M5" s="28">
        <f>'Q1)Cashflows'!V20</f>
        <v>-484000000.00000006</v>
      </c>
      <c r="N5" s="28">
        <f t="shared" ref="N5:N14" si="5">M5*(1+$D$1)^-A5</f>
        <v>-436036036.03603601</v>
      </c>
      <c r="O5" s="28">
        <f>'Q1)Cashflows'!X20</f>
        <v>-575000000</v>
      </c>
      <c r="P5" s="28">
        <f t="shared" ref="P5:P14" si="6">O5*(1+$D$1)^-A5</f>
        <v>-518018018.01801795</v>
      </c>
      <c r="Q5" s="37">
        <v>0</v>
      </c>
      <c r="R5" s="32">
        <f t="shared" ref="R5:R14" si="7">Q5*(1+$D$1)^-A5</f>
        <v>0</v>
      </c>
      <c r="S5" s="28">
        <f>'Q1)Cashflows'!AD20</f>
        <v>-536433539.25</v>
      </c>
      <c r="T5" s="28">
        <f t="shared" ref="T5:T14" si="8">S5*(1+$D$1)^-A5</f>
        <v>-483273458.78378373</v>
      </c>
    </row>
    <row r="6" spans="1:20" x14ac:dyDescent="0.3">
      <c r="A6" s="26">
        <v>2</v>
      </c>
      <c r="B6" s="26">
        <v>2024</v>
      </c>
      <c r="C6" s="26">
        <f>'Q1)Cashflows'!C21</f>
        <v>0</v>
      </c>
      <c r="D6" s="52">
        <f t="shared" si="0"/>
        <v>0</v>
      </c>
      <c r="E6" s="37">
        <f>'Q1)Cashflows'!D21</f>
        <v>0</v>
      </c>
      <c r="F6" s="37">
        <f t="shared" si="1"/>
        <v>0</v>
      </c>
      <c r="G6" s="32">
        <f>'Q1)Cashflows'!N21</f>
        <v>9718947036.0281258</v>
      </c>
      <c r="H6" s="32">
        <f t="shared" si="2"/>
        <v>7888115441.9512405</v>
      </c>
      <c r="I6" s="28">
        <f>'Q1)Cashflows'!S21</f>
        <v>-4015585749.0341258</v>
      </c>
      <c r="J6" s="28">
        <f t="shared" si="3"/>
        <v>-3259139476.5312271</v>
      </c>
      <c r="K6" s="37">
        <v>0</v>
      </c>
      <c r="L6" s="26">
        <f t="shared" si="4"/>
        <v>0</v>
      </c>
      <c r="M6" s="28">
        <f>'Q1)Cashflows'!V21</f>
        <v>-532400000.00000012</v>
      </c>
      <c r="N6" s="28">
        <f t="shared" si="5"/>
        <v>-432107783.45913482</v>
      </c>
      <c r="O6" s="28">
        <f>'Q1)Cashflows'!X21</f>
        <v>-661250000</v>
      </c>
      <c r="P6" s="28">
        <f t="shared" si="6"/>
        <v>-536685333.98263115</v>
      </c>
      <c r="Q6" s="37">
        <v>0</v>
      </c>
      <c r="R6" s="32">
        <f t="shared" si="7"/>
        <v>0</v>
      </c>
      <c r="S6" s="28">
        <f>'Q1)Cashflows'!AD21</f>
        <v>-583136822.16168749</v>
      </c>
      <c r="T6" s="28">
        <f t="shared" si="8"/>
        <v>-473286926.51707441</v>
      </c>
    </row>
    <row r="7" spans="1:20" x14ac:dyDescent="0.3">
      <c r="A7" s="26">
        <v>3</v>
      </c>
      <c r="B7" s="26">
        <v>2025</v>
      </c>
      <c r="C7" s="26">
        <f>'Q1)Cashflows'!C22</f>
        <v>0</v>
      </c>
      <c r="D7" s="52">
        <f t="shared" si="0"/>
        <v>0</v>
      </c>
      <c r="E7" s="37">
        <f>'Q1)Cashflows'!D22</f>
        <v>0</v>
      </c>
      <c r="F7" s="37">
        <f t="shared" si="1"/>
        <v>0</v>
      </c>
      <c r="G7" s="32">
        <f>'Q1)Cashflows'!N22</f>
        <v>10570869593.882374</v>
      </c>
      <c r="H7" s="32">
        <f t="shared" si="2"/>
        <v>7729328739.9030676</v>
      </c>
      <c r="I7" s="28">
        <f>'Q1)Cashflows'!S22</f>
        <v>-4382616490.8505116</v>
      </c>
      <c r="J7" s="28">
        <f t="shared" si="3"/>
        <v>-3204531405.6573086</v>
      </c>
      <c r="K7" s="37">
        <v>0</v>
      </c>
      <c r="L7" s="26">
        <f t="shared" si="4"/>
        <v>0</v>
      </c>
      <c r="M7" s="28">
        <f>'Q1)Cashflows'!V22</f>
        <v>-585640000.00000012</v>
      </c>
      <c r="N7" s="28">
        <f t="shared" si="5"/>
        <v>-428214920.54508853</v>
      </c>
      <c r="O7" s="28">
        <f>'Q1)Cashflows'!X22</f>
        <v>-760437500</v>
      </c>
      <c r="P7" s="28">
        <f t="shared" si="6"/>
        <v>-556025346.01804125</v>
      </c>
      <c r="Q7" s="37">
        <v>0</v>
      </c>
      <c r="R7" s="32">
        <f t="shared" si="7"/>
        <v>0</v>
      </c>
      <c r="S7" s="28">
        <f>'Q1)Cashflows'!AD22</f>
        <v>-634252175.63294244</v>
      </c>
      <c r="T7" s="28">
        <f t="shared" si="8"/>
        <v>-463759724.39418405</v>
      </c>
    </row>
    <row r="8" spans="1:20" x14ac:dyDescent="0.3">
      <c r="A8" s="26">
        <v>4</v>
      </c>
      <c r="B8" s="26">
        <v>2026</v>
      </c>
      <c r="C8" s="26">
        <f>'Q1)Cashflows'!C23</f>
        <v>0</v>
      </c>
      <c r="D8" s="52">
        <f t="shared" si="0"/>
        <v>0</v>
      </c>
      <c r="E8" s="37">
        <f>'Q1)Cashflows'!D23</f>
        <v>0</v>
      </c>
      <c r="F8" s="37">
        <f t="shared" si="1"/>
        <v>0</v>
      </c>
      <c r="G8" s="32">
        <f>'Q1)Cashflows'!N23</f>
        <v>11503781059.373167</v>
      </c>
      <c r="H8" s="32">
        <f t="shared" si="2"/>
        <v>7577896903.5916882</v>
      </c>
      <c r="I8" s="28">
        <f>'Q1)Cashflows'!S23</f>
        <v>-4785845725.7773085</v>
      </c>
      <c r="J8" s="28">
        <f t="shared" si="3"/>
        <v>-3152584817.0489717</v>
      </c>
      <c r="K8" s="28">
        <f>'Q1)Cashflows'!T23</f>
        <v>-636818130.37499976</v>
      </c>
      <c r="L8" s="28">
        <f t="shared" si="4"/>
        <v>-419491827.3751213</v>
      </c>
      <c r="M8" s="28">
        <f>'Q1)Cashflows'!V23</f>
        <v>-644204000.00000024</v>
      </c>
      <c r="N8" s="28">
        <f t="shared" si="5"/>
        <v>-424357128.46810585</v>
      </c>
      <c r="O8" s="28">
        <f>'Q1)Cashflows'!X23</f>
        <v>-874503124.99999988</v>
      </c>
      <c r="P8" s="28">
        <f t="shared" si="6"/>
        <v>-576062295.4240967</v>
      </c>
      <c r="Q8" s="37">
        <v>0</v>
      </c>
      <c r="R8" s="32">
        <f t="shared" si="7"/>
        <v>0</v>
      </c>
      <c r="S8" s="28">
        <f>'Q1)Cashflows'!AD23</f>
        <v>-690226863.56238997</v>
      </c>
      <c r="T8" s="28">
        <f t="shared" si="8"/>
        <v>-454673814.21550125</v>
      </c>
    </row>
    <row r="9" spans="1:20" x14ac:dyDescent="0.3">
      <c r="A9" s="26">
        <v>5</v>
      </c>
      <c r="B9" s="26">
        <v>2027</v>
      </c>
      <c r="C9" s="26">
        <f>'Q1)Cashflows'!C24</f>
        <v>0</v>
      </c>
      <c r="D9" s="52">
        <f t="shared" si="0"/>
        <v>0</v>
      </c>
      <c r="E9" s="37">
        <f>'Q1)Cashflows'!D24</f>
        <v>0</v>
      </c>
      <c r="F9" s="37">
        <f t="shared" si="1"/>
        <v>0</v>
      </c>
      <c r="G9" s="32">
        <f>'Q1)Cashflows'!N24</f>
        <v>12525932581.328533</v>
      </c>
      <c r="H9" s="32">
        <f t="shared" si="2"/>
        <v>7433531325.5613871</v>
      </c>
      <c r="I9" s="28">
        <f>'Q1)Cashflows'!S24</f>
        <v>-5229065571.2146378</v>
      </c>
      <c r="J9" s="28">
        <f t="shared" si="3"/>
        <v>-3103195907.7426119</v>
      </c>
      <c r="K9" s="37">
        <v>0</v>
      </c>
      <c r="L9" s="26">
        <f t="shared" si="4"/>
        <v>0</v>
      </c>
      <c r="M9" s="28">
        <f>'Q1)Cashflows'!V24</f>
        <v>-708624400.00000036</v>
      </c>
      <c r="N9" s="28">
        <f t="shared" si="5"/>
        <v>-420534091.27469945</v>
      </c>
      <c r="O9" s="28">
        <f>'Q1)Cashflows'!X24</f>
        <v>-1005678593.7499998</v>
      </c>
      <c r="P9" s="28">
        <f t="shared" si="6"/>
        <v>-596821297.06100094</v>
      </c>
      <c r="Q9" s="37">
        <v>0</v>
      </c>
      <c r="R9" s="32">
        <f t="shared" si="7"/>
        <v>0</v>
      </c>
      <c r="S9" s="28">
        <f>'Q1)Cashflows'!AD24</f>
        <v>-751555954.87971199</v>
      </c>
      <c r="T9" s="28">
        <f t="shared" si="8"/>
        <v>-446011879.53368324</v>
      </c>
    </row>
    <row r="10" spans="1:20" x14ac:dyDescent="0.3">
      <c r="A10" s="26">
        <v>6</v>
      </c>
      <c r="B10" s="26">
        <v>2028</v>
      </c>
      <c r="C10" s="26">
        <f>'Q1)Cashflows'!C25</f>
        <v>0</v>
      </c>
      <c r="D10" s="52">
        <f t="shared" si="0"/>
        <v>0</v>
      </c>
      <c r="E10" s="37">
        <f>'Q1)Cashflows'!D25</f>
        <v>0</v>
      </c>
      <c r="F10" s="37">
        <f t="shared" si="1"/>
        <v>0</v>
      </c>
      <c r="G10" s="32">
        <f>'Q1)Cashflows'!N25</f>
        <v>13646460306.758236</v>
      </c>
      <c r="H10" s="32">
        <f t="shared" si="2"/>
        <v>7295954948.0577297</v>
      </c>
      <c r="I10" s="28">
        <f>'Q1)Cashflows'!S25</f>
        <v>-5716482593.0535946</v>
      </c>
      <c r="J10" s="28">
        <f t="shared" si="3"/>
        <v>-3056265033.0371971</v>
      </c>
      <c r="K10" s="37">
        <v>0</v>
      </c>
      <c r="L10" s="26">
        <f t="shared" si="4"/>
        <v>0</v>
      </c>
      <c r="M10" s="28">
        <f>'Q1)Cashflows'!V25</f>
        <v>-779486840.00000048</v>
      </c>
      <c r="N10" s="28">
        <f t="shared" si="5"/>
        <v>-416745495.85781032</v>
      </c>
      <c r="O10" s="28">
        <f>'Q1)Cashflows'!X25</f>
        <v>-1156530382.8124995</v>
      </c>
      <c r="P10" s="28">
        <f t="shared" si="6"/>
        <v>-618328370.82896483</v>
      </c>
      <c r="Q10" s="37">
        <v>0</v>
      </c>
      <c r="R10" s="32">
        <f t="shared" si="7"/>
        <v>0</v>
      </c>
      <c r="S10" s="28">
        <f>'Q1)Cashflows'!AD25</f>
        <v>-818787618.40549409</v>
      </c>
      <c r="T10" s="28">
        <f t="shared" si="8"/>
        <v>-437757296.88346374</v>
      </c>
    </row>
    <row r="11" spans="1:20" x14ac:dyDescent="0.3">
      <c r="A11" s="26">
        <v>7</v>
      </c>
      <c r="B11" s="26">
        <v>2029</v>
      </c>
      <c r="C11" s="26">
        <f>'Q1)Cashflows'!C26</f>
        <v>0</v>
      </c>
      <c r="D11" s="52">
        <f t="shared" si="0"/>
        <v>0</v>
      </c>
      <c r="E11" s="37">
        <f>'Q1)Cashflows'!D26</f>
        <v>0</v>
      </c>
      <c r="F11" s="37">
        <f t="shared" si="1"/>
        <v>0</v>
      </c>
      <c r="G11" s="32">
        <f>'Q1)Cashflows'!N26</f>
        <v>14875483622.078798</v>
      </c>
      <c r="H11" s="32">
        <f t="shared" si="2"/>
        <v>7164901802.642643</v>
      </c>
      <c r="I11" s="28">
        <f>'Q1)Cashflows'!S26</f>
        <v>-6252764350.5492706</v>
      </c>
      <c r="J11" s="28">
        <f t="shared" si="3"/>
        <v>-3011696540.7602267</v>
      </c>
      <c r="K11" s="37">
        <v>0</v>
      </c>
      <c r="L11" s="26">
        <f t="shared" si="4"/>
        <v>0</v>
      </c>
      <c r="M11" s="28">
        <f>'Q1)Cashflows'!V26</f>
        <v>-857435524.0000006</v>
      </c>
      <c r="N11" s="28">
        <f t="shared" si="5"/>
        <v>-412991031.93116343</v>
      </c>
      <c r="O11" s="28">
        <f>'Q1)Cashflows'!X26</f>
        <v>-1330009940.2343743</v>
      </c>
      <c r="P11" s="28">
        <f t="shared" si="6"/>
        <v>-640610474.28226089</v>
      </c>
      <c r="Q11" s="37">
        <v>0</v>
      </c>
      <c r="R11" s="32">
        <f t="shared" si="7"/>
        <v>0</v>
      </c>
      <c r="S11" s="28">
        <f>'Q1)Cashflows'!AD26</f>
        <v>-892529017.32472789</v>
      </c>
      <c r="T11" s="28">
        <f t="shared" si="8"/>
        <v>-429894108.15855861</v>
      </c>
    </row>
    <row r="12" spans="1:20" x14ac:dyDescent="0.3">
      <c r="A12" s="26">
        <v>8</v>
      </c>
      <c r="B12" s="26">
        <v>2030</v>
      </c>
      <c r="C12" s="26">
        <f>'Q1)Cashflows'!C27</f>
        <v>0</v>
      </c>
      <c r="D12" s="52">
        <f t="shared" si="0"/>
        <v>0</v>
      </c>
      <c r="E12" s="37">
        <f>'Q1)Cashflows'!D27</f>
        <v>0</v>
      </c>
      <c r="F12" s="37">
        <f t="shared" si="1"/>
        <v>0</v>
      </c>
      <c r="G12" s="32">
        <f>'Q1)Cashflows'!N27</f>
        <v>16224214534.552168</v>
      </c>
      <c r="H12" s="32">
        <f>G12*(1+$D$1)^-A12</f>
        <v>7040116568.1656456</v>
      </c>
      <c r="I12" s="28">
        <f>'Q1)Cashflows'!S27</f>
        <v>-6843091255.0279684</v>
      </c>
      <c r="J12" s="28">
        <f t="shared" si="3"/>
        <v>-2969398612.141912</v>
      </c>
      <c r="K12" s="37">
        <v>0</v>
      </c>
      <c r="L12" s="26">
        <f t="shared" si="4"/>
        <v>0</v>
      </c>
      <c r="M12" s="28">
        <f>'Q1)Cashflows'!V27</f>
        <v>-943179076.40000069</v>
      </c>
      <c r="N12" s="28">
        <f t="shared" si="5"/>
        <v>-409270392.00385553</v>
      </c>
      <c r="O12" s="28">
        <f>'Q1)Cashflows'!X27</f>
        <v>-1529511431.2695303</v>
      </c>
      <c r="P12" s="28">
        <f t="shared" si="6"/>
        <v>-663695536.41855824</v>
      </c>
      <c r="Q12" s="37">
        <v>0</v>
      </c>
      <c r="R12" s="32">
        <f t="shared" si="7"/>
        <v>0</v>
      </c>
      <c r="S12" s="28">
        <f>'Q1)Cashflows'!AD27</f>
        <v>-973452872.07313001</v>
      </c>
      <c r="T12" s="28">
        <f t="shared" si="8"/>
        <v>-422406994.08993876</v>
      </c>
    </row>
    <row r="13" spans="1:20" x14ac:dyDescent="0.3">
      <c r="A13" s="26">
        <v>9</v>
      </c>
      <c r="B13" s="26">
        <v>2031</v>
      </c>
      <c r="C13" s="26">
        <f>'Q1)Cashflows'!C28</f>
        <v>0</v>
      </c>
      <c r="D13" s="52">
        <f t="shared" si="0"/>
        <v>0</v>
      </c>
      <c r="E13" s="37">
        <f>'Q1)Cashflows'!D28</f>
        <v>0</v>
      </c>
      <c r="F13" s="37">
        <f t="shared" si="1"/>
        <v>0</v>
      </c>
      <c r="G13" s="32">
        <f>'Q1)Cashflows'!N28</f>
        <v>17705079473.143105</v>
      </c>
      <c r="H13" s="32">
        <f t="shared" si="2"/>
        <v>6921354146.3594542</v>
      </c>
      <c r="I13" s="28">
        <f>'Q1)Cashflows'!S28</f>
        <v>-7493214354.8909655</v>
      </c>
      <c r="J13" s="28">
        <f t="shared" si="3"/>
        <v>-2929283109.0341172</v>
      </c>
      <c r="K13" s="37">
        <v>0</v>
      </c>
      <c r="L13" s="26">
        <f t="shared" si="4"/>
        <v>0</v>
      </c>
      <c r="M13" s="28">
        <f>'Q1)Cashflows'!V28</f>
        <v>-1037496984.0400008</v>
      </c>
      <c r="N13" s="28">
        <f t="shared" si="5"/>
        <v>-405583271.35517216</v>
      </c>
      <c r="O13" s="28">
        <f>'Q1)Cashflows'!X28</f>
        <v>-1758938145.9599597</v>
      </c>
      <c r="P13" s="28">
        <f t="shared" si="6"/>
        <v>-687612492.68589365</v>
      </c>
      <c r="Q13" s="37">
        <v>0</v>
      </c>
      <c r="R13" s="32">
        <f t="shared" si="7"/>
        <v>0</v>
      </c>
      <c r="S13" s="28">
        <f>'Q1)Cashflows'!AD28</f>
        <v>-1062304768.3885863</v>
      </c>
      <c r="T13" s="28">
        <f t="shared" si="8"/>
        <v>-415281248.78156728</v>
      </c>
    </row>
    <row r="14" spans="1:20" x14ac:dyDescent="0.3">
      <c r="A14" s="26">
        <v>10</v>
      </c>
      <c r="B14" s="26">
        <v>2032</v>
      </c>
      <c r="C14" s="26">
        <f>'Q1)Cashflows'!C29</f>
        <v>0</v>
      </c>
      <c r="D14" s="52">
        <f t="shared" si="0"/>
        <v>0</v>
      </c>
      <c r="E14" s="32">
        <f>'Q1)Cashflows'!D29</f>
        <v>200000000</v>
      </c>
      <c r="F14" s="32">
        <f t="shared" si="1"/>
        <v>70436895.754893377</v>
      </c>
      <c r="G14" s="32">
        <f>'Q1)Cashflows'!N29</f>
        <v>19331854935.939003</v>
      </c>
      <c r="H14" s="32">
        <f t="shared" si="2"/>
        <v>6808379254.3572826</v>
      </c>
      <c r="I14" s="28">
        <f>'Q1)Cashflows'!S29</f>
        <v>-8209519730.3474627</v>
      </c>
      <c r="J14" s="28">
        <f t="shared" si="3"/>
        <v>-2891265427.2211232</v>
      </c>
      <c r="K14" s="32">
        <v>696324495</v>
      </c>
      <c r="L14" s="32">
        <f t="shared" si="4"/>
        <v>245234679.32946888</v>
      </c>
      <c r="M14" s="28">
        <f>'Q1)Cashflows'!V29</f>
        <v>-1141246682.444001</v>
      </c>
      <c r="N14" s="28">
        <f t="shared" si="5"/>
        <v>-401929368.00963002</v>
      </c>
      <c r="O14" s="28">
        <f>'Q1)Cashflows'!X29</f>
        <v>-2022778867.8539536</v>
      </c>
      <c r="P14" s="28">
        <f t="shared" si="6"/>
        <v>-712391321.25115097</v>
      </c>
      <c r="Q14" s="32">
        <f>'Q1)Cashflows'!AC29</f>
        <v>1933185493.5939004</v>
      </c>
      <c r="R14" s="32">
        <f t="shared" si="7"/>
        <v>680837925.43572831</v>
      </c>
      <c r="S14" s="28">
        <f>'Q1)Cashflows'!AD29</f>
        <v>-1159911296.1563401</v>
      </c>
      <c r="T14" s="28">
        <f t="shared" si="8"/>
        <v>-408502755.26143694</v>
      </c>
    </row>
    <row r="15" spans="1:20" x14ac:dyDescent="0.3">
      <c r="A15" s="26"/>
      <c r="B15" s="26"/>
      <c r="C15" s="42"/>
      <c r="D15" s="42">
        <f t="shared" ref="D15:I15" si="9">SUM(D4:D14)</f>
        <v>-1500000000</v>
      </c>
      <c r="E15" s="42"/>
      <c r="F15" s="42">
        <f t="shared" si="9"/>
        <v>-929563104.24510658</v>
      </c>
      <c r="G15" s="42"/>
      <c r="H15" s="42">
        <f t="shared" si="9"/>
        <v>82374586776.986542</v>
      </c>
      <c r="I15" s="42"/>
      <c r="J15" s="42">
        <f t="shared" ref="J15" si="10">SUM(J4:J14)</f>
        <v>-34359543492.68821</v>
      </c>
      <c r="K15" s="42"/>
      <c r="L15" s="42">
        <f t="shared" ref="L15" si="11">SUM(L4:L14)</f>
        <v>-174257148.04565242</v>
      </c>
      <c r="M15" s="42"/>
      <c r="N15" s="42">
        <f t="shared" ref="N15:O15" si="12">SUM(N4:N14)</f>
        <v>-4627769518.9406967</v>
      </c>
      <c r="O15" s="42"/>
      <c r="P15" s="42">
        <f t="shared" ref="P15" si="13">SUM(P4:P14)</f>
        <v>-6606250485.9706163</v>
      </c>
      <c r="Q15" s="42"/>
      <c r="R15" s="42">
        <f t="shared" ref="R15" si="14">SUM(R4:R14)</f>
        <v>680837925.43572831</v>
      </c>
      <c r="S15" s="42"/>
      <c r="T15" s="42">
        <f t="shared" ref="T15" si="15">SUM(T4:T14)</f>
        <v>-4942475206.6191921</v>
      </c>
    </row>
    <row r="17" spans="1:2" x14ac:dyDescent="0.3">
      <c r="A17" s="26" t="s">
        <v>41</v>
      </c>
      <c r="B17" s="42">
        <f>SUM(D15:T15)</f>
        <v>29915565745.912796</v>
      </c>
    </row>
    <row r="18" spans="1:2" x14ac:dyDescent="0.3">
      <c r="A18" s="26" t="s">
        <v>42</v>
      </c>
      <c r="B18" s="26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91194-B3A9-4805-972B-EEB19FCBE0DE}">
  <dimension ref="A1:T31"/>
  <sheetViews>
    <sheetView topLeftCell="B7" workbookViewId="0">
      <selection activeCell="D28" sqref="D28"/>
    </sheetView>
  </sheetViews>
  <sheetFormatPr defaultRowHeight="14.4" x14ac:dyDescent="0.3"/>
  <cols>
    <col min="1" max="1" width="12" customWidth="1"/>
    <col min="3" max="3" width="16.77734375" customWidth="1"/>
    <col min="4" max="4" width="19.109375" customWidth="1"/>
    <col min="5" max="5" width="18.21875" customWidth="1"/>
    <col min="6" max="6" width="15.33203125" customWidth="1"/>
    <col min="7" max="7" width="17.33203125" customWidth="1"/>
    <col min="8" max="8" width="16.44140625" customWidth="1"/>
    <col min="9" max="9" width="16.6640625" customWidth="1"/>
    <col min="10" max="10" width="17.33203125" customWidth="1"/>
    <col min="11" max="11" width="15.33203125" customWidth="1"/>
    <col min="12" max="12" width="14.6640625" customWidth="1"/>
    <col min="13" max="13" width="15.44140625" customWidth="1"/>
    <col min="14" max="14" width="16.109375" customWidth="1"/>
    <col min="15" max="15" width="14.77734375" customWidth="1"/>
    <col min="16" max="16" width="17.44140625" customWidth="1"/>
    <col min="17" max="17" width="14.6640625" customWidth="1"/>
    <col min="18" max="18" width="13.44140625" customWidth="1"/>
    <col min="19" max="19" width="17.109375" customWidth="1"/>
    <col min="20" max="20" width="14.77734375" customWidth="1"/>
  </cols>
  <sheetData>
    <row r="1" spans="1:20" x14ac:dyDescent="0.3">
      <c r="C1" s="26" t="s">
        <v>39</v>
      </c>
      <c r="D1" s="53">
        <v>0.11</v>
      </c>
    </row>
    <row r="2" spans="1:20" ht="15" thickBot="1" x14ac:dyDescent="0.35"/>
    <row r="3" spans="1:20" ht="15" thickBot="1" x14ac:dyDescent="0.35">
      <c r="A3" s="59" t="s">
        <v>11</v>
      </c>
      <c r="B3" s="60" t="s">
        <v>10</v>
      </c>
      <c r="C3" s="60" t="s">
        <v>12</v>
      </c>
      <c r="D3" s="60" t="s">
        <v>38</v>
      </c>
      <c r="E3" s="60" t="str">
        <f>'Q1)Cashflows'!D18</f>
        <v>Introductory Costs</v>
      </c>
      <c r="F3" s="60" t="s">
        <v>38</v>
      </c>
      <c r="G3" s="60" t="s">
        <v>23</v>
      </c>
      <c r="H3" s="60" t="s">
        <v>38</v>
      </c>
      <c r="I3" s="60" t="s">
        <v>26</v>
      </c>
      <c r="J3" s="60" t="s">
        <v>38</v>
      </c>
      <c r="K3" s="60" t="s">
        <v>40</v>
      </c>
      <c r="L3" s="60" t="s">
        <v>38</v>
      </c>
      <c r="M3" s="60" t="s">
        <v>30</v>
      </c>
      <c r="N3" s="60" t="s">
        <v>38</v>
      </c>
      <c r="O3" s="60" t="s">
        <v>31</v>
      </c>
      <c r="P3" s="60" t="s">
        <v>38</v>
      </c>
      <c r="Q3" s="60" t="s">
        <v>35</v>
      </c>
      <c r="R3" s="60" t="s">
        <v>38</v>
      </c>
      <c r="S3" s="60" t="s">
        <v>36</v>
      </c>
      <c r="T3" s="61" t="s">
        <v>38</v>
      </c>
    </row>
    <row r="4" spans="1:20" x14ac:dyDescent="0.3">
      <c r="A4" s="55">
        <v>0</v>
      </c>
      <c r="B4" s="55">
        <v>2022</v>
      </c>
      <c r="C4" s="56">
        <f>'Q1)Cashflows'!C19</f>
        <v>-1500000000</v>
      </c>
      <c r="D4" s="56">
        <f>C4*(1+$D$1)^-A4</f>
        <v>-1500000000</v>
      </c>
      <c r="E4" s="56">
        <f>'Q1)Cashflows'!D19</f>
        <v>-1000000000</v>
      </c>
      <c r="F4" s="56">
        <f>E4*(1+$D$1)^-A4</f>
        <v>-1000000000</v>
      </c>
      <c r="G4" s="57">
        <f>'Q1)Cashflows'!N19</f>
        <v>8460450000</v>
      </c>
      <c r="H4" s="57">
        <f>G4*(1+$D$1)^-A4</f>
        <v>8460450000</v>
      </c>
      <c r="I4" s="56">
        <f>'Q1)Cashflows'!S19</f>
        <v>-3465666000.0000005</v>
      </c>
      <c r="J4" s="56">
        <f>I4*(1+$D$1)^-A4</f>
        <v>-3465666000.0000005</v>
      </c>
      <c r="K4" s="58">
        <v>0</v>
      </c>
      <c r="L4" s="58">
        <f>K4*(1+$D$1)^-A4</f>
        <v>0</v>
      </c>
      <c r="M4" s="56">
        <f>'Q1)Cashflows'!V19</f>
        <v>-440000000</v>
      </c>
      <c r="N4" s="56">
        <f>M4*(1+$D$1)^-A4</f>
        <v>-440000000</v>
      </c>
      <c r="O4" s="56">
        <f>'Q1)Cashflows'!X19</f>
        <v>-500000000</v>
      </c>
      <c r="P4" s="56">
        <f>O4*(1+$D$1)^-A4</f>
        <v>-500000000</v>
      </c>
      <c r="Q4" s="58">
        <v>0</v>
      </c>
      <c r="R4" s="57">
        <f>Q4*(1+$D$1)^-A4</f>
        <v>0</v>
      </c>
      <c r="S4" s="56">
        <f>'Q1)Cashflows'!AD19</f>
        <v>-507627000</v>
      </c>
      <c r="T4" s="56">
        <f>S4*(1+$D$1)^-A4</f>
        <v>-507627000</v>
      </c>
    </row>
    <row r="5" spans="1:20" x14ac:dyDescent="0.3">
      <c r="A5" s="26">
        <v>1</v>
      </c>
      <c r="B5" s="26">
        <v>2023</v>
      </c>
      <c r="C5" s="26">
        <f>'Q1)Cashflows'!C20</f>
        <v>0</v>
      </c>
      <c r="D5" s="52">
        <f t="shared" ref="D5:D24" si="0">C5*(1+$D$1)^-A5</f>
        <v>0</v>
      </c>
      <c r="E5" s="37">
        <f>'Q1)Cashflows'!D20</f>
        <v>0</v>
      </c>
      <c r="F5" s="37">
        <f t="shared" ref="F5:F24" si="1">E5*(1+$D$1)^-A5</f>
        <v>0</v>
      </c>
      <c r="G5" s="32">
        <f>'Q1)Cashflows'!N20</f>
        <v>8940558987.5</v>
      </c>
      <c r="H5" s="32">
        <f t="shared" ref="H5:H24" si="2">G5*(1+$D$1)^-A5</f>
        <v>8054557646.3963957</v>
      </c>
      <c r="I5" s="28">
        <f>'Q1)Cashflows'!S20</f>
        <v>-3681334051.500001</v>
      </c>
      <c r="J5" s="28">
        <f t="shared" ref="J5:J24" si="3">I5*(1+$D$1)^-A5</f>
        <v>-3316517163.513514</v>
      </c>
      <c r="K5" s="37">
        <v>0</v>
      </c>
      <c r="L5" s="37">
        <f t="shared" ref="L5:L24" si="4">K5*(1+$D$1)^-A5</f>
        <v>0</v>
      </c>
      <c r="M5" s="28">
        <f>'Q1)Cashflows'!V20</f>
        <v>-484000000.00000006</v>
      </c>
      <c r="N5" s="28">
        <f t="shared" ref="N5:N24" si="5">M5*(1+$D$1)^-A5</f>
        <v>-436036036.03603601</v>
      </c>
      <c r="O5" s="28">
        <f>'Q1)Cashflows'!X20</f>
        <v>-575000000</v>
      </c>
      <c r="P5" s="28">
        <f t="shared" ref="P5:P24" si="6">O5*(1+$D$1)^-A5</f>
        <v>-518018018.01801795</v>
      </c>
      <c r="Q5" s="37">
        <v>0</v>
      </c>
      <c r="R5" s="32">
        <f t="shared" ref="R5:R24" si="7">Q5*(1+$D$1)^-A5</f>
        <v>0</v>
      </c>
      <c r="S5" s="28">
        <f>'Q1)Cashflows'!AD20</f>
        <v>-536433539.25</v>
      </c>
      <c r="T5" s="28">
        <f t="shared" ref="T5:T24" si="8">S5*(1+$D$1)^-A5</f>
        <v>-483273458.78378373</v>
      </c>
    </row>
    <row r="6" spans="1:20" x14ac:dyDescent="0.3">
      <c r="A6" s="26">
        <v>2</v>
      </c>
      <c r="B6" s="26">
        <v>2024</v>
      </c>
      <c r="C6" s="26">
        <f>'Q1)Cashflows'!C21</f>
        <v>0</v>
      </c>
      <c r="D6" s="52">
        <f t="shared" si="0"/>
        <v>0</v>
      </c>
      <c r="E6" s="37">
        <f>'Q1)Cashflows'!D21</f>
        <v>0</v>
      </c>
      <c r="F6" s="37">
        <f t="shared" si="1"/>
        <v>0</v>
      </c>
      <c r="G6" s="32">
        <f>'Q1)Cashflows'!N21</f>
        <v>9718947036.0281258</v>
      </c>
      <c r="H6" s="32">
        <f t="shared" si="2"/>
        <v>7888115441.9512405</v>
      </c>
      <c r="I6" s="28">
        <f>'Q1)Cashflows'!S21</f>
        <v>-4015585749.0341258</v>
      </c>
      <c r="J6" s="28">
        <f t="shared" si="3"/>
        <v>-3259139476.5312271</v>
      </c>
      <c r="K6" s="37">
        <v>0</v>
      </c>
      <c r="L6" s="37">
        <f t="shared" si="4"/>
        <v>0</v>
      </c>
      <c r="M6" s="28">
        <f>'Q1)Cashflows'!V21</f>
        <v>-532400000.00000012</v>
      </c>
      <c r="N6" s="28">
        <f t="shared" si="5"/>
        <v>-432107783.45913482</v>
      </c>
      <c r="O6" s="28">
        <f>'Q1)Cashflows'!X21</f>
        <v>-661250000</v>
      </c>
      <c r="P6" s="28">
        <f t="shared" si="6"/>
        <v>-536685333.98263115</v>
      </c>
      <c r="Q6" s="37">
        <v>0</v>
      </c>
      <c r="R6" s="32">
        <f t="shared" si="7"/>
        <v>0</v>
      </c>
      <c r="S6" s="28">
        <f>'Q1)Cashflows'!AD21</f>
        <v>-583136822.16168749</v>
      </c>
      <c r="T6" s="28">
        <f t="shared" si="8"/>
        <v>-473286926.51707441</v>
      </c>
    </row>
    <row r="7" spans="1:20" x14ac:dyDescent="0.3">
      <c r="A7" s="26">
        <v>3</v>
      </c>
      <c r="B7" s="26">
        <v>2025</v>
      </c>
      <c r="C7" s="26">
        <f>'Q1)Cashflows'!C22</f>
        <v>0</v>
      </c>
      <c r="D7" s="52">
        <f t="shared" si="0"/>
        <v>0</v>
      </c>
      <c r="E7" s="37">
        <f>'Q1)Cashflows'!D22</f>
        <v>0</v>
      </c>
      <c r="F7" s="37">
        <f t="shared" si="1"/>
        <v>0</v>
      </c>
      <c r="G7" s="32">
        <f>'Q1)Cashflows'!N22</f>
        <v>10570869593.882374</v>
      </c>
      <c r="H7" s="32">
        <f t="shared" si="2"/>
        <v>7729328739.9030676</v>
      </c>
      <c r="I7" s="28">
        <f>'Q1)Cashflows'!S22</f>
        <v>-4382616490.8505116</v>
      </c>
      <c r="J7" s="28">
        <f t="shared" si="3"/>
        <v>-3204531405.6573086</v>
      </c>
      <c r="K7" s="37">
        <v>0</v>
      </c>
      <c r="L7" s="37">
        <f t="shared" si="4"/>
        <v>0</v>
      </c>
      <c r="M7" s="28">
        <f>'Q1)Cashflows'!V22</f>
        <v>-585640000.00000012</v>
      </c>
      <c r="N7" s="28">
        <f t="shared" si="5"/>
        <v>-428214920.54508853</v>
      </c>
      <c r="O7" s="28">
        <f>'Q1)Cashflows'!X22</f>
        <v>-760437500</v>
      </c>
      <c r="P7" s="28">
        <f t="shared" si="6"/>
        <v>-556025346.01804125</v>
      </c>
      <c r="Q7" s="37">
        <v>0</v>
      </c>
      <c r="R7" s="32">
        <f t="shared" si="7"/>
        <v>0</v>
      </c>
      <c r="S7" s="28">
        <f>'Q1)Cashflows'!AD22</f>
        <v>-634252175.63294244</v>
      </c>
      <c r="T7" s="28">
        <f t="shared" si="8"/>
        <v>-463759724.39418405</v>
      </c>
    </row>
    <row r="8" spans="1:20" x14ac:dyDescent="0.3">
      <c r="A8" s="26">
        <v>4</v>
      </c>
      <c r="B8" s="26">
        <v>2026</v>
      </c>
      <c r="C8" s="26">
        <f>'Q1)Cashflows'!C23</f>
        <v>0</v>
      </c>
      <c r="D8" s="52">
        <f t="shared" si="0"/>
        <v>0</v>
      </c>
      <c r="E8" s="37">
        <f>'Q1)Cashflows'!D23</f>
        <v>0</v>
      </c>
      <c r="F8" s="37">
        <f t="shared" si="1"/>
        <v>0</v>
      </c>
      <c r="G8" s="32">
        <f>'Q1)Cashflows'!N23</f>
        <v>11503781059.373167</v>
      </c>
      <c r="H8" s="32">
        <f t="shared" si="2"/>
        <v>7577896903.5916882</v>
      </c>
      <c r="I8" s="28">
        <f>'Q1)Cashflows'!S23</f>
        <v>-4785845725.7773085</v>
      </c>
      <c r="J8" s="28">
        <f t="shared" si="3"/>
        <v>-3152584817.0489717</v>
      </c>
      <c r="K8" s="28">
        <f>'Q1)Cashflows'!T23</f>
        <v>-636818130.37499976</v>
      </c>
      <c r="L8" s="28">
        <f t="shared" si="4"/>
        <v>-419491827.3751213</v>
      </c>
      <c r="M8" s="28">
        <f>'Q1)Cashflows'!V23</f>
        <v>-644204000.00000024</v>
      </c>
      <c r="N8" s="28">
        <f t="shared" si="5"/>
        <v>-424357128.46810585</v>
      </c>
      <c r="O8" s="28">
        <f>'Q1)Cashflows'!X23</f>
        <v>-874503124.99999988</v>
      </c>
      <c r="P8" s="28">
        <f t="shared" si="6"/>
        <v>-576062295.4240967</v>
      </c>
      <c r="Q8" s="37">
        <v>0</v>
      </c>
      <c r="R8" s="32">
        <f t="shared" si="7"/>
        <v>0</v>
      </c>
      <c r="S8" s="28">
        <f>'Q1)Cashflows'!AD23</f>
        <v>-690226863.56238997</v>
      </c>
      <c r="T8" s="28">
        <f t="shared" si="8"/>
        <v>-454673814.21550125</v>
      </c>
    </row>
    <row r="9" spans="1:20" x14ac:dyDescent="0.3">
      <c r="A9" s="26">
        <v>5</v>
      </c>
      <c r="B9" s="26">
        <v>2027</v>
      </c>
      <c r="C9" s="26">
        <f>'Q1)Cashflows'!C24</f>
        <v>0</v>
      </c>
      <c r="D9" s="52">
        <f t="shared" si="0"/>
        <v>0</v>
      </c>
      <c r="E9" s="37">
        <f>'Q1)Cashflows'!D24</f>
        <v>0</v>
      </c>
      <c r="F9" s="37">
        <f t="shared" si="1"/>
        <v>0</v>
      </c>
      <c r="G9" s="32">
        <f>'Q1)Cashflows'!N24</f>
        <v>12525932581.328533</v>
      </c>
      <c r="H9" s="32">
        <f t="shared" si="2"/>
        <v>7433531325.5613871</v>
      </c>
      <c r="I9" s="28">
        <f>'Q1)Cashflows'!S24</f>
        <v>-5229065571.2146378</v>
      </c>
      <c r="J9" s="28">
        <f t="shared" si="3"/>
        <v>-3103195907.7426119</v>
      </c>
      <c r="K9" s="37">
        <v>0</v>
      </c>
      <c r="L9" s="37">
        <f t="shared" si="4"/>
        <v>0</v>
      </c>
      <c r="M9" s="28">
        <f>'Q1)Cashflows'!V24</f>
        <v>-708624400.00000036</v>
      </c>
      <c r="N9" s="28">
        <f t="shared" si="5"/>
        <v>-420534091.27469945</v>
      </c>
      <c r="O9" s="28">
        <f>'Q1)Cashflows'!X24</f>
        <v>-1005678593.7499998</v>
      </c>
      <c r="P9" s="28">
        <f t="shared" si="6"/>
        <v>-596821297.06100094</v>
      </c>
      <c r="Q9" s="37">
        <v>0</v>
      </c>
      <c r="R9" s="32">
        <f t="shared" si="7"/>
        <v>0</v>
      </c>
      <c r="S9" s="28">
        <f>'Q1)Cashflows'!AD24</f>
        <v>-751555954.87971199</v>
      </c>
      <c r="T9" s="28">
        <f t="shared" si="8"/>
        <v>-446011879.53368324</v>
      </c>
    </row>
    <row r="10" spans="1:20" x14ac:dyDescent="0.3">
      <c r="A10" s="26">
        <v>6</v>
      </c>
      <c r="B10" s="26">
        <v>2028</v>
      </c>
      <c r="C10" s="26">
        <f>'Q1)Cashflows'!C25</f>
        <v>0</v>
      </c>
      <c r="D10" s="52">
        <f t="shared" si="0"/>
        <v>0</v>
      </c>
      <c r="E10" s="37">
        <f>'Q1)Cashflows'!D25</f>
        <v>0</v>
      </c>
      <c r="F10" s="37">
        <f t="shared" si="1"/>
        <v>0</v>
      </c>
      <c r="G10" s="32">
        <f>'Q1)Cashflows'!N25</f>
        <v>13646460306.758236</v>
      </c>
      <c r="H10" s="32">
        <f t="shared" si="2"/>
        <v>7295954948.0577297</v>
      </c>
      <c r="I10" s="28">
        <f>'Q1)Cashflows'!S25</f>
        <v>-5716482593.0535946</v>
      </c>
      <c r="J10" s="28">
        <f t="shared" si="3"/>
        <v>-3056265033.0371971</v>
      </c>
      <c r="K10" s="37">
        <v>0</v>
      </c>
      <c r="L10" s="37">
        <f t="shared" si="4"/>
        <v>0</v>
      </c>
      <c r="M10" s="28">
        <f>'Q1)Cashflows'!V25</f>
        <v>-779486840.00000048</v>
      </c>
      <c r="N10" s="28">
        <f t="shared" si="5"/>
        <v>-416745495.85781032</v>
      </c>
      <c r="O10" s="28">
        <f>'Q1)Cashflows'!X25</f>
        <v>-1156530382.8124995</v>
      </c>
      <c r="P10" s="28">
        <f t="shared" si="6"/>
        <v>-618328370.82896483</v>
      </c>
      <c r="Q10" s="37">
        <v>0</v>
      </c>
      <c r="R10" s="32">
        <f t="shared" si="7"/>
        <v>0</v>
      </c>
      <c r="S10" s="28">
        <f>'Q1)Cashflows'!AD25</f>
        <v>-818787618.40549409</v>
      </c>
      <c r="T10" s="28">
        <f t="shared" si="8"/>
        <v>-437757296.88346374</v>
      </c>
    </row>
    <row r="11" spans="1:20" x14ac:dyDescent="0.3">
      <c r="A11" s="26">
        <v>7</v>
      </c>
      <c r="B11" s="26">
        <v>2029</v>
      </c>
      <c r="C11" s="26">
        <f>'Q1)Cashflows'!C26</f>
        <v>0</v>
      </c>
      <c r="D11" s="52">
        <f t="shared" si="0"/>
        <v>0</v>
      </c>
      <c r="E11" s="37">
        <f>'Q1)Cashflows'!D26</f>
        <v>0</v>
      </c>
      <c r="F11" s="37">
        <f t="shared" si="1"/>
        <v>0</v>
      </c>
      <c r="G11" s="32">
        <f>'Q1)Cashflows'!N26</f>
        <v>14875483622.078798</v>
      </c>
      <c r="H11" s="32">
        <f t="shared" si="2"/>
        <v>7164901802.642643</v>
      </c>
      <c r="I11" s="28">
        <f>'Q1)Cashflows'!S26</f>
        <v>-6252764350.5492706</v>
      </c>
      <c r="J11" s="28">
        <f t="shared" si="3"/>
        <v>-3011696540.7602267</v>
      </c>
      <c r="K11" s="37">
        <v>0</v>
      </c>
      <c r="L11" s="37">
        <f t="shared" si="4"/>
        <v>0</v>
      </c>
      <c r="M11" s="28">
        <f>'Q1)Cashflows'!V26</f>
        <v>-857435524.0000006</v>
      </c>
      <c r="N11" s="28">
        <f t="shared" si="5"/>
        <v>-412991031.93116343</v>
      </c>
      <c r="O11" s="28">
        <f>'Q1)Cashflows'!X26</f>
        <v>-1330009940.2343743</v>
      </c>
      <c r="P11" s="28">
        <f t="shared" si="6"/>
        <v>-640610474.28226089</v>
      </c>
      <c r="Q11" s="37">
        <v>0</v>
      </c>
      <c r="R11" s="32">
        <f t="shared" si="7"/>
        <v>0</v>
      </c>
      <c r="S11" s="28">
        <f>'Q1)Cashflows'!AD26</f>
        <v>-892529017.32472789</v>
      </c>
      <c r="T11" s="28">
        <f t="shared" si="8"/>
        <v>-429894108.15855861</v>
      </c>
    </row>
    <row r="12" spans="1:20" x14ac:dyDescent="0.3">
      <c r="A12" s="26">
        <v>8</v>
      </c>
      <c r="B12" s="26">
        <v>2030</v>
      </c>
      <c r="C12" s="26">
        <f>'Q1)Cashflows'!C27</f>
        <v>0</v>
      </c>
      <c r="D12" s="52">
        <f t="shared" si="0"/>
        <v>0</v>
      </c>
      <c r="E12" s="37">
        <f>'Q1)Cashflows'!D27</f>
        <v>0</v>
      </c>
      <c r="F12" s="37">
        <f t="shared" si="1"/>
        <v>0</v>
      </c>
      <c r="G12" s="32">
        <f>'Q1)Cashflows'!N27</f>
        <v>16224214534.552168</v>
      </c>
      <c r="H12" s="32">
        <f>G12*(1+$D$1)^-A12</f>
        <v>7040116568.1656456</v>
      </c>
      <c r="I12" s="28">
        <f>'Q1)Cashflows'!S27</f>
        <v>-6843091255.0279684</v>
      </c>
      <c r="J12" s="28">
        <f t="shared" si="3"/>
        <v>-2969398612.141912</v>
      </c>
      <c r="K12" s="37">
        <v>0</v>
      </c>
      <c r="L12" s="37">
        <f t="shared" si="4"/>
        <v>0</v>
      </c>
      <c r="M12" s="28">
        <f>'Q1)Cashflows'!V27</f>
        <v>-943179076.40000069</v>
      </c>
      <c r="N12" s="28">
        <f t="shared" si="5"/>
        <v>-409270392.00385553</v>
      </c>
      <c r="O12" s="28">
        <f>'Q1)Cashflows'!X27</f>
        <v>-1529511431.2695303</v>
      </c>
      <c r="P12" s="28">
        <f t="shared" si="6"/>
        <v>-663695536.41855824</v>
      </c>
      <c r="Q12" s="37">
        <v>0</v>
      </c>
      <c r="R12" s="32">
        <f t="shared" si="7"/>
        <v>0</v>
      </c>
      <c r="S12" s="28">
        <f>'Q1)Cashflows'!AD27</f>
        <v>-973452872.07313001</v>
      </c>
      <c r="T12" s="28">
        <f t="shared" si="8"/>
        <v>-422406994.08993876</v>
      </c>
    </row>
    <row r="13" spans="1:20" x14ac:dyDescent="0.3">
      <c r="A13" s="26">
        <v>9</v>
      </c>
      <c r="B13" s="26">
        <v>2031</v>
      </c>
      <c r="C13" s="26">
        <f>'Q1)Cashflows'!C28</f>
        <v>0</v>
      </c>
      <c r="D13" s="52">
        <f t="shared" si="0"/>
        <v>0</v>
      </c>
      <c r="E13" s="37">
        <f>'Q1)Cashflows'!D28</f>
        <v>0</v>
      </c>
      <c r="F13" s="37">
        <f t="shared" si="1"/>
        <v>0</v>
      </c>
      <c r="G13" s="32">
        <f>'Q1)Cashflows'!N28</f>
        <v>17705079473.143105</v>
      </c>
      <c r="H13" s="32">
        <f t="shared" si="2"/>
        <v>6921354146.3594542</v>
      </c>
      <c r="I13" s="28">
        <f>'Q1)Cashflows'!S28</f>
        <v>-7493214354.8909655</v>
      </c>
      <c r="J13" s="28">
        <f t="shared" si="3"/>
        <v>-2929283109.0341172</v>
      </c>
      <c r="K13" s="37">
        <v>0</v>
      </c>
      <c r="L13" s="37">
        <f t="shared" si="4"/>
        <v>0</v>
      </c>
      <c r="M13" s="28">
        <f>'Q1)Cashflows'!V28</f>
        <v>-1037496984.0400008</v>
      </c>
      <c r="N13" s="28">
        <f t="shared" si="5"/>
        <v>-405583271.35517216</v>
      </c>
      <c r="O13" s="28">
        <f>'Q1)Cashflows'!X28</f>
        <v>-1758938145.9599597</v>
      </c>
      <c r="P13" s="28">
        <f t="shared" si="6"/>
        <v>-687612492.68589365</v>
      </c>
      <c r="Q13" s="37">
        <v>0</v>
      </c>
      <c r="R13" s="32">
        <f t="shared" si="7"/>
        <v>0</v>
      </c>
      <c r="S13" s="28">
        <f>'Q1)Cashflows'!AD28</f>
        <v>-1062304768.3885863</v>
      </c>
      <c r="T13" s="28">
        <f t="shared" si="8"/>
        <v>-415281248.78156728</v>
      </c>
    </row>
    <row r="14" spans="1:20" x14ac:dyDescent="0.3">
      <c r="A14" s="26">
        <v>10</v>
      </c>
      <c r="B14" s="26">
        <v>2032</v>
      </c>
      <c r="C14" s="26">
        <f>'Q1)Cashflows'!C29</f>
        <v>0</v>
      </c>
      <c r="D14" s="52">
        <f t="shared" si="0"/>
        <v>0</v>
      </c>
      <c r="E14" s="32"/>
      <c r="F14" s="32">
        <f t="shared" si="1"/>
        <v>0</v>
      </c>
      <c r="G14" s="32">
        <f>'Q1)Cashflows'!N29</f>
        <v>19331854935.939003</v>
      </c>
      <c r="H14" s="32">
        <f t="shared" si="2"/>
        <v>6808379254.3572826</v>
      </c>
      <c r="I14" s="28">
        <f>'Q1)Cashflows'!S29</f>
        <v>-8209519730.3474627</v>
      </c>
      <c r="J14" s="28">
        <f t="shared" si="3"/>
        <v>-2891265427.2211232</v>
      </c>
      <c r="K14" s="37">
        <v>0</v>
      </c>
      <c r="L14" s="37">
        <f t="shared" si="4"/>
        <v>0</v>
      </c>
      <c r="M14" s="28">
        <f>'Q1)Cashflows'!V29</f>
        <v>-1141246682.444001</v>
      </c>
      <c r="N14" s="28">
        <f t="shared" si="5"/>
        <v>-401929368.00963002</v>
      </c>
      <c r="O14" s="28">
        <f>'Q1)Cashflows'!X29</f>
        <v>-2022778867.8539536</v>
      </c>
      <c r="P14" s="28">
        <f t="shared" si="6"/>
        <v>-712391321.25115097</v>
      </c>
      <c r="Q14" s="37">
        <v>0</v>
      </c>
      <c r="R14" s="32">
        <f t="shared" si="7"/>
        <v>0</v>
      </c>
      <c r="S14" s="28">
        <f>'Q1)Cashflows'!AD29</f>
        <v>-1159911296.1563401</v>
      </c>
      <c r="T14" s="28">
        <f t="shared" si="8"/>
        <v>-408502755.26143694</v>
      </c>
    </row>
    <row r="15" spans="1:20" x14ac:dyDescent="0.3">
      <c r="A15" s="26">
        <v>11</v>
      </c>
      <c r="B15" s="26">
        <v>2033</v>
      </c>
      <c r="C15" s="26">
        <f>'Q1)Cashflows'!C30</f>
        <v>0</v>
      </c>
      <c r="D15" s="52">
        <f t="shared" si="0"/>
        <v>0</v>
      </c>
      <c r="E15" s="32">
        <f>'Q1)Cashflows'!D30</f>
        <v>0</v>
      </c>
      <c r="F15" s="32">
        <f t="shared" si="1"/>
        <v>0</v>
      </c>
      <c r="G15" s="32">
        <f>'Q1)Cashflows'!N30</f>
        <v>21119818576.391277</v>
      </c>
      <c r="H15" s="32">
        <f t="shared" si="2"/>
        <v>6700966033.4573565</v>
      </c>
      <c r="I15" s="28">
        <f>'Q1)Cashflows'!S30</f>
        <v>-8999100260.5276413</v>
      </c>
      <c r="J15" s="28">
        <f t="shared" si="3"/>
        <v>-2855264355.5793667</v>
      </c>
      <c r="K15" s="37">
        <v>0</v>
      </c>
      <c r="L15" s="37">
        <f t="shared" si="4"/>
        <v>0</v>
      </c>
      <c r="M15" s="28">
        <f>'Q1)Cashflows'!V30</f>
        <v>-1255371350.6884012</v>
      </c>
      <c r="N15" s="28">
        <f t="shared" si="5"/>
        <v>-398308382.71224606</v>
      </c>
      <c r="O15" s="28">
        <f>'Q1)Cashflows'!X30</f>
        <v>-2326195698.0320463</v>
      </c>
      <c r="P15" s="28">
        <f t="shared" si="6"/>
        <v>-738063080.5755167</v>
      </c>
      <c r="Q15" s="37">
        <v>0</v>
      </c>
      <c r="R15" s="32">
        <f t="shared" si="7"/>
        <v>0</v>
      </c>
      <c r="S15" s="28">
        <f>'Q1)Cashflows'!AD30</f>
        <v>-1267189114.5834765</v>
      </c>
      <c r="T15" s="28">
        <f t="shared" si="8"/>
        <v>-402057962.0074414</v>
      </c>
    </row>
    <row r="16" spans="1:20" x14ac:dyDescent="0.3">
      <c r="A16" s="26">
        <v>12</v>
      </c>
      <c r="B16" s="26">
        <v>2034</v>
      </c>
      <c r="C16" s="26">
        <f>'Q1)Cashflows'!C31</f>
        <v>0</v>
      </c>
      <c r="D16" s="52">
        <f t="shared" si="0"/>
        <v>0</v>
      </c>
      <c r="E16" s="32">
        <f>'Q1)Cashflows'!D31</f>
        <v>0</v>
      </c>
      <c r="F16" s="32">
        <f t="shared" si="1"/>
        <v>0</v>
      </c>
      <c r="G16" s="32">
        <f>'Q1)Cashflows'!N31</f>
        <v>23085917504.927101</v>
      </c>
      <c r="H16" s="32">
        <f t="shared" si="2"/>
        <v>6598897673.486804</v>
      </c>
      <c r="I16" s="28">
        <f>'Q1)Cashflows'!S31</f>
        <v>-9869835614.0530663</v>
      </c>
      <c r="J16" s="28">
        <f t="shared" si="3"/>
        <v>-2821201940.8529739</v>
      </c>
      <c r="K16" s="37">
        <v>0</v>
      </c>
      <c r="L16" s="37">
        <f t="shared" si="4"/>
        <v>0</v>
      </c>
      <c r="M16" s="28">
        <f>'Q1)Cashflows'!V31</f>
        <v>-1380908485.7572415</v>
      </c>
      <c r="N16" s="28">
        <f t="shared" si="5"/>
        <v>-394720018.90402758</v>
      </c>
      <c r="O16" s="28">
        <f>'Q1)Cashflows'!X31</f>
        <v>-2675125052.7368531</v>
      </c>
      <c r="P16" s="28">
        <f t="shared" si="6"/>
        <v>-764659948.34400356</v>
      </c>
      <c r="Q16" s="37">
        <v>0</v>
      </c>
      <c r="R16" s="32">
        <f t="shared" si="7"/>
        <v>0</v>
      </c>
      <c r="S16" s="28">
        <f>'Q1)Cashflows'!AD31</f>
        <v>-1385155050.2956259</v>
      </c>
      <c r="T16" s="28">
        <f t="shared" si="8"/>
        <v>-395933860.40920824</v>
      </c>
    </row>
    <row r="17" spans="1:20" x14ac:dyDescent="0.3">
      <c r="A17" s="26">
        <v>13</v>
      </c>
      <c r="B17" s="26">
        <v>2035</v>
      </c>
      <c r="C17" s="26">
        <f>'Q1)Cashflows'!C32</f>
        <v>0</v>
      </c>
      <c r="D17" s="52">
        <f t="shared" si="0"/>
        <v>0</v>
      </c>
      <c r="E17" s="32">
        <f>'Q1)Cashflows'!D32</f>
        <v>0</v>
      </c>
      <c r="F17" s="32">
        <f t="shared" si="1"/>
        <v>0</v>
      </c>
      <c r="G17" s="32">
        <f>'Q1)Cashflows'!N32</f>
        <v>25248955788.176788</v>
      </c>
      <c r="H17" s="32">
        <f t="shared" si="2"/>
        <v>6501966052.1431589</v>
      </c>
      <c r="I17" s="28">
        <f>'Q1)Cashflows'!S32</f>
        <v>-10830481412.84791</v>
      </c>
      <c r="J17" s="28">
        <f t="shared" si="3"/>
        <v>-2789003357.8212199</v>
      </c>
      <c r="K17" s="37">
        <v>0</v>
      </c>
      <c r="L17" s="37">
        <f t="shared" si="4"/>
        <v>0</v>
      </c>
      <c r="M17" s="28">
        <f>'Q1)Cashflows'!V32</f>
        <v>-1518999334.3329659</v>
      </c>
      <c r="N17" s="28">
        <f t="shared" si="5"/>
        <v>-391163982.69768506</v>
      </c>
      <c r="O17" s="28">
        <f>'Q1)Cashflows'!X32</f>
        <v>-3076393810.6473808</v>
      </c>
      <c r="P17" s="28">
        <f t="shared" si="6"/>
        <v>-792215261.79784155</v>
      </c>
      <c r="Q17" s="37">
        <v>0</v>
      </c>
      <c r="R17" s="32">
        <f t="shared" si="7"/>
        <v>0</v>
      </c>
      <c r="S17" s="28">
        <f>'Q1)Cashflows'!AD32</f>
        <v>-1514937347.2906072</v>
      </c>
      <c r="T17" s="28">
        <f t="shared" si="8"/>
        <v>-390117963.12858951</v>
      </c>
    </row>
    <row r="18" spans="1:20" x14ac:dyDescent="0.3">
      <c r="A18" s="26">
        <v>14</v>
      </c>
      <c r="B18" s="26">
        <v>2036</v>
      </c>
      <c r="C18" s="26">
        <f>'Q1)Cashflows'!C33</f>
        <v>0</v>
      </c>
      <c r="D18" s="52">
        <f t="shared" si="0"/>
        <v>0</v>
      </c>
      <c r="E18" s="32">
        <f>'Q1)Cashflows'!D33</f>
        <v>0</v>
      </c>
      <c r="F18" s="32">
        <f t="shared" si="1"/>
        <v>0</v>
      </c>
      <c r="G18" s="32">
        <f>'Q1)Cashflows'!N33</f>
        <v>27629803357.655155</v>
      </c>
      <c r="H18" s="32">
        <f t="shared" si="2"/>
        <v>6409971388.7162819</v>
      </c>
      <c r="I18" s="28">
        <f>'Q1)Cashflows'!S33</f>
        <v>-11890768629.157438</v>
      </c>
      <c r="J18" s="28">
        <f t="shared" si="3"/>
        <v>-2758596784.6429429</v>
      </c>
      <c r="K18" s="37">
        <v>0</v>
      </c>
      <c r="L18" s="37">
        <f t="shared" si="4"/>
        <v>0</v>
      </c>
      <c r="M18" s="28">
        <f>'Q1)Cashflows'!V33</f>
        <v>-1670899267.7662625</v>
      </c>
      <c r="N18" s="28">
        <f t="shared" si="5"/>
        <v>-387639982.85356176</v>
      </c>
      <c r="O18" s="28">
        <f>'Q1)Cashflows'!X33</f>
        <v>-3537852882.2444878</v>
      </c>
      <c r="P18" s="28">
        <f t="shared" si="6"/>
        <v>-820763559.5202862</v>
      </c>
      <c r="Q18" s="37">
        <v>0</v>
      </c>
      <c r="R18" s="32">
        <f t="shared" si="7"/>
        <v>0</v>
      </c>
      <c r="S18" s="28">
        <f>'Q1)Cashflows'!AD33</f>
        <v>-1657788201.4593093</v>
      </c>
      <c r="T18" s="28">
        <f t="shared" si="8"/>
        <v>-384598283.32297689</v>
      </c>
    </row>
    <row r="19" spans="1:20" x14ac:dyDescent="0.3">
      <c r="A19" s="26">
        <v>15</v>
      </c>
      <c r="B19" s="26">
        <v>2037</v>
      </c>
      <c r="C19" s="26">
        <f>'Q1)Cashflows'!C34</f>
        <v>0</v>
      </c>
      <c r="D19" s="52">
        <f t="shared" si="0"/>
        <v>0</v>
      </c>
      <c r="E19" s="32">
        <f>'Q1)Cashflows'!D34</f>
        <v>0</v>
      </c>
      <c r="F19" s="32">
        <f t="shared" si="1"/>
        <v>0</v>
      </c>
      <c r="G19" s="32">
        <f>'Q1)Cashflows'!N34</f>
        <v>30251628796.007389</v>
      </c>
      <c r="H19" s="32">
        <f t="shared" si="2"/>
        <v>6322721911.6174917</v>
      </c>
      <c r="I19" s="28">
        <f>'Q1)Cashflows'!S34</f>
        <v>-13061514398.736031</v>
      </c>
      <c r="J19" s="28">
        <f t="shared" si="3"/>
        <v>-2729913283.1715541</v>
      </c>
      <c r="K19" s="37">
        <v>0</v>
      </c>
      <c r="L19" s="37">
        <f t="shared" si="4"/>
        <v>0</v>
      </c>
      <c r="M19" s="28">
        <f>'Q1)Cashflows'!V34</f>
        <v>-1837989194.5428889</v>
      </c>
      <c r="N19" s="28">
        <f t="shared" si="5"/>
        <v>-384147730.75578201</v>
      </c>
      <c r="O19" s="28">
        <f>'Q1)Cashflows'!X34</f>
        <v>-4068530814.5811605</v>
      </c>
      <c r="P19" s="28">
        <f t="shared" si="6"/>
        <v>-850340624.7282244</v>
      </c>
      <c r="Q19" s="37">
        <v>0</v>
      </c>
      <c r="R19" s="32">
        <f t="shared" si="7"/>
        <v>0</v>
      </c>
      <c r="S19" s="28">
        <f>'Q1)Cashflows'!AD34</f>
        <v>-1815097727.7604432</v>
      </c>
      <c r="T19" s="28">
        <f t="shared" si="8"/>
        <v>-379363314.69704944</v>
      </c>
    </row>
    <row r="20" spans="1:20" x14ac:dyDescent="0.3">
      <c r="A20" s="26">
        <v>16</v>
      </c>
      <c r="B20" s="26">
        <v>2038</v>
      </c>
      <c r="C20" s="26">
        <f>'Q1)Cashflows'!C35</f>
        <v>0</v>
      </c>
      <c r="D20" s="52">
        <f t="shared" si="0"/>
        <v>0</v>
      </c>
      <c r="E20" s="32">
        <f>'Q1)Cashflows'!D35</f>
        <v>0</v>
      </c>
      <c r="F20" s="32">
        <f t="shared" si="1"/>
        <v>0</v>
      </c>
      <c r="G20" s="32">
        <f>'Q1)Cashflows'!N35</f>
        <v>33140158754.985638</v>
      </c>
      <c r="H20" s="32">
        <f t="shared" si="2"/>
        <v>6240033539.1654148</v>
      </c>
      <c r="I20" s="28">
        <f>'Q1)Cashflows'!S35</f>
        <v>-14354745570.467579</v>
      </c>
      <c r="J20" s="28">
        <f t="shared" si="3"/>
        <v>-2702886684.0424614</v>
      </c>
      <c r="K20" s="37">
        <v>0</v>
      </c>
      <c r="L20" s="37">
        <f t="shared" si="4"/>
        <v>0</v>
      </c>
      <c r="M20" s="28">
        <f>'Q1)Cashflows'!V35</f>
        <v>-2021788113.9971778</v>
      </c>
      <c r="N20" s="28">
        <f t="shared" si="5"/>
        <v>-380686940.38861269</v>
      </c>
      <c r="O20" s="28">
        <f>'Q1)Cashflows'!X35</f>
        <v>-4678810436.7683344</v>
      </c>
      <c r="P20" s="28">
        <f t="shared" si="6"/>
        <v>-880983530.1238358</v>
      </c>
      <c r="Q20" s="37">
        <v>0</v>
      </c>
      <c r="R20" s="32">
        <f t="shared" si="7"/>
        <v>0</v>
      </c>
      <c r="S20" s="28">
        <f>'Q1)Cashflows'!AD35</f>
        <v>-1988409525.2991381</v>
      </c>
      <c r="T20" s="28">
        <f t="shared" si="8"/>
        <v>-374402012.34992486</v>
      </c>
    </row>
    <row r="21" spans="1:20" x14ac:dyDescent="0.3">
      <c r="A21" s="26">
        <v>17</v>
      </c>
      <c r="B21" s="26">
        <v>2039</v>
      </c>
      <c r="C21" s="26">
        <f>'Q1)Cashflows'!C36</f>
        <v>0</v>
      </c>
      <c r="D21" s="52">
        <f t="shared" si="0"/>
        <v>0</v>
      </c>
      <c r="E21" s="32">
        <f>'Q1)Cashflows'!D36</f>
        <v>0</v>
      </c>
      <c r="F21" s="32">
        <f t="shared" si="1"/>
        <v>0</v>
      </c>
      <c r="G21" s="32">
        <f>'Q1)Cashflows'!N36</f>
        <v>36323967078.629425</v>
      </c>
      <c r="H21" s="32">
        <f t="shared" si="2"/>
        <v>6161729573.1000948</v>
      </c>
      <c r="I21" s="28">
        <f>'Q1)Cashflows'!S36</f>
        <v>-15783836465.95216</v>
      </c>
      <c r="J21" s="28">
        <f t="shared" si="3"/>
        <v>-2677453476.3426714</v>
      </c>
      <c r="K21" s="37">
        <v>0</v>
      </c>
      <c r="L21" s="37">
        <f t="shared" si="4"/>
        <v>0</v>
      </c>
      <c r="M21" s="28">
        <f>'Q1)Cashflows'!V36</f>
        <v>-2223966925.3968959</v>
      </c>
      <c r="N21" s="28">
        <f t="shared" si="5"/>
        <v>-377257328.31303966</v>
      </c>
      <c r="O21" s="28">
        <f>'Q1)Cashflows'!X36</f>
        <v>-5380632002.2835846</v>
      </c>
      <c r="P21" s="28">
        <f t="shared" si="6"/>
        <v>-912730684.36253262</v>
      </c>
      <c r="Q21" s="37">
        <v>0</v>
      </c>
      <c r="R21" s="32">
        <f t="shared" si="7"/>
        <v>0</v>
      </c>
      <c r="S21" s="28">
        <f>'Q1)Cashflows'!AD36</f>
        <v>-2179438024.7177653</v>
      </c>
      <c r="T21" s="28">
        <f t="shared" si="8"/>
        <v>-369703774.38600564</v>
      </c>
    </row>
    <row r="22" spans="1:20" x14ac:dyDescent="0.3">
      <c r="A22" s="26">
        <v>18</v>
      </c>
      <c r="B22" s="26">
        <v>2040</v>
      </c>
      <c r="C22" s="26">
        <f>'Q1)Cashflows'!C37</f>
        <v>0</v>
      </c>
      <c r="D22" s="52">
        <f t="shared" si="0"/>
        <v>0</v>
      </c>
      <c r="E22" s="32">
        <f>'Q1)Cashflows'!D37</f>
        <v>0</v>
      </c>
      <c r="F22" s="32">
        <f t="shared" si="1"/>
        <v>0</v>
      </c>
      <c r="G22" s="32">
        <f>'Q1)Cashflows'!N37</f>
        <v>39834797061.551941</v>
      </c>
      <c r="H22" s="32">
        <f t="shared" si="2"/>
        <v>6087640404.3179016</v>
      </c>
      <c r="I22" s="28">
        <f>'Q1)Cashflows'!S37</f>
        <v>-17363662493.694016</v>
      </c>
      <c r="J22" s="28">
        <f t="shared" si="3"/>
        <v>-2653552701.679883</v>
      </c>
      <c r="K22" s="37">
        <v>0</v>
      </c>
      <c r="L22" s="37">
        <f t="shared" si="4"/>
        <v>0</v>
      </c>
      <c r="M22" s="28">
        <f>'Q1)Cashflows'!V37</f>
        <v>-2446363617.9365859</v>
      </c>
      <c r="N22" s="28">
        <f t="shared" si="5"/>
        <v>-373858613.64355284</v>
      </c>
      <c r="O22" s="28">
        <f>'Q1)Cashflows'!X37</f>
        <v>-6187726802.6261215</v>
      </c>
      <c r="P22" s="28">
        <f t="shared" si="6"/>
        <v>-945621880.19541645</v>
      </c>
      <c r="Q22" s="37">
        <v>0</v>
      </c>
      <c r="R22" s="32">
        <f t="shared" si="7"/>
        <v>0</v>
      </c>
      <c r="S22" s="28">
        <f>'Q1)Cashflows'!AD37</f>
        <v>-2390087823.6931162</v>
      </c>
      <c r="T22" s="28">
        <f t="shared" si="8"/>
        <v>-365258424.25907403</v>
      </c>
    </row>
    <row r="23" spans="1:20" x14ac:dyDescent="0.3">
      <c r="A23" s="26">
        <v>19</v>
      </c>
      <c r="B23" s="26">
        <v>2041</v>
      </c>
      <c r="C23" s="26">
        <f>'Q1)Cashflows'!C38</f>
        <v>0</v>
      </c>
      <c r="D23" s="52">
        <f t="shared" si="0"/>
        <v>0</v>
      </c>
      <c r="E23" s="32">
        <f>'Q1)Cashflows'!D38</f>
        <v>0</v>
      </c>
      <c r="F23" s="32">
        <f t="shared" si="1"/>
        <v>0</v>
      </c>
      <c r="G23" s="32">
        <f>'Q1)Cashflows'!N38</f>
        <v>43707920670.107292</v>
      </c>
      <c r="H23" s="32">
        <f t="shared" si="2"/>
        <v>6017603230.340107</v>
      </c>
      <c r="I23" s="28">
        <f>'Q1)Cashflows'!S38</f>
        <v>-19110771453.533691</v>
      </c>
      <c r="J23" s="28">
        <f t="shared" si="3"/>
        <v>-2631125852.4756894</v>
      </c>
      <c r="K23" s="37">
        <v>0</v>
      </c>
      <c r="L23" s="37">
        <f t="shared" si="4"/>
        <v>0</v>
      </c>
      <c r="M23" s="28">
        <f>'Q1)Cashflows'!V38</f>
        <v>-2690999979.7302446</v>
      </c>
      <c r="N23" s="28">
        <f t="shared" si="5"/>
        <v>-370490518.02514249</v>
      </c>
      <c r="O23" s="28">
        <f>'Q1)Cashflows'!X38</f>
        <v>-7115885823.0200396</v>
      </c>
      <c r="P23" s="28">
        <f t="shared" si="6"/>
        <v>-979698344.34660256</v>
      </c>
      <c r="Q23" s="37">
        <v>0</v>
      </c>
      <c r="R23" s="32">
        <f t="shared" si="7"/>
        <v>0</v>
      </c>
      <c r="S23" s="28">
        <f>'Q1)Cashflows'!AD38</f>
        <v>-2622475240.2064376</v>
      </c>
      <c r="T23" s="28">
        <f t="shared" si="8"/>
        <v>-361056193.82040644</v>
      </c>
    </row>
    <row r="24" spans="1:20" x14ac:dyDescent="0.3">
      <c r="A24" s="26">
        <v>20</v>
      </c>
      <c r="B24" s="26">
        <v>2042</v>
      </c>
      <c r="C24" s="26">
        <f>'Q1)Cashflows'!C39</f>
        <v>0</v>
      </c>
      <c r="D24" s="52">
        <f t="shared" si="0"/>
        <v>0</v>
      </c>
      <c r="E24" s="32">
        <v>200000000</v>
      </c>
      <c r="F24" s="32">
        <f t="shared" si="1"/>
        <v>24806781.417928595</v>
      </c>
      <c r="G24" s="32">
        <f>'Q1)Cashflows'!N39</f>
        <v>47982538998.356216</v>
      </c>
      <c r="H24" s="32">
        <f t="shared" si="2"/>
        <v>5951461784.0472851</v>
      </c>
      <c r="I24" s="28">
        <f>'Q1)Cashflows'!S39</f>
        <v>-21043574580.199928</v>
      </c>
      <c r="J24" s="28">
        <f t="shared" si="3"/>
        <v>-2610116774.3144903</v>
      </c>
      <c r="K24" s="28">
        <f>'Q1)Cashflows'!T39</f>
        <v>-808113003.93003213</v>
      </c>
      <c r="L24" s="28">
        <f t="shared" si="4"/>
        <v>-100233413.2473899</v>
      </c>
      <c r="M24" s="28">
        <f>'Q1)Cashflows'!V39</f>
        <v>-2960099977.7032695</v>
      </c>
      <c r="N24" s="28">
        <f t="shared" si="5"/>
        <v>-367152765.61050159</v>
      </c>
      <c r="O24" s="28">
        <f>'Q1)Cashflows'!X39</f>
        <v>-8183268696.4730444</v>
      </c>
      <c r="P24" s="28">
        <f t="shared" si="6"/>
        <v>-1015002789.1879214</v>
      </c>
      <c r="Q24" s="32">
        <f>'Q1)Cashflows'!AC39</f>
        <v>4798253899.8356218</v>
      </c>
      <c r="R24" s="32">
        <f t="shared" si="7"/>
        <v>595146178.40472853</v>
      </c>
      <c r="S24" s="28">
        <f>'Q1)Cashflows'!AD39</f>
        <v>-2878952339.9013729</v>
      </c>
      <c r="T24" s="28">
        <f t="shared" si="8"/>
        <v>-357087707.04283714</v>
      </c>
    </row>
    <row r="25" spans="1:20" x14ac:dyDescent="0.3">
      <c r="C25" s="51"/>
      <c r="D25" s="51">
        <f>SUM(D4:D24)</f>
        <v>-1500000000</v>
      </c>
      <c r="E25" s="51"/>
      <c r="F25" s="51">
        <f t="shared" ref="E25:T25" si="9">SUM(F4:F24)</f>
        <v>-975193218.58207142</v>
      </c>
      <c r="G25" s="51"/>
      <c r="H25" s="51">
        <f t="shared" si="9"/>
        <v>145367578367.37842</v>
      </c>
      <c r="I25" s="51"/>
      <c r="J25" s="51">
        <f t="shared" si="9"/>
        <v>-61588658703.611481</v>
      </c>
      <c r="K25" s="51"/>
      <c r="L25" s="51">
        <f t="shared" si="9"/>
        <v>-519725240.62251121</v>
      </c>
      <c r="M25" s="51"/>
      <c r="N25" s="51">
        <f t="shared" si="9"/>
        <v>-8453195782.8448486</v>
      </c>
      <c r="O25" s="51"/>
      <c r="P25" s="51">
        <f t="shared" si="9"/>
        <v>-15306330189.1528</v>
      </c>
      <c r="Q25" s="51"/>
      <c r="R25" s="51">
        <f t="shared" si="9"/>
        <v>595146178.40472853</v>
      </c>
      <c r="S25" s="51"/>
      <c r="T25" s="51">
        <f t="shared" si="9"/>
        <v>-8722054702.0427055</v>
      </c>
    </row>
    <row r="27" spans="1:20" x14ac:dyDescent="0.3">
      <c r="C27" s="26" t="s">
        <v>41</v>
      </c>
      <c r="D27" s="42">
        <f>SUM(D25:T25)</f>
        <v>48897566708.926743</v>
      </c>
    </row>
    <row r="28" spans="1:20" x14ac:dyDescent="0.3">
      <c r="C28" s="26" t="s">
        <v>42</v>
      </c>
      <c r="D28" s="26"/>
    </row>
    <row r="29" spans="1:20" x14ac:dyDescent="0.3">
      <c r="A29" t="s">
        <v>43</v>
      </c>
    </row>
    <row r="30" spans="1:20" x14ac:dyDescent="0.3">
      <c r="A30" s="54" t="s">
        <v>44</v>
      </c>
      <c r="B30" s="54"/>
      <c r="C30" s="54"/>
      <c r="D30" s="54"/>
      <c r="E30" s="54"/>
      <c r="F30" s="54"/>
      <c r="G30" s="54"/>
    </row>
    <row r="31" spans="1:20" x14ac:dyDescent="0.3">
      <c r="A31" t="s">
        <v>45</v>
      </c>
    </row>
  </sheetData>
  <mergeCells count="1">
    <mergeCell ref="A30:G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Q1)Cashflows</vt:lpstr>
      <vt:lpstr>Q2)</vt:lpstr>
      <vt:lpstr>Q3)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Tirth Parmar</dc:creator>
  <cp:lastModifiedBy>Tirth Parmar</cp:lastModifiedBy>
  <dcterms:created xsi:type="dcterms:W3CDTF">2015-06-05T18:17:20Z</dcterms:created>
  <dcterms:modified xsi:type="dcterms:W3CDTF">2022-02-20T14:26:51Z</dcterms:modified>
</cp:coreProperties>
</file>