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59224f874118248/Desktop/"/>
    </mc:Choice>
  </mc:AlternateContent>
  <xr:revisionPtr revIDLastSave="981" documentId="8_{D10F722C-F8C9-415B-9D99-53DCE085CFF8}" xr6:coauthVersionLast="47" xr6:coauthVersionMax="47" xr10:uidLastSave="{D8A7380C-690E-4F5E-BD2A-E9F9147BC63F}"/>
  <bookViews>
    <workbookView xWindow="-108" yWindow="-108" windowWidth="23256" windowHeight="12456" xr2:uid="{DFA4B30A-1A13-4DB0-80E9-9FF7F81C097B}"/>
  </bookViews>
  <sheets>
    <sheet name="Intro" sheetId="4" r:id="rId1"/>
    <sheet name="Q1." sheetId="1" r:id="rId2"/>
    <sheet name="Q2." sheetId="2" r:id="rId3"/>
    <sheet name="Q3.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5" i="3" l="1"/>
  <c r="Q16" i="3" s="1"/>
  <c r="Q17" i="3" s="1"/>
  <c r="Q18" i="3" s="1"/>
  <c r="Q19" i="3" s="1"/>
  <c r="Q20" i="3" s="1"/>
  <c r="Q21" i="3" s="1"/>
  <c r="Q22" i="3" s="1"/>
  <c r="Q23" i="3" s="1"/>
  <c r="Q24" i="3" s="1"/>
  <c r="Q25" i="3" s="1"/>
  <c r="Q26" i="3" s="1"/>
  <c r="Q27" i="3" s="1"/>
  <c r="Q28" i="3" s="1"/>
  <c r="Q29" i="3" s="1"/>
  <c r="Q30" i="3" s="1"/>
  <c r="Q31" i="3" s="1"/>
  <c r="Q32" i="3" s="1"/>
  <c r="Q33" i="3" s="1"/>
  <c r="O15" i="3"/>
  <c r="O16" i="3" s="1"/>
  <c r="O17" i="3" s="1"/>
  <c r="O18" i="3" s="1"/>
  <c r="O19" i="3" s="1"/>
  <c r="O20" i="3" s="1"/>
  <c r="O21" i="3" s="1"/>
  <c r="O22" i="3" s="1"/>
  <c r="O23" i="3" s="1"/>
  <c r="O24" i="3" s="1"/>
  <c r="O25" i="3" s="1"/>
  <c r="O26" i="3" s="1"/>
  <c r="O27" i="3" s="1"/>
  <c r="O28" i="3" s="1"/>
  <c r="O29" i="3" s="1"/>
  <c r="O30" i="3" s="1"/>
  <c r="O31" i="3" s="1"/>
  <c r="O32" i="3" s="1"/>
  <c r="O33" i="3" s="1"/>
  <c r="L15" i="3"/>
  <c r="N15" i="3" s="1"/>
  <c r="F15" i="3"/>
  <c r="F16" i="3" s="1"/>
  <c r="F17" i="3" s="1"/>
  <c r="B15" i="3"/>
  <c r="C15" i="3" s="1"/>
  <c r="D15" i="3" s="1"/>
  <c r="E15" i="3" s="1"/>
  <c r="N14" i="3"/>
  <c r="M14" i="3"/>
  <c r="G14" i="3"/>
  <c r="H14" i="3" s="1"/>
  <c r="I14" i="3" s="1"/>
  <c r="C14" i="3"/>
  <c r="D14" i="3" s="1"/>
  <c r="E14" i="3" s="1"/>
  <c r="L5" i="3"/>
  <c r="K14" i="3" s="1"/>
  <c r="K15" i="3" s="1"/>
  <c r="K16" i="3" s="1"/>
  <c r="K17" i="3" s="1"/>
  <c r="K18" i="3" s="1"/>
  <c r="K19" i="3" s="1"/>
  <c r="K20" i="3" s="1"/>
  <c r="K21" i="3" s="1"/>
  <c r="K22" i="3" s="1"/>
  <c r="K23" i="3" s="1"/>
  <c r="K24" i="3" s="1"/>
  <c r="K25" i="3" s="1"/>
  <c r="K26" i="3" s="1"/>
  <c r="K27" i="3" s="1"/>
  <c r="K28" i="3" s="1"/>
  <c r="K29" i="3" s="1"/>
  <c r="K30" i="3" s="1"/>
  <c r="K31" i="3" s="1"/>
  <c r="K32" i="3" s="1"/>
  <c r="K33" i="3" s="1"/>
  <c r="L4" i="3"/>
  <c r="J14" i="3" s="1"/>
  <c r="G15" i="3" l="1"/>
  <c r="H15" i="3" s="1"/>
  <c r="I15" i="3" s="1"/>
  <c r="L16" i="3"/>
  <c r="N16" i="3" s="1"/>
  <c r="B16" i="3"/>
  <c r="B17" i="3" s="1"/>
  <c r="C17" i="3" s="1"/>
  <c r="D17" i="3" s="1"/>
  <c r="E17" i="3" s="1"/>
  <c r="M15" i="3"/>
  <c r="S14" i="3"/>
  <c r="U14" i="3"/>
  <c r="V14" i="3" s="1"/>
  <c r="J15" i="3"/>
  <c r="F18" i="3"/>
  <c r="G17" i="3"/>
  <c r="H17" i="3" s="1"/>
  <c r="I17" i="3" s="1"/>
  <c r="M16" i="3"/>
  <c r="G16" i="3"/>
  <c r="H16" i="3" s="1"/>
  <c r="I16" i="3" s="1"/>
  <c r="S15" i="3" l="1"/>
  <c r="R15" i="3" s="1"/>
  <c r="T15" i="3" s="1"/>
  <c r="L17" i="3"/>
  <c r="M17" i="3" s="1"/>
  <c r="S17" i="3" s="1"/>
  <c r="C16" i="3"/>
  <c r="D16" i="3" s="1"/>
  <c r="E16" i="3" s="1"/>
  <c r="S16" i="3" s="1"/>
  <c r="B18" i="3"/>
  <c r="B19" i="3" s="1"/>
  <c r="F19" i="3"/>
  <c r="G18" i="3"/>
  <c r="H18" i="3" s="1"/>
  <c r="I18" i="3" s="1"/>
  <c r="U15" i="3"/>
  <c r="V15" i="3" s="1"/>
  <c r="J16" i="3"/>
  <c r="R14" i="3"/>
  <c r="T14" i="3" s="1"/>
  <c r="L18" i="3" l="1"/>
  <c r="C18" i="3"/>
  <c r="D18" i="3" s="1"/>
  <c r="E18" i="3" s="1"/>
  <c r="N17" i="3"/>
  <c r="X15" i="3"/>
  <c r="W15" i="3"/>
  <c r="X14" i="3"/>
  <c r="W14" i="3"/>
  <c r="N18" i="3"/>
  <c r="L19" i="3"/>
  <c r="M18" i="3"/>
  <c r="S18" i="3" s="1"/>
  <c r="F20" i="3"/>
  <c r="G19" i="3"/>
  <c r="H19" i="3" s="1"/>
  <c r="I19" i="3" s="1"/>
  <c r="R17" i="3"/>
  <c r="T17" i="3" s="1"/>
  <c r="J17" i="3"/>
  <c r="U16" i="3"/>
  <c r="V16" i="3" s="1"/>
  <c r="B20" i="3"/>
  <c r="C19" i="3"/>
  <c r="D19" i="3" s="1"/>
  <c r="E19" i="3" s="1"/>
  <c r="R16" i="3"/>
  <c r="T16" i="3" s="1"/>
  <c r="Y14" i="3" l="1"/>
  <c r="AA14" i="3" s="1"/>
  <c r="Y15" i="3"/>
  <c r="AA15" i="3" s="1"/>
  <c r="X16" i="3"/>
  <c r="W16" i="3"/>
  <c r="R18" i="3"/>
  <c r="T18" i="3" s="1"/>
  <c r="Z14" i="3"/>
  <c r="B21" i="3"/>
  <c r="C20" i="3"/>
  <c r="D20" i="3" s="1"/>
  <c r="E20" i="3" s="1"/>
  <c r="L20" i="3"/>
  <c r="M19" i="3"/>
  <c r="S19" i="3" s="1"/>
  <c r="N19" i="3"/>
  <c r="X17" i="3"/>
  <c r="U17" i="3"/>
  <c r="V17" i="3" s="1"/>
  <c r="W17" i="3" s="1"/>
  <c r="J18" i="3"/>
  <c r="F21" i="3"/>
  <c r="G20" i="3"/>
  <c r="H20" i="3" s="1"/>
  <c r="I20" i="3" s="1"/>
  <c r="Z15" i="3" l="1"/>
  <c r="Y16" i="3"/>
  <c r="AA16" i="3" s="1"/>
  <c r="R19" i="3"/>
  <c r="T19" i="3" s="1"/>
  <c r="X18" i="3"/>
  <c r="F22" i="3"/>
  <c r="G21" i="3"/>
  <c r="H21" i="3" s="1"/>
  <c r="I21" i="3" s="1"/>
  <c r="B22" i="3"/>
  <c r="C21" i="3"/>
  <c r="D21" i="3" s="1"/>
  <c r="E21" i="3" s="1"/>
  <c r="Y17" i="3"/>
  <c r="U18" i="3"/>
  <c r="V18" i="3" s="1"/>
  <c r="W18" i="3" s="1"/>
  <c r="J19" i="3"/>
  <c r="L21" i="3"/>
  <c r="N20" i="3"/>
  <c r="M20" i="3"/>
  <c r="S20" i="3" s="1"/>
  <c r="Y18" i="3" l="1"/>
  <c r="AA18" i="3" s="1"/>
  <c r="Z16" i="3"/>
  <c r="R20" i="3"/>
  <c r="T20" i="3" s="1"/>
  <c r="N21" i="3"/>
  <c r="L22" i="3"/>
  <c r="M21" i="3"/>
  <c r="S21" i="3" s="1"/>
  <c r="U19" i="3"/>
  <c r="V19" i="3" s="1"/>
  <c r="W19" i="3" s="1"/>
  <c r="J20" i="3"/>
  <c r="B23" i="3"/>
  <c r="C22" i="3"/>
  <c r="D22" i="3" s="1"/>
  <c r="E22" i="3" s="1"/>
  <c r="F23" i="3"/>
  <c r="G22" i="3"/>
  <c r="H22" i="3" s="1"/>
  <c r="I22" i="3" s="1"/>
  <c r="X19" i="3"/>
  <c r="AA17" i="3"/>
  <c r="Z17" i="3"/>
  <c r="Z18" i="3" l="1"/>
  <c r="Y19" i="3"/>
  <c r="Z19" i="3" s="1"/>
  <c r="R21" i="3"/>
  <c r="T21" i="3" s="1"/>
  <c r="C23" i="3"/>
  <c r="D23" i="3" s="1"/>
  <c r="E23" i="3" s="1"/>
  <c r="B24" i="3"/>
  <c r="N22" i="3"/>
  <c r="L23" i="3"/>
  <c r="M22" i="3"/>
  <c r="S22" i="3" s="1"/>
  <c r="U20" i="3"/>
  <c r="V20" i="3" s="1"/>
  <c r="W20" i="3" s="1"/>
  <c r="J21" i="3"/>
  <c r="X20" i="3"/>
  <c r="F24" i="3"/>
  <c r="G23" i="3"/>
  <c r="H23" i="3" s="1"/>
  <c r="I23" i="3" s="1"/>
  <c r="AA19" i="3" l="1"/>
  <c r="Y20" i="3"/>
  <c r="Z20" i="3" s="1"/>
  <c r="X21" i="3"/>
  <c r="U21" i="3"/>
  <c r="V21" i="3" s="1"/>
  <c r="W21" i="3" s="1"/>
  <c r="Y21" i="3" s="1"/>
  <c r="J22" i="3"/>
  <c r="R22" i="3"/>
  <c r="T22" i="3" s="1"/>
  <c r="B25" i="3"/>
  <c r="C24" i="3"/>
  <c r="D24" i="3" s="1"/>
  <c r="E24" i="3" s="1"/>
  <c r="F25" i="3"/>
  <c r="G24" i="3"/>
  <c r="H24" i="3" s="1"/>
  <c r="I24" i="3" s="1"/>
  <c r="N23" i="3"/>
  <c r="L24" i="3"/>
  <c r="M23" i="3"/>
  <c r="S23" i="3" s="1"/>
  <c r="AA20" i="3" l="1"/>
  <c r="AA21" i="3"/>
  <c r="Z21" i="3"/>
  <c r="R23" i="3"/>
  <c r="T23" i="3" s="1"/>
  <c r="L25" i="3"/>
  <c r="M24" i="3"/>
  <c r="S24" i="3" s="1"/>
  <c r="N24" i="3"/>
  <c r="X22" i="3"/>
  <c r="B26" i="3"/>
  <c r="C25" i="3"/>
  <c r="D25" i="3" s="1"/>
  <c r="E25" i="3" s="1"/>
  <c r="J23" i="3"/>
  <c r="U22" i="3"/>
  <c r="V22" i="3" s="1"/>
  <c r="W22" i="3" s="1"/>
  <c r="Y22" i="3" s="1"/>
  <c r="F26" i="3"/>
  <c r="G25" i="3"/>
  <c r="H25" i="3" s="1"/>
  <c r="I25" i="3" s="1"/>
  <c r="AA22" i="3" l="1"/>
  <c r="Z22" i="3"/>
  <c r="R24" i="3"/>
  <c r="T24" i="3" s="1"/>
  <c r="F27" i="3"/>
  <c r="G26" i="3"/>
  <c r="H26" i="3" s="1"/>
  <c r="I26" i="3" s="1"/>
  <c r="B27" i="3"/>
  <c r="C26" i="3"/>
  <c r="D26" i="3" s="1"/>
  <c r="E26" i="3" s="1"/>
  <c r="N25" i="3"/>
  <c r="M25" i="3"/>
  <c r="S25" i="3" s="1"/>
  <c r="L26" i="3"/>
  <c r="X23" i="3"/>
  <c r="U23" i="3"/>
  <c r="V23" i="3" s="1"/>
  <c r="W23" i="3" s="1"/>
  <c r="J24" i="3"/>
  <c r="Y23" i="3" l="1"/>
  <c r="AA23" i="3" s="1"/>
  <c r="R25" i="3"/>
  <c r="T25" i="3" s="1"/>
  <c r="U24" i="3"/>
  <c r="V24" i="3" s="1"/>
  <c r="W24" i="3" s="1"/>
  <c r="J25" i="3"/>
  <c r="B28" i="3"/>
  <c r="C27" i="3"/>
  <c r="D27" i="3" s="1"/>
  <c r="E27" i="3" s="1"/>
  <c r="N26" i="3"/>
  <c r="L27" i="3"/>
  <c r="M26" i="3"/>
  <c r="S26" i="3" s="1"/>
  <c r="X24" i="3"/>
  <c r="F28" i="3"/>
  <c r="G27" i="3"/>
  <c r="H27" i="3" s="1"/>
  <c r="I27" i="3" s="1"/>
  <c r="Z23" i="3" l="1"/>
  <c r="R26" i="3"/>
  <c r="T26" i="3" s="1"/>
  <c r="X25" i="3"/>
  <c r="F29" i="3"/>
  <c r="G28" i="3"/>
  <c r="H28" i="3" s="1"/>
  <c r="I28" i="3" s="1"/>
  <c r="N27" i="3"/>
  <c r="L28" i="3"/>
  <c r="M27" i="3"/>
  <c r="S27" i="3" s="1"/>
  <c r="B29" i="3"/>
  <c r="C28" i="3"/>
  <c r="D28" i="3" s="1"/>
  <c r="E28" i="3" s="1"/>
  <c r="Y24" i="3"/>
  <c r="U25" i="3"/>
  <c r="V25" i="3" s="1"/>
  <c r="W25" i="3" s="1"/>
  <c r="Y25" i="3" s="1"/>
  <c r="J26" i="3"/>
  <c r="X26" i="3" l="1"/>
  <c r="Z24" i="3"/>
  <c r="AA24" i="3"/>
  <c r="R27" i="3"/>
  <c r="T27" i="3" s="1"/>
  <c r="L29" i="3"/>
  <c r="M28" i="3"/>
  <c r="S28" i="3" s="1"/>
  <c r="N28" i="3"/>
  <c r="J27" i="3"/>
  <c r="U26" i="3"/>
  <c r="V26" i="3" s="1"/>
  <c r="W26" i="3" s="1"/>
  <c r="Y26" i="3" s="1"/>
  <c r="B30" i="3"/>
  <c r="C29" i="3"/>
  <c r="D29" i="3" s="1"/>
  <c r="E29" i="3" s="1"/>
  <c r="AA25" i="3"/>
  <c r="Z25" i="3"/>
  <c r="F30" i="3"/>
  <c r="G29" i="3"/>
  <c r="H29" i="3" s="1"/>
  <c r="I29" i="3" s="1"/>
  <c r="X27" i="3" l="1"/>
  <c r="AA26" i="3"/>
  <c r="Z26" i="3"/>
  <c r="U27" i="3"/>
  <c r="V27" i="3" s="1"/>
  <c r="W27" i="3" s="1"/>
  <c r="J28" i="3"/>
  <c r="R28" i="3"/>
  <c r="T28" i="3" s="1"/>
  <c r="N29" i="3"/>
  <c r="M29" i="3"/>
  <c r="S29" i="3" s="1"/>
  <c r="L30" i="3"/>
  <c r="F31" i="3"/>
  <c r="G30" i="3"/>
  <c r="H30" i="3" s="1"/>
  <c r="I30" i="3" s="1"/>
  <c r="B31" i="3"/>
  <c r="C30" i="3"/>
  <c r="D30" i="3" s="1"/>
  <c r="E30" i="3" s="1"/>
  <c r="Y27" i="3" l="1"/>
  <c r="Z27" i="3" s="1"/>
  <c r="R29" i="3"/>
  <c r="T29" i="3" s="1"/>
  <c r="N30" i="3"/>
  <c r="L31" i="3"/>
  <c r="M30" i="3"/>
  <c r="S30" i="3" s="1"/>
  <c r="B32" i="3"/>
  <c r="C31" i="3"/>
  <c r="D31" i="3" s="1"/>
  <c r="E31" i="3" s="1"/>
  <c r="X28" i="3"/>
  <c r="U28" i="3"/>
  <c r="V28" i="3" s="1"/>
  <c r="W28" i="3" s="1"/>
  <c r="J29" i="3"/>
  <c r="G31" i="3"/>
  <c r="H31" i="3" s="1"/>
  <c r="I31" i="3" s="1"/>
  <c r="F32" i="3"/>
  <c r="AA27" i="3" l="1"/>
  <c r="Y28" i="3"/>
  <c r="Z28" i="3" s="1"/>
  <c r="X29" i="3"/>
  <c r="R30" i="3"/>
  <c r="T30" i="3" s="1"/>
  <c r="N31" i="3"/>
  <c r="L32" i="3"/>
  <c r="M31" i="3"/>
  <c r="S31" i="3" s="1"/>
  <c r="F33" i="3"/>
  <c r="G33" i="3" s="1"/>
  <c r="H33" i="3" s="1"/>
  <c r="I33" i="3" s="1"/>
  <c r="G32" i="3"/>
  <c r="H32" i="3" s="1"/>
  <c r="I32" i="3" s="1"/>
  <c r="U29" i="3"/>
  <c r="V29" i="3" s="1"/>
  <c r="W29" i="3" s="1"/>
  <c r="J30" i="3"/>
  <c r="B33" i="3"/>
  <c r="C33" i="3" s="1"/>
  <c r="D33" i="3" s="1"/>
  <c r="E33" i="3" s="1"/>
  <c r="C32" i="3"/>
  <c r="D32" i="3" s="1"/>
  <c r="E32" i="3" s="1"/>
  <c r="AA28" i="3" l="1"/>
  <c r="Y29" i="3"/>
  <c r="Z29" i="3" s="1"/>
  <c r="X30" i="3"/>
  <c r="J31" i="3"/>
  <c r="U30" i="3"/>
  <c r="V30" i="3" s="1"/>
  <c r="W30" i="3" s="1"/>
  <c r="R31" i="3"/>
  <c r="T31" i="3" s="1"/>
  <c r="L33" i="3"/>
  <c r="M32" i="3"/>
  <c r="S32" i="3" s="1"/>
  <c r="N32" i="3"/>
  <c r="AA29" i="3" l="1"/>
  <c r="Y30" i="3"/>
  <c r="AA30" i="3" s="1"/>
  <c r="R32" i="3"/>
  <c r="T32" i="3" s="1"/>
  <c r="X31" i="3"/>
  <c r="N33" i="3"/>
  <c r="M33" i="3"/>
  <c r="S33" i="3" s="1"/>
  <c r="U31" i="3"/>
  <c r="V31" i="3" s="1"/>
  <c r="W31" i="3" s="1"/>
  <c r="J32" i="3"/>
  <c r="Z30" i="3" l="1"/>
  <c r="Y31" i="3"/>
  <c r="Z31" i="3" s="1"/>
  <c r="X32" i="3"/>
  <c r="U32" i="3"/>
  <c r="V32" i="3" s="1"/>
  <c r="W32" i="3" s="1"/>
  <c r="J33" i="3"/>
  <c r="U33" i="3" s="1"/>
  <c r="V33" i="3" s="1"/>
  <c r="R33" i="3"/>
  <c r="T33" i="3" s="1"/>
  <c r="Y32" i="3" l="1"/>
  <c r="Z32" i="3" s="1"/>
  <c r="AA31" i="3"/>
  <c r="X33" i="3"/>
  <c r="W33" i="3"/>
  <c r="AA32" i="3" l="1"/>
  <c r="Y33" i="3"/>
  <c r="AA33" i="3" l="1"/>
  <c r="B38" i="3" s="1"/>
  <c r="Z33" i="3"/>
  <c r="B37" i="3" s="1"/>
  <c r="AK13" i="1" l="1"/>
  <c r="AK14" i="1"/>
  <c r="AK15" i="1"/>
  <c r="AK16" i="1"/>
  <c r="AK17" i="1"/>
  <c r="AK18" i="1"/>
  <c r="AK19" i="1"/>
  <c r="AK20" i="1"/>
  <c r="AK21" i="1"/>
  <c r="AK22" i="1"/>
  <c r="AK12" i="1"/>
  <c r="K12" i="1"/>
  <c r="L12" i="1"/>
  <c r="M12" i="1"/>
  <c r="AA12" i="1" s="1"/>
  <c r="AC12" i="1" s="1"/>
  <c r="N12" i="1"/>
  <c r="O12" i="1"/>
  <c r="P12" i="1"/>
  <c r="Z14" i="1"/>
  <c r="Z15" i="1" s="1"/>
  <c r="Z16" i="1" s="1"/>
  <c r="Z17" i="1" s="1"/>
  <c r="Z18" i="1" s="1"/>
  <c r="Z19" i="1" s="1"/>
  <c r="Z20" i="1" s="1"/>
  <c r="Z21" i="1" s="1"/>
  <c r="Z22" i="1" s="1"/>
  <c r="Z13" i="1"/>
  <c r="R3" i="1"/>
  <c r="Y13" i="1"/>
  <c r="Y14" i="1" s="1"/>
  <c r="Y15" i="1" s="1"/>
  <c r="Y16" i="1" s="1"/>
  <c r="Y17" i="1" s="1"/>
  <c r="Y18" i="1" s="1"/>
  <c r="Y19" i="1" s="1"/>
  <c r="Y20" i="1" s="1"/>
  <c r="Y21" i="1" s="1"/>
  <c r="Y22" i="1" s="1"/>
  <c r="X13" i="1"/>
  <c r="X14" i="1" s="1"/>
  <c r="X15" i="1" s="1"/>
  <c r="X16" i="1" s="1"/>
  <c r="X17" i="1" s="1"/>
  <c r="X18" i="1" s="1"/>
  <c r="X19" i="1" s="1"/>
  <c r="X20" i="1" s="1"/>
  <c r="X21" i="1" s="1"/>
  <c r="X22" i="1" s="1"/>
  <c r="W13" i="1"/>
  <c r="W14" i="1" s="1"/>
  <c r="W15" i="1" s="1"/>
  <c r="W16" i="1" s="1"/>
  <c r="W17" i="1" s="1"/>
  <c r="W18" i="1" s="1"/>
  <c r="W19" i="1" s="1"/>
  <c r="W20" i="1" s="1"/>
  <c r="W21" i="1" s="1"/>
  <c r="W22" i="1" s="1"/>
  <c r="V13" i="1"/>
  <c r="V14" i="1" s="1"/>
  <c r="V15" i="1" s="1"/>
  <c r="V16" i="1" s="1"/>
  <c r="V17" i="1" s="1"/>
  <c r="V18" i="1" s="1"/>
  <c r="V19" i="1" s="1"/>
  <c r="V20" i="1" s="1"/>
  <c r="V21" i="1" s="1"/>
  <c r="V22" i="1" s="1"/>
  <c r="S13" i="1"/>
  <c r="S14" i="1" s="1"/>
  <c r="S15" i="1" s="1"/>
  <c r="S16" i="1" s="1"/>
  <c r="S17" i="1" s="1"/>
  <c r="S18" i="1" s="1"/>
  <c r="S19" i="1" s="1"/>
  <c r="S20" i="1" s="1"/>
  <c r="S21" i="1" s="1"/>
  <c r="I4" i="1"/>
  <c r="T12" i="1" s="1"/>
  <c r="I5" i="1"/>
  <c r="U12" i="1" s="1"/>
  <c r="R12" i="1"/>
  <c r="Q12" i="1"/>
  <c r="J13" i="1"/>
  <c r="J14" i="1" s="1"/>
  <c r="J15" i="1" s="1"/>
  <c r="J16" i="1" s="1"/>
  <c r="J17" i="1" s="1"/>
  <c r="J18" i="1" s="1"/>
  <c r="J19" i="1" s="1"/>
  <c r="J20" i="1" s="1"/>
  <c r="J21" i="1" s="1"/>
  <c r="J22" i="1" s="1"/>
  <c r="N22" i="1" s="1"/>
  <c r="I13" i="1"/>
  <c r="I14" i="1" s="1"/>
  <c r="I15" i="1" s="1"/>
  <c r="I16" i="1" s="1"/>
  <c r="I17" i="1" s="1"/>
  <c r="I18" i="1" s="1"/>
  <c r="I19" i="1" s="1"/>
  <c r="I20" i="1" s="1"/>
  <c r="I21" i="1" s="1"/>
  <c r="I22" i="1" s="1"/>
  <c r="L22" i="1" s="1"/>
  <c r="AB22" i="1" s="1"/>
  <c r="AD22" i="1" s="1"/>
  <c r="H13" i="1"/>
  <c r="H14" i="1" s="1"/>
  <c r="Q14" i="1" s="1"/>
  <c r="G13" i="1"/>
  <c r="K13" i="1" s="1"/>
  <c r="F13" i="1"/>
  <c r="F14" i="1"/>
  <c r="F15" i="1"/>
  <c r="F16" i="1"/>
  <c r="F17" i="1"/>
  <c r="F18" i="1"/>
  <c r="F19" i="1"/>
  <c r="F20" i="1"/>
  <c r="F21" i="1"/>
  <c r="F12" i="1"/>
  <c r="E13" i="1" s="1"/>
  <c r="T18" i="1" l="1"/>
  <c r="AG12" i="1"/>
  <c r="AH22" i="1"/>
  <c r="AE12" i="1"/>
  <c r="AF22" i="1"/>
  <c r="AI12" i="1"/>
  <c r="AL12" i="1" s="1"/>
  <c r="AN12" i="1" s="1"/>
  <c r="AP12" i="1" s="1"/>
  <c r="U20" i="1"/>
  <c r="T17" i="1"/>
  <c r="U16" i="1"/>
  <c r="AB12" i="1"/>
  <c r="U21" i="1"/>
  <c r="T14" i="1"/>
  <c r="T13" i="1"/>
  <c r="T21" i="1"/>
  <c r="U19" i="1"/>
  <c r="U15" i="1"/>
  <c r="T20" i="1"/>
  <c r="T16" i="1"/>
  <c r="U18" i="1"/>
  <c r="U14" i="1"/>
  <c r="T19" i="1"/>
  <c r="T15" i="1"/>
  <c r="U17" i="1"/>
  <c r="U13" i="1"/>
  <c r="N13" i="1"/>
  <c r="M14" i="1"/>
  <c r="L14" i="1"/>
  <c r="N20" i="1"/>
  <c r="N16" i="1"/>
  <c r="R22" i="1"/>
  <c r="R18" i="1"/>
  <c r="R14" i="1"/>
  <c r="N21" i="1"/>
  <c r="N17" i="1"/>
  <c r="N19" i="1"/>
  <c r="N15" i="1"/>
  <c r="R21" i="1"/>
  <c r="R17" i="1"/>
  <c r="R13" i="1"/>
  <c r="R19" i="1"/>
  <c r="R15" i="1"/>
  <c r="N18" i="1"/>
  <c r="N14" i="1"/>
  <c r="R20" i="1"/>
  <c r="R16" i="1"/>
  <c r="L18" i="1"/>
  <c r="AB18" i="1" s="1"/>
  <c r="P19" i="1"/>
  <c r="P15" i="1"/>
  <c r="L21" i="1"/>
  <c r="AB21" i="1" s="1"/>
  <c r="L13" i="1"/>
  <c r="P22" i="1"/>
  <c r="AJ22" i="1" s="1"/>
  <c r="AM22" i="1" s="1"/>
  <c r="AO22" i="1" s="1"/>
  <c r="AQ22" i="1" s="1"/>
  <c r="P18" i="1"/>
  <c r="P14" i="1"/>
  <c r="L17" i="1"/>
  <c r="L20" i="1"/>
  <c r="L16" i="1"/>
  <c r="P21" i="1"/>
  <c r="P17" i="1"/>
  <c r="P13" i="1"/>
  <c r="L19" i="1"/>
  <c r="L15" i="1"/>
  <c r="AB15" i="1" s="1"/>
  <c r="P20" i="1"/>
  <c r="P16" i="1"/>
  <c r="M13" i="1"/>
  <c r="AA13" i="1" s="1"/>
  <c r="Q13" i="1"/>
  <c r="O13" i="1"/>
  <c r="H15" i="1"/>
  <c r="G14" i="1"/>
  <c r="E14" i="1"/>
  <c r="E15" i="1" s="1"/>
  <c r="E16" i="1" s="1"/>
  <c r="E17" i="1" s="1"/>
  <c r="E18" i="1" s="1"/>
  <c r="E19" i="1" s="1"/>
  <c r="E20" i="1" s="1"/>
  <c r="E21" i="1" s="1"/>
  <c r="AJ18" i="1" l="1"/>
  <c r="AM18" i="1" s="1"/>
  <c r="AO18" i="1" s="1"/>
  <c r="AQ18" i="1" s="1"/>
  <c r="AC13" i="1"/>
  <c r="AG13" i="1"/>
  <c r="AI13" i="1" s="1"/>
  <c r="AL13" i="1" s="1"/>
  <c r="AN13" i="1" s="1"/>
  <c r="AP13" i="1" s="1"/>
  <c r="AE13" i="1"/>
  <c r="AB17" i="1"/>
  <c r="AD18" i="1"/>
  <c r="AF18" i="1"/>
  <c r="AH18" i="1"/>
  <c r="AJ21" i="1"/>
  <c r="AM21" i="1" s="1"/>
  <c r="AO21" i="1" s="1"/>
  <c r="AQ21" i="1" s="1"/>
  <c r="AD21" i="1"/>
  <c r="AH21" i="1"/>
  <c r="AF21" i="1"/>
  <c r="AD12" i="1"/>
  <c r="AF12" i="1"/>
  <c r="AH12" i="1"/>
  <c r="AJ12" i="1" s="1"/>
  <c r="AM12" i="1" s="1"/>
  <c r="AO12" i="1"/>
  <c r="AQ12" i="1" s="1"/>
  <c r="AD15" i="1"/>
  <c r="AF15" i="1"/>
  <c r="AH15" i="1"/>
  <c r="AJ15" i="1" s="1"/>
  <c r="AM15" i="1" s="1"/>
  <c r="AO15" i="1" s="1"/>
  <c r="AQ15" i="1" s="1"/>
  <c r="AB16" i="1"/>
  <c r="AB20" i="1"/>
  <c r="AB14" i="1"/>
  <c r="AB19" i="1"/>
  <c r="AB13" i="1"/>
  <c r="M15" i="1"/>
  <c r="Q15" i="1"/>
  <c r="K14" i="1"/>
  <c r="AA14" i="1" s="1"/>
  <c r="O14" i="1"/>
  <c r="G15" i="1"/>
  <c r="H16" i="1"/>
  <c r="AD16" i="1" l="1"/>
  <c r="AH16" i="1"/>
  <c r="AJ16" i="1" s="1"/>
  <c r="AM16" i="1" s="1"/>
  <c r="AO16" i="1" s="1"/>
  <c r="AQ16" i="1" s="1"/>
  <c r="AF16" i="1"/>
  <c r="AD19" i="1"/>
  <c r="AH19" i="1"/>
  <c r="AJ19" i="1" s="1"/>
  <c r="AM19" i="1" s="1"/>
  <c r="AO19" i="1" s="1"/>
  <c r="AQ19" i="1" s="1"/>
  <c r="AF19" i="1"/>
  <c r="AD14" i="1"/>
  <c r="AF14" i="1"/>
  <c r="AO14" i="1"/>
  <c r="AQ14" i="1" s="1"/>
  <c r="AH14" i="1"/>
  <c r="AJ14" i="1" s="1"/>
  <c r="AM14" i="1" s="1"/>
  <c r="AD17" i="1"/>
  <c r="AH17" i="1"/>
  <c r="AJ17" i="1" s="1"/>
  <c r="AM17" i="1" s="1"/>
  <c r="AO17" i="1" s="1"/>
  <c r="AQ17" i="1" s="1"/>
  <c r="AF17" i="1"/>
  <c r="AD13" i="1"/>
  <c r="AO13" i="1"/>
  <c r="AQ13" i="1" s="1"/>
  <c r="AF13" i="1"/>
  <c r="AH13" i="1"/>
  <c r="AJ13" i="1" s="1"/>
  <c r="AM13" i="1" s="1"/>
  <c r="AC14" i="1"/>
  <c r="AG14" i="1"/>
  <c r="AI14" i="1" s="1"/>
  <c r="AL14" i="1" s="1"/>
  <c r="AN14" i="1" s="1"/>
  <c r="AP14" i="1" s="1"/>
  <c r="AE14" i="1"/>
  <c r="AD20" i="1"/>
  <c r="AH20" i="1"/>
  <c r="AJ20" i="1" s="1"/>
  <c r="AM20" i="1" s="1"/>
  <c r="AO20" i="1" s="1"/>
  <c r="AQ20" i="1" s="1"/>
  <c r="AF20" i="1"/>
  <c r="M16" i="1"/>
  <c r="Q16" i="1"/>
  <c r="O15" i="1"/>
  <c r="K15" i="1"/>
  <c r="AA15" i="1" s="1"/>
  <c r="G16" i="1"/>
  <c r="H17" i="1"/>
  <c r="AC15" i="1" l="1"/>
  <c r="AE15" i="1"/>
  <c r="AG15" i="1"/>
  <c r="AI15" i="1" s="1"/>
  <c r="AL15" i="1" s="1"/>
  <c r="AN15" i="1" s="1"/>
  <c r="AP15" i="1" s="1"/>
  <c r="Q17" i="1"/>
  <c r="M17" i="1"/>
  <c r="K16" i="1"/>
  <c r="AA16" i="1" s="1"/>
  <c r="O16" i="1"/>
  <c r="H18" i="1"/>
  <c r="G17" i="1"/>
  <c r="AC16" i="1" l="1"/>
  <c r="AE16" i="1"/>
  <c r="AG16" i="1"/>
  <c r="AI16" i="1" s="1"/>
  <c r="AL16" i="1" s="1"/>
  <c r="AN16" i="1" s="1"/>
  <c r="AP16" i="1" s="1"/>
  <c r="Q18" i="1"/>
  <c r="M18" i="1"/>
  <c r="O17" i="1"/>
  <c r="K17" i="1"/>
  <c r="AA17" i="1" s="1"/>
  <c r="G18" i="1"/>
  <c r="H19" i="1"/>
  <c r="AI17" i="1" l="1"/>
  <c r="AL17" i="1" s="1"/>
  <c r="AC17" i="1"/>
  <c r="AG17" i="1"/>
  <c r="AE17" i="1"/>
  <c r="AN17" i="1"/>
  <c r="AP17" i="1" s="1"/>
  <c r="M19" i="1"/>
  <c r="Q19" i="1"/>
  <c r="O18" i="1"/>
  <c r="K18" i="1"/>
  <c r="AA18" i="1" s="1"/>
  <c r="H20" i="1"/>
  <c r="G19" i="1"/>
  <c r="AC18" i="1" l="1"/>
  <c r="AE18" i="1"/>
  <c r="AG18" i="1"/>
  <c r="AI18" i="1" s="1"/>
  <c r="AL18" i="1" s="1"/>
  <c r="AN18" i="1" s="1"/>
  <c r="AP18" i="1" s="1"/>
  <c r="Q20" i="1"/>
  <c r="M20" i="1"/>
  <c r="O19" i="1"/>
  <c r="K19" i="1"/>
  <c r="AA19" i="1" s="1"/>
  <c r="G20" i="1"/>
  <c r="H21" i="1"/>
  <c r="AC19" i="1" l="1"/>
  <c r="AE19" i="1"/>
  <c r="AG19" i="1"/>
  <c r="AI19" i="1" s="1"/>
  <c r="AL19" i="1" s="1"/>
  <c r="AN19" i="1" s="1"/>
  <c r="AP19" i="1" s="1"/>
  <c r="Q21" i="1"/>
  <c r="M21" i="1"/>
  <c r="O20" i="1"/>
  <c r="K20" i="1"/>
  <c r="AA20" i="1" s="1"/>
  <c r="H22" i="1"/>
  <c r="G21" i="1"/>
  <c r="AC20" i="1" l="1"/>
  <c r="AE20" i="1"/>
  <c r="AG20" i="1"/>
  <c r="AI20" i="1" s="1"/>
  <c r="AL20" i="1" s="1"/>
  <c r="AN20" i="1" s="1"/>
  <c r="AP20" i="1" s="1"/>
  <c r="Q22" i="1"/>
  <c r="M22" i="1"/>
  <c r="O21" i="1"/>
  <c r="K21" i="1"/>
  <c r="AA21" i="1" s="1"/>
  <c r="G22" i="1"/>
  <c r="AC21" i="1" l="1"/>
  <c r="AG21" i="1"/>
  <c r="AI21" i="1" s="1"/>
  <c r="AL21" i="1" s="1"/>
  <c r="AN21" i="1" s="1"/>
  <c r="AP21" i="1" s="1"/>
  <c r="AE21" i="1"/>
  <c r="O22" i="1"/>
  <c r="K22" i="1"/>
  <c r="AA22" i="1" s="1"/>
  <c r="AC22" i="1" l="1"/>
  <c r="AG22" i="1"/>
  <c r="AE22" i="1"/>
  <c r="AI22" i="1"/>
  <c r="AL22" i="1" s="1"/>
  <c r="AN22" i="1" s="1"/>
  <c r="AP22" i="1" s="1"/>
</calcChain>
</file>

<file path=xl/sharedStrings.xml><?xml version="1.0" encoding="utf-8"?>
<sst xmlns="http://schemas.openxmlformats.org/spreadsheetml/2006/main" count="160" uniqueCount="127">
  <si>
    <t>Sr. no.</t>
  </si>
  <si>
    <t>Year</t>
  </si>
  <si>
    <t>R&amp;D Expenses</t>
  </si>
  <si>
    <t>Asset value</t>
  </si>
  <si>
    <t>Depreciation</t>
  </si>
  <si>
    <t>Introductory costs (in mn)</t>
  </si>
  <si>
    <t>(only for alternium project)</t>
  </si>
  <si>
    <t>W/ Alternium</t>
  </si>
  <si>
    <t>W/O Alternium</t>
  </si>
  <si>
    <t>US &amp; Russia</t>
  </si>
  <si>
    <t>International</t>
  </si>
  <si>
    <t>Market Potential and Share (participants in mm)</t>
  </si>
  <si>
    <t>(in mm)</t>
  </si>
  <si>
    <t>Inflation Rate</t>
  </si>
  <si>
    <t>Exchange Charges</t>
  </si>
  <si>
    <t>Servicing Costs</t>
  </si>
  <si>
    <t>US &amp; Russia
(W/O Alternium)</t>
  </si>
  <si>
    <t>US &amp; Russia
(W/ Alternium)</t>
  </si>
  <si>
    <t>International
(W/O Alternium)</t>
  </si>
  <si>
    <t>International
(W/ Alternium)</t>
  </si>
  <si>
    <t xml:space="preserve">Charges of Exchange </t>
  </si>
  <si>
    <t xml:space="preserve">Cost of Servicing </t>
  </si>
  <si>
    <t>US Treasury Bond Rate</t>
  </si>
  <si>
    <t>TaxRate</t>
  </si>
  <si>
    <t>Pricing and Unit Costs (in mm)</t>
  </si>
  <si>
    <t>Isolation (For International Participants)</t>
  </si>
  <si>
    <t>Number of participants</t>
  </si>
  <si>
    <t>Growth</t>
  </si>
  <si>
    <t xml:space="preserve">New Participants on Alternium </t>
  </si>
  <si>
    <t>(only international participants in mm)</t>
  </si>
  <si>
    <t>s</t>
  </si>
  <si>
    <t>and Costs</t>
  </si>
  <si>
    <t xml:space="preserve">Server Facilities </t>
  </si>
  <si>
    <t>New 
Participants</t>
  </si>
  <si>
    <t>Exchange 
Charges</t>
  </si>
  <si>
    <t>Servicing 
Costs</t>
  </si>
  <si>
    <t>(with inflation 
in mm)</t>
  </si>
  <si>
    <t>Growth rate for G &amp; A Expenses</t>
  </si>
  <si>
    <t xml:space="preserve">G &amp; A </t>
  </si>
  <si>
    <t>Expenses</t>
  </si>
  <si>
    <t>Advertising Expenses</t>
  </si>
  <si>
    <t>Growth rate for Ad. Expenses</t>
  </si>
  <si>
    <t>Cost savings Cash Flow</t>
  </si>
  <si>
    <t>Working Capital</t>
  </si>
  <si>
    <t>Total revenue (in mm excluding a/c receivables)</t>
  </si>
  <si>
    <t>A/c receivable</t>
  </si>
  <si>
    <t>A/c payable</t>
  </si>
  <si>
    <t>A/c receivable at the 
beginning of each year</t>
  </si>
  <si>
    <t>A/c payable at the 
beginning of each year</t>
  </si>
  <si>
    <t>Inventory of coins</t>
  </si>
  <si>
    <t>Total cost of each year excluding debt interest</t>
  </si>
  <si>
    <t xml:space="preserve">Cost saving
cash flow </t>
  </si>
  <si>
    <t>Interest rate</t>
  </si>
  <si>
    <t>Debt amount</t>
  </si>
  <si>
    <t>W/O Alternium
(in mm)</t>
  </si>
  <si>
    <t>W/ Alternium
(in mm)</t>
  </si>
  <si>
    <t>Interest paid 
on debt</t>
  </si>
  <si>
    <t>Total Cost</t>
  </si>
  <si>
    <t>Income for the year</t>
  </si>
  <si>
    <t>Marginal Tax Rate</t>
  </si>
  <si>
    <t>Income after tax</t>
  </si>
  <si>
    <t>Assumptions: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</si>
  <si>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Each value posted is in millions and up to two decimals.</t>
    </r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</si>
  <si>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For the Market Potential and Share, it is assumed that the no. of participants remain constant for the first two years and growth is visible from 2022.</t>
    </r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</si>
  <si>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1"/>
        <color rgb="FF000000"/>
        <rFont val="Calibri"/>
        <family val="2"/>
        <scheme val="minor"/>
      </rPr>
      <t>Since the Alterium project will be active and will be using the universal swap server therefore the new server has been added</t>
    </r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</si>
  <si>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Inventory of coins- Ignored while taking cashflows and revenue just considered as a balance carry forward.</t>
    </r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</si>
  <si>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Revenue it is assumed that there is no other revenues.</t>
    </r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</si>
  <si>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Interest on debt is assumed to be 2%.</t>
    </r>
  </si>
  <si>
    <t>inflation rate</t>
  </si>
  <si>
    <t>consumer base for US and russia</t>
  </si>
  <si>
    <t>cashflow from the exchange services</t>
  </si>
  <si>
    <t>cashflow from the pool with growth rate</t>
  </si>
  <si>
    <t>cashflow from the pool with growth rate and inflation</t>
  </si>
  <si>
    <t>consumer base of international particaipants</t>
  </si>
  <si>
    <t>cash flow from exchange services for international participants</t>
  </si>
  <si>
    <t>cashflow from theexchange services including growth rate</t>
  </si>
  <si>
    <t>cash flow for us and russia participants for servicing cost</t>
  </si>
  <si>
    <t>cashflow from international particiapnts</t>
  </si>
  <si>
    <t>consumer base of the new pool of alterium</t>
  </si>
  <si>
    <t>cashflow exchange services from new alterium pool</t>
  </si>
  <si>
    <t>cashflow from the new alterium pool for servicing costs</t>
  </si>
  <si>
    <t>advertising expenses</t>
  </si>
  <si>
    <t>cost saving</t>
  </si>
  <si>
    <t>inventory expenses</t>
  </si>
  <si>
    <t>accounts recievable</t>
  </si>
  <si>
    <t>total revenue without recievables</t>
  </si>
  <si>
    <t>total revenue</t>
  </si>
  <si>
    <t>total cost</t>
  </si>
  <si>
    <t>income</t>
  </si>
  <si>
    <t>tax</t>
  </si>
  <si>
    <t>after tax income</t>
  </si>
  <si>
    <t>present value of cashflows</t>
  </si>
  <si>
    <t>net present value</t>
  </si>
  <si>
    <t>total net present value</t>
  </si>
  <si>
    <t>irr</t>
  </si>
  <si>
    <t>Assumptions</t>
  </si>
  <si>
    <t>Since the machine do not have a lot of life and it will get old and the processing will get slower so it might run out</t>
  </si>
  <si>
    <t>Since the commencement of technology there has been new age revolutionary technologies being devoloped every 20 years so in the next 20 years thre might be new technology availabe</t>
  </si>
  <si>
    <t>cashflow from the exchange services including growth rate and inflation</t>
  </si>
  <si>
    <t>Cost of servicing new pool of alterium</t>
  </si>
  <si>
    <t>Servicing price for US 
and russia</t>
  </si>
  <si>
    <t>Cost of capital</t>
  </si>
  <si>
    <t>Tax percentage</t>
  </si>
  <si>
    <t>Percentage of revenue</t>
  </si>
  <si>
    <t>Exchange fee for new alterium pool</t>
  </si>
  <si>
    <t xml:space="preserve">Consumers are expected to grow by the rate </t>
  </si>
  <si>
    <t>Exchange price is expected to grow at</t>
  </si>
  <si>
    <t>Service price is expected to grow at</t>
  </si>
  <si>
    <t>Consumers form the new pool of alterium is expected to grow at</t>
  </si>
  <si>
    <t>Since the new project is established</t>
  </si>
  <si>
    <t xml:space="preserve">Consumer base for the next 20 years </t>
  </si>
  <si>
    <t>Assumptions of cashflows</t>
  </si>
  <si>
    <t>Projected cash flows for the next 20 years</t>
  </si>
  <si>
    <t>Servicing price for international participPants</t>
  </si>
  <si>
    <t>Book value of the new server</t>
  </si>
  <si>
    <t>Book value of the amount spent on infrastructure</t>
  </si>
  <si>
    <t xml:space="preserve">Cost of capital </t>
  </si>
  <si>
    <t>Total  value of assets</t>
  </si>
  <si>
    <t>Netpresent value</t>
  </si>
  <si>
    <t>Total value of assets</t>
  </si>
  <si>
    <t>Net present value of assets</t>
  </si>
  <si>
    <t>Internal rate of return</t>
  </si>
  <si>
    <t>Name</t>
  </si>
  <si>
    <t>Saloni Tayshete</t>
  </si>
  <si>
    <t>Class</t>
  </si>
  <si>
    <t>FY-B</t>
  </si>
  <si>
    <t>Roll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</si>
</sst>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₹&quot;\ * #,##0.00_ ;_ &quot;₹&quot;\ * \-#,##0.00_ ;_ &quot;₹&quot;\ * &quot;-&quot;??_ ;_ @_ "/>
    <numFmt numFmtId="164" formatCode="_-[$$-409]* #,##0.00_ ;_-[$$-409]* \-#,##0.00\ ;_-[$$-409]* &quot;-&quot;??_ ;_-@_ "/>
    <numFmt numFmtId="165" formatCode="0.0%"/>
    <numFmt numFmtId="169" formatCode="_ * #,##0.00_ ;_ * \-#,##0.00_ ;_ * &quot;-&quot;??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sz val="11"/>
      <name val="Calibri"/>
      <family val="2"/>
      <scheme val="minor"/>
    </font>
    <font>
      <sz val="7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4" fillId="0" borderId="0"/>
  </cellStyleXfs>
  <cellXfs count="15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3" xfId="0" applyNumberFormat="1" applyBorder="1"/>
    <xf numFmtId="164" fontId="0" fillId="0" borderId="4" xfId="0" applyNumberFormat="1" applyBorder="1"/>
    <xf numFmtId="164" fontId="2" fillId="0" borderId="7" xfId="0" applyNumberFormat="1" applyFont="1" applyBorder="1"/>
    <xf numFmtId="0" fontId="0" fillId="0" borderId="9" xfId="0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164" fontId="2" fillId="0" borderId="5" xfId="0" applyNumberFormat="1" applyFont="1" applyBorder="1"/>
    <xf numFmtId="0" fontId="0" fillId="0" borderId="4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2" fillId="0" borderId="2" xfId="0" applyNumberFormat="1" applyFont="1" applyBorder="1"/>
    <xf numFmtId="2" fontId="0" fillId="0" borderId="2" xfId="1" applyNumberFormat="1" applyFont="1" applyBorder="1"/>
    <xf numFmtId="2" fontId="0" fillId="0" borderId="3" xfId="1" applyNumberFormat="1" applyFont="1" applyBorder="1"/>
    <xf numFmtId="2" fontId="0" fillId="0" borderId="4" xfId="1" applyNumberFormat="1" applyFont="1" applyBorder="1"/>
    <xf numFmtId="2" fontId="0" fillId="0" borderId="0" xfId="1" applyNumberFormat="1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9" fontId="0" fillId="0" borderId="0" xfId="2" applyFont="1"/>
    <xf numFmtId="164" fontId="0" fillId="0" borderId="0" xfId="0" applyNumberFormat="1" applyBorder="1"/>
    <xf numFmtId="0" fontId="0" fillId="0" borderId="1" xfId="0" applyFill="1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0" xfId="0" applyBorder="1" applyAlignment="1"/>
    <xf numFmtId="164" fontId="0" fillId="0" borderId="2" xfId="0" applyNumberFormat="1" applyBorder="1"/>
    <xf numFmtId="0" fontId="0" fillId="0" borderId="14" xfId="0" applyBorder="1"/>
    <xf numFmtId="164" fontId="0" fillId="0" borderId="5" xfId="0" applyNumberFormat="1" applyBorder="1"/>
    <xf numFmtId="164" fontId="0" fillId="0" borderId="12" xfId="0" applyNumberFormat="1" applyBorder="1"/>
    <xf numFmtId="164" fontId="0" fillId="0" borderId="6" xfId="0" applyNumberFormat="1" applyBorder="1"/>
    <xf numFmtId="164" fontId="2" fillId="0" borderId="3" xfId="0" applyNumberFormat="1" applyFont="1" applyBorder="1"/>
    <xf numFmtId="0" fontId="0" fillId="0" borderId="0" xfId="0" applyNumberFormat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7" xfId="0" applyBorder="1"/>
    <xf numFmtId="2" fontId="0" fillId="0" borderId="0" xfId="0" applyNumberFormat="1" applyBorder="1"/>
    <xf numFmtId="2" fontId="0" fillId="0" borderId="2" xfId="0" applyNumberFormat="1" applyBorder="1"/>
    <xf numFmtId="2" fontId="0" fillId="0" borderId="3" xfId="0" applyNumberFormat="1" applyBorder="1"/>
    <xf numFmtId="2" fontId="0" fillId="0" borderId="4" xfId="0" applyNumberFormat="1" applyBorder="1"/>
    <xf numFmtId="0" fontId="4" fillId="0" borderId="10" xfId="4" applyFont="1" applyBorder="1" applyAlignment="1">
      <alignment horizontal="center"/>
    </xf>
    <xf numFmtId="0" fontId="4" fillId="0" borderId="13" xfId="4" applyFont="1" applyBorder="1" applyAlignment="1"/>
    <xf numFmtId="0" fontId="4" fillId="0" borderId="11" xfId="4" applyFont="1" applyBorder="1" applyAlignment="1"/>
    <xf numFmtId="0" fontId="4" fillId="0" borderId="7" xfId="4" applyFont="1" applyBorder="1" applyAlignment="1"/>
    <xf numFmtId="165" fontId="0" fillId="0" borderId="0" xfId="2" applyNumberFormat="1" applyFont="1" applyBorder="1"/>
    <xf numFmtId="165" fontId="0" fillId="0" borderId="7" xfId="2" applyNumberFormat="1" applyFont="1" applyBorder="1"/>
    <xf numFmtId="9" fontId="0" fillId="0" borderId="0" xfId="2" applyFont="1" applyBorder="1"/>
    <xf numFmtId="9" fontId="0" fillId="0" borderId="12" xfId="2" applyFont="1" applyBorder="1"/>
    <xf numFmtId="0" fontId="0" fillId="0" borderId="10" xfId="0" applyBorder="1"/>
    <xf numFmtId="0" fontId="0" fillId="0" borderId="13" xfId="0" applyBorder="1"/>
    <xf numFmtId="0" fontId="0" fillId="0" borderId="13" xfId="0" applyBorder="1" applyAlignment="1">
      <alignment horizontal="center"/>
    </xf>
    <xf numFmtId="169" fontId="4" fillId="0" borderId="5" xfId="4" applyNumberFormat="1" applyFont="1" applyBorder="1"/>
    <xf numFmtId="9" fontId="4" fillId="0" borderId="9" xfId="4" applyNumberFormat="1" applyFont="1" applyBorder="1"/>
    <xf numFmtId="0" fontId="0" fillId="2" borderId="6" xfId="0" applyFill="1" applyBorder="1"/>
    <xf numFmtId="0" fontId="0" fillId="2" borderId="0" xfId="0" applyFill="1" applyBorder="1"/>
    <xf numFmtId="0" fontId="3" fillId="2" borderId="6" xfId="3" applyFont="1" applyFill="1" applyBorder="1" applyAlignment="1"/>
    <xf numFmtId="0" fontId="3" fillId="2" borderId="0" xfId="3" applyFont="1" applyFill="1" applyBorder="1" applyAlignment="1"/>
    <xf numFmtId="0" fontId="3" fillId="2" borderId="8" xfId="3" applyFont="1" applyFill="1" applyBorder="1" applyAlignment="1"/>
    <xf numFmtId="0" fontId="3" fillId="2" borderId="12" xfId="3" applyFont="1" applyFill="1" applyBorder="1" applyAlignment="1"/>
    <xf numFmtId="0" fontId="4" fillId="2" borderId="15" xfId="4" applyFont="1" applyFill="1" applyBorder="1" applyAlignment="1"/>
    <xf numFmtId="0" fontId="4" fillId="2" borderId="14" xfId="4" applyFont="1" applyFill="1" applyBorder="1" applyAlignment="1"/>
    <xf numFmtId="0" fontId="4" fillId="2" borderId="6" xfId="4" applyFont="1" applyFill="1" applyBorder="1" applyAlignment="1"/>
    <xf numFmtId="0" fontId="4" fillId="2" borderId="0" xfId="4" applyFont="1" applyFill="1" applyBorder="1" applyAlignment="1"/>
    <xf numFmtId="0" fontId="4" fillId="2" borderId="8" xfId="4" applyFont="1" applyFill="1" applyBorder="1" applyAlignment="1"/>
    <xf numFmtId="0" fontId="4" fillId="2" borderId="12" xfId="4" applyFont="1" applyFill="1" applyBorder="1" applyAlignment="1"/>
    <xf numFmtId="164" fontId="2" fillId="0" borderId="4" xfId="0" applyNumberFormat="1" applyFont="1" applyBorder="1"/>
    <xf numFmtId="0" fontId="0" fillId="0" borderId="1" xfId="0" applyBorder="1" applyAlignment="1">
      <alignment wrapText="1"/>
    </xf>
    <xf numFmtId="0" fontId="2" fillId="0" borderId="7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/>
    <xf numFmtId="164" fontId="2" fillId="0" borderId="5" xfId="0" applyNumberFormat="1" applyFont="1" applyFill="1" applyBorder="1"/>
    <xf numFmtId="164" fontId="2" fillId="0" borderId="9" xfId="0" applyNumberFormat="1" applyFont="1" applyBorder="1"/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12" xfId="0" applyBorder="1"/>
    <xf numFmtId="0" fontId="0" fillId="0" borderId="9" xfId="0" applyBorder="1"/>
    <xf numFmtId="0" fontId="2" fillId="3" borderId="10" xfId="0" applyFont="1" applyFill="1" applyBorder="1" applyAlignment="1">
      <alignment horizontal="center" wrapText="1"/>
    </xf>
    <xf numFmtId="0" fontId="2" fillId="3" borderId="1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9" fontId="0" fillId="0" borderId="5" xfId="2" applyFont="1" applyBorder="1"/>
    <xf numFmtId="9" fontId="0" fillId="0" borderId="7" xfId="2" applyFont="1" applyBorder="1"/>
    <xf numFmtId="9" fontId="0" fillId="0" borderId="9" xfId="2" applyFont="1" applyBorder="1"/>
    <xf numFmtId="0" fontId="0" fillId="2" borderId="15" xfId="0" applyFill="1" applyBorder="1"/>
    <xf numFmtId="0" fontId="0" fillId="2" borderId="14" xfId="0" applyFill="1" applyBorder="1"/>
    <xf numFmtId="0" fontId="0" fillId="2" borderId="8" xfId="0" applyFill="1" applyBorder="1"/>
    <xf numFmtId="0" fontId="0" fillId="2" borderId="12" xfId="0" applyFill="1" applyBorder="1"/>
    <xf numFmtId="9" fontId="0" fillId="0" borderId="13" xfId="2" applyFont="1" applyBorder="1"/>
    <xf numFmtId="0" fontId="0" fillId="2" borderId="10" xfId="0" applyFill="1" applyBorder="1"/>
    <xf numFmtId="0" fontId="0" fillId="2" borderId="13" xfId="0" applyFill="1" applyBorder="1"/>
    <xf numFmtId="0" fontId="0" fillId="0" borderId="11" xfId="0" applyBorder="1"/>
    <xf numFmtId="0" fontId="0" fillId="2" borderId="6" xfId="0" applyFill="1" applyBorder="1" applyAlignment="1">
      <alignment horizontal="left" vertical="center" indent="5"/>
    </xf>
    <xf numFmtId="0" fontId="0" fillId="2" borderId="8" xfId="0" applyFill="1" applyBorder="1" applyAlignment="1">
      <alignment horizontal="left" vertical="center" indent="5"/>
    </xf>
    <xf numFmtId="0" fontId="0" fillId="2" borderId="10" xfId="0" applyFill="1" applyBorder="1"/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9" fontId="0" fillId="0" borderId="0" xfId="0" applyNumberFormat="1"/>
    <xf numFmtId="0" fontId="2" fillId="3" borderId="0" xfId="0" applyFont="1" applyFill="1" applyAlignment="1">
      <alignment wrapText="1"/>
    </xf>
    <xf numFmtId="0" fontId="2" fillId="3" borderId="0" xfId="0" applyFont="1" applyFill="1"/>
    <xf numFmtId="0" fontId="2" fillId="0" borderId="0" xfId="0" applyFont="1" applyAlignment="1">
      <alignment wrapText="1"/>
    </xf>
    <xf numFmtId="0" fontId="2" fillId="0" borderId="0" xfId="0" applyFont="1"/>
    <xf numFmtId="2" fontId="2" fillId="0" borderId="0" xfId="0" applyNumberFormat="1" applyFont="1"/>
    <xf numFmtId="2" fontId="5" fillId="0" borderId="0" xfId="0" applyNumberFormat="1" applyFont="1"/>
    <xf numFmtId="0" fontId="5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2" borderId="15" xfId="0" applyFill="1" applyBorder="1" applyAlignment="1">
      <alignment wrapText="1"/>
    </xf>
    <xf numFmtId="0" fontId="0" fillId="2" borderId="6" xfId="0" applyFill="1" applyBorder="1" applyAlignment="1">
      <alignment wrapText="1"/>
    </xf>
    <xf numFmtId="0" fontId="0" fillId="2" borderId="8" xfId="0" applyFill="1" applyBorder="1"/>
    <xf numFmtId="9" fontId="0" fillId="0" borderId="9" xfId="0" applyNumberFormat="1" applyBorder="1"/>
    <xf numFmtId="9" fontId="0" fillId="0" borderId="5" xfId="0" applyNumberFormat="1" applyBorder="1"/>
    <xf numFmtId="9" fontId="0" fillId="0" borderId="7" xfId="0" applyNumberFormat="1" applyBorder="1"/>
    <xf numFmtId="0" fontId="0" fillId="2" borderId="8" xfId="0" applyFill="1" applyBorder="1" applyAlignment="1">
      <alignment wrapText="1"/>
    </xf>
    <xf numFmtId="0" fontId="0" fillId="2" borderId="6" xfId="0" applyFill="1" applyBorder="1"/>
    <xf numFmtId="0" fontId="0" fillId="0" borderId="14" xfId="0" applyBorder="1" applyAlignment="1"/>
    <xf numFmtId="0" fontId="0" fillId="0" borderId="5" xfId="0" applyBorder="1" applyAlignment="1"/>
    <xf numFmtId="9" fontId="0" fillId="0" borderId="12" xfId="0" applyNumberFormat="1" applyBorder="1"/>
    <xf numFmtId="0" fontId="0" fillId="2" borderId="2" xfId="0" applyFill="1" applyBorder="1" applyAlignment="1"/>
    <xf numFmtId="0" fontId="0" fillId="2" borderId="3" xfId="0" applyFill="1" applyBorder="1"/>
    <xf numFmtId="0" fontId="0" fillId="2" borderId="4" xfId="0" applyFill="1" applyBorder="1"/>
    <xf numFmtId="10" fontId="0" fillId="0" borderId="13" xfId="0" applyNumberFormat="1" applyBorder="1"/>
    <xf numFmtId="0" fontId="0" fillId="2" borderId="6" xfId="0" applyFill="1" applyBorder="1" applyAlignment="1">
      <alignment vertical="center" wrapText="1"/>
    </xf>
    <xf numFmtId="0" fontId="0" fillId="3" borderId="7" xfId="0" applyFont="1" applyFill="1" applyBorder="1"/>
    <xf numFmtId="0" fontId="0" fillId="2" borderId="15" xfId="0" applyFill="1" applyBorder="1" applyAlignment="1"/>
    <xf numFmtId="0" fontId="0" fillId="2" borderId="14" xfId="0" applyFill="1" applyBorder="1" applyAlignment="1"/>
    <xf numFmtId="0" fontId="0" fillId="2" borderId="5" xfId="0" applyFill="1" applyBorder="1" applyAlignment="1"/>
    <xf numFmtId="0" fontId="0" fillId="2" borderId="6" xfId="0" applyFill="1" applyBorder="1" applyAlignment="1"/>
    <xf numFmtId="0" fontId="0" fillId="2" borderId="0" xfId="0" applyFill="1" applyBorder="1" applyAlignment="1"/>
    <xf numFmtId="0" fontId="0" fillId="2" borderId="7" xfId="0" applyFill="1" applyBorder="1" applyAlignment="1"/>
    <xf numFmtId="0" fontId="0" fillId="2" borderId="7" xfId="0" applyFill="1" applyBorder="1"/>
    <xf numFmtId="0" fontId="0" fillId="2" borderId="9" xfId="0" applyFill="1" applyBorder="1"/>
    <xf numFmtId="2" fontId="0" fillId="0" borderId="5" xfId="0" applyNumberFormat="1" applyBorder="1"/>
    <xf numFmtId="2" fontId="0" fillId="0" borderId="7" xfId="0" applyNumberFormat="1" applyBorder="1"/>
  </cellXfs>
  <cellStyles count="5">
    <cellStyle name="Currency" xfId="1" builtinId="4"/>
    <cellStyle name="Normal" xfId="0" builtinId="0"/>
    <cellStyle name="Normal 2" xfId="3" xr:uid="{D2F37AA6-BE2E-4C2C-A4BE-322BE5012053}"/>
    <cellStyle name="Normal 3" xfId="4" xr:uid="{B49B3911-E167-4ECB-8325-614422970079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4EF6D-14DD-4CFD-99E3-6302275B7882}">
  <dimension ref="B2:C4"/>
  <sheetViews>
    <sheetView showGridLines="0" tabSelected="1" workbookViewId="0">
      <selection activeCell="D6" sqref="D6"/>
    </sheetView>
  </sheetViews>
  <sheetFormatPr defaultRowHeight="14.4"/>
  <sheetData>
    <row r="2" spans="2:3">
      <c r="B2" t="s">
        <v>122</v>
      </c>
      <c r="C2" t="s">
        <v>123</v>
      </c>
    </row>
    <row r="3" spans="2:3">
      <c r="B3" t="s">
        <v>124</v>
      </c>
      <c r="C3" t="s">
        <v>125</v>
      </c>
    </row>
    <row r="4" spans="2:3">
      <c r="B4" t="s">
        <v>126</v>
      </c>
      <c r="C4" s="42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E332C-4C9A-432E-A048-66F98103C9AA}">
  <dimension ref="B1:AT31"/>
  <sheetViews>
    <sheetView showGridLines="0" zoomScaleNormal="100" workbookViewId="0"/>
  </sheetViews>
  <sheetFormatPr defaultRowHeight="14.4"/>
  <cols>
    <col min="3" max="3" width="10.5546875" customWidth="1"/>
    <col min="4" max="4" width="12.5546875" bestFit="1" customWidth="1"/>
    <col min="5" max="5" width="16" bestFit="1" customWidth="1"/>
    <col min="6" max="6" width="11.44140625" bestFit="1" customWidth="1"/>
    <col min="7" max="7" width="10.5546875" bestFit="1" customWidth="1"/>
    <col min="8" max="8" width="11.5546875" customWidth="1"/>
    <col min="9" max="9" width="12.33203125" bestFit="1" customWidth="1"/>
    <col min="10" max="10" width="11.5546875" customWidth="1"/>
    <col min="11" max="11" width="14.44140625" bestFit="1" customWidth="1"/>
    <col min="12" max="12" width="13.109375" bestFit="1" customWidth="1"/>
    <col min="13" max="13" width="14.44140625" bestFit="1" customWidth="1"/>
    <col min="14" max="14" width="13.109375" bestFit="1" customWidth="1"/>
    <col min="15" max="15" width="14.44140625" bestFit="1" customWidth="1"/>
    <col min="16" max="16" width="13.109375" customWidth="1"/>
    <col min="17" max="17" width="14.44140625" bestFit="1" customWidth="1"/>
    <col min="18" max="18" width="13.109375" bestFit="1" customWidth="1"/>
    <col min="19" max="19" width="10.5546875" bestFit="1" customWidth="1"/>
    <col min="20" max="20" width="10.5546875" customWidth="1"/>
    <col min="21" max="21" width="11" customWidth="1"/>
    <col min="22" max="22" width="14.109375" bestFit="1" customWidth="1"/>
    <col min="24" max="24" width="13.33203125" bestFit="1" customWidth="1"/>
    <col min="25" max="25" width="11.88671875" bestFit="1" customWidth="1"/>
    <col min="26" max="26" width="10.5546875" customWidth="1"/>
    <col min="27" max="27" width="14" bestFit="1" customWidth="1"/>
    <col min="28" max="28" width="11.88671875" bestFit="1" customWidth="1"/>
    <col min="29" max="29" width="13.33203125" bestFit="1" customWidth="1"/>
    <col min="30" max="30" width="11.88671875" bestFit="1" customWidth="1"/>
    <col min="31" max="31" width="13.33203125" bestFit="1" customWidth="1"/>
    <col min="32" max="32" width="11.88671875" customWidth="1"/>
    <col min="33" max="33" width="13.33203125" bestFit="1" customWidth="1"/>
    <col min="34" max="34" width="13.21875" customWidth="1"/>
    <col min="35" max="35" width="13.33203125" bestFit="1" customWidth="1"/>
    <col min="36" max="36" width="11.88671875" bestFit="1" customWidth="1"/>
    <col min="37" max="38" width="13.33203125" bestFit="1" customWidth="1"/>
    <col min="39" max="39" width="11.88671875" bestFit="1" customWidth="1"/>
    <col min="40" max="40" width="13.33203125" bestFit="1" customWidth="1"/>
    <col min="41" max="41" width="11.88671875" bestFit="1" customWidth="1"/>
    <col min="42" max="42" width="13.33203125" bestFit="1" customWidth="1"/>
    <col min="43" max="43" width="11.88671875" bestFit="1" customWidth="1"/>
  </cols>
  <sheetData>
    <row r="1" spans="2:43" ht="15" thickBot="1"/>
    <row r="2" spans="2:43" ht="15" thickBot="1">
      <c r="B2" s="61"/>
      <c r="C2" s="62"/>
      <c r="D2" s="63" t="s">
        <v>9</v>
      </c>
      <c r="E2" s="12" t="s">
        <v>10</v>
      </c>
      <c r="G2" s="53" t="s">
        <v>25</v>
      </c>
      <c r="H2" s="54"/>
      <c r="I2" s="55"/>
      <c r="K2" s="105" t="s">
        <v>37</v>
      </c>
      <c r="L2" s="106"/>
      <c r="M2" s="102">
        <v>0.1</v>
      </c>
      <c r="O2" s="22"/>
      <c r="P2" s="34"/>
      <c r="Q2" s="109" t="s">
        <v>8</v>
      </c>
      <c r="R2" s="86" t="s">
        <v>7</v>
      </c>
    </row>
    <row r="3" spans="2:43" ht="15" thickBot="1">
      <c r="B3" s="66" t="s">
        <v>13</v>
      </c>
      <c r="C3" s="67"/>
      <c r="D3" s="57">
        <v>1.4999999999999999E-2</v>
      </c>
      <c r="E3" s="58"/>
      <c r="F3" s="8"/>
      <c r="G3" s="72" t="s">
        <v>26</v>
      </c>
      <c r="H3" s="73"/>
      <c r="I3" s="64">
        <v>5000000</v>
      </c>
      <c r="J3" s="35"/>
      <c r="K3" s="66" t="s">
        <v>42</v>
      </c>
      <c r="L3" s="67"/>
      <c r="M3" s="103">
        <v>0.03</v>
      </c>
      <c r="O3" s="110" t="s">
        <v>41</v>
      </c>
      <c r="P3" s="111"/>
      <c r="Q3" s="60">
        <v>0.05</v>
      </c>
      <c r="R3" s="104">
        <f>Q3+15%</f>
        <v>0.2</v>
      </c>
    </row>
    <row r="4" spans="2:43" ht="15" thickBot="1">
      <c r="B4" s="68" t="s">
        <v>14</v>
      </c>
      <c r="C4" s="69"/>
      <c r="D4" s="8">
        <v>100</v>
      </c>
      <c r="E4" s="48">
        <v>100</v>
      </c>
      <c r="F4" s="8"/>
      <c r="G4" s="74" t="s">
        <v>20</v>
      </c>
      <c r="H4" s="75"/>
      <c r="I4" s="56">
        <f>$E$4/2</f>
        <v>50</v>
      </c>
      <c r="J4" s="15"/>
      <c r="K4" s="66" t="s">
        <v>45</v>
      </c>
      <c r="L4" s="67"/>
      <c r="M4" s="103">
        <v>0.05</v>
      </c>
      <c r="N4" s="31"/>
    </row>
    <row r="5" spans="2:43">
      <c r="B5" s="68" t="s">
        <v>21</v>
      </c>
      <c r="C5" s="69"/>
      <c r="D5" s="8">
        <v>36</v>
      </c>
      <c r="E5" s="48">
        <v>48</v>
      </c>
      <c r="F5" s="8"/>
      <c r="G5" s="74" t="s">
        <v>21</v>
      </c>
      <c r="H5" s="75"/>
      <c r="I5" s="56">
        <f>60%*$E$5</f>
        <v>28.799999999999997</v>
      </c>
      <c r="J5" s="21"/>
      <c r="K5" s="66" t="s">
        <v>49</v>
      </c>
      <c r="L5" s="67"/>
      <c r="M5" s="103">
        <v>0.1</v>
      </c>
      <c r="O5" s="105" t="s">
        <v>53</v>
      </c>
      <c r="P5" s="106"/>
      <c r="Q5" s="38">
        <v>2432</v>
      </c>
    </row>
    <row r="6" spans="2:43" ht="15" thickBot="1">
      <c r="B6" s="68" t="s">
        <v>22</v>
      </c>
      <c r="C6" s="69"/>
      <c r="D6" s="59">
        <v>0.02</v>
      </c>
      <c r="E6" s="48"/>
      <c r="G6" s="76" t="s">
        <v>27</v>
      </c>
      <c r="H6" s="77"/>
      <c r="I6" s="65">
        <v>0.08</v>
      </c>
      <c r="K6" s="66" t="s">
        <v>46</v>
      </c>
      <c r="L6" s="67"/>
      <c r="M6" s="103">
        <v>0.06</v>
      </c>
      <c r="O6" s="107" t="s">
        <v>59</v>
      </c>
      <c r="P6" s="108"/>
      <c r="Q6" s="104">
        <v>0.1</v>
      </c>
    </row>
    <row r="7" spans="2:43" ht="15" thickBot="1">
      <c r="B7" s="70" t="s">
        <v>23</v>
      </c>
      <c r="C7" s="71"/>
      <c r="D7" s="60">
        <v>0.1</v>
      </c>
      <c r="E7" s="7"/>
      <c r="K7" s="107" t="s">
        <v>52</v>
      </c>
      <c r="L7" s="108"/>
      <c r="M7" s="104">
        <v>0.02</v>
      </c>
    </row>
    <row r="8" spans="2:43" ht="15" thickBot="1"/>
    <row r="9" spans="2:43" ht="15" thickBot="1">
      <c r="B9" s="9" t="s">
        <v>0</v>
      </c>
      <c r="C9" s="9" t="s">
        <v>1</v>
      </c>
      <c r="D9" s="47" t="s">
        <v>2</v>
      </c>
      <c r="E9" s="22" t="s">
        <v>5</v>
      </c>
      <c r="F9" s="23"/>
      <c r="G9" s="28" t="s">
        <v>11</v>
      </c>
      <c r="H9" s="29"/>
      <c r="I9" s="29"/>
      <c r="J9" s="29"/>
      <c r="K9" s="28" t="s">
        <v>24</v>
      </c>
      <c r="L9" s="29"/>
      <c r="M9" s="29"/>
      <c r="N9" s="29"/>
      <c r="O9" s="29"/>
      <c r="P9" s="29"/>
      <c r="Q9" s="29"/>
      <c r="R9" s="30"/>
      <c r="S9" s="22" t="s">
        <v>28</v>
      </c>
      <c r="T9" s="34"/>
      <c r="U9" s="23"/>
      <c r="V9" s="47" t="s">
        <v>32</v>
      </c>
      <c r="W9" s="47" t="s">
        <v>38</v>
      </c>
      <c r="X9" s="43" t="s">
        <v>40</v>
      </c>
      <c r="Y9" s="45"/>
      <c r="Z9" s="100" t="s">
        <v>51</v>
      </c>
      <c r="AA9" s="22" t="s">
        <v>43</v>
      </c>
      <c r="AB9" s="34"/>
      <c r="AC9" s="34"/>
      <c r="AD9" s="34"/>
      <c r="AE9" s="34"/>
      <c r="AF9" s="34"/>
      <c r="AG9" s="34"/>
      <c r="AH9" s="23"/>
    </row>
    <row r="10" spans="2:43" ht="31.2" customHeight="1" thickBot="1">
      <c r="B10" s="10"/>
      <c r="C10" s="10"/>
      <c r="D10" s="10" t="s">
        <v>12</v>
      </c>
      <c r="E10" s="24" t="s">
        <v>6</v>
      </c>
      <c r="F10" s="25"/>
      <c r="G10" s="26" t="s">
        <v>8</v>
      </c>
      <c r="H10" s="27"/>
      <c r="I10" s="22" t="s">
        <v>7</v>
      </c>
      <c r="J10" s="23"/>
      <c r="K10" s="22" t="s">
        <v>14</v>
      </c>
      <c r="L10" s="34"/>
      <c r="M10" s="34"/>
      <c r="N10" s="23"/>
      <c r="O10" s="43" t="s">
        <v>15</v>
      </c>
      <c r="P10" s="44"/>
      <c r="Q10" s="44"/>
      <c r="R10" s="45"/>
      <c r="S10" s="22" t="s">
        <v>29</v>
      </c>
      <c r="T10" s="34"/>
      <c r="U10" s="23"/>
      <c r="V10" s="82" t="s">
        <v>31</v>
      </c>
      <c r="W10" s="83" t="s">
        <v>39</v>
      </c>
      <c r="X10" s="84" t="s">
        <v>12</v>
      </c>
      <c r="Y10" s="85"/>
      <c r="Z10" s="101"/>
      <c r="AA10" s="89" t="s">
        <v>44</v>
      </c>
      <c r="AB10" s="90"/>
      <c r="AC10" s="89" t="s">
        <v>47</v>
      </c>
      <c r="AD10" s="23"/>
      <c r="AE10" s="22" t="s">
        <v>49</v>
      </c>
      <c r="AF10" s="23"/>
      <c r="AG10" s="91" t="s">
        <v>48</v>
      </c>
      <c r="AH10" s="92"/>
      <c r="AI10" s="98" t="s">
        <v>50</v>
      </c>
      <c r="AJ10" s="99"/>
      <c r="AK10" s="81" t="s">
        <v>56</v>
      </c>
      <c r="AL10" s="22" t="s">
        <v>57</v>
      </c>
      <c r="AM10" s="23"/>
      <c r="AN10" s="22" t="s">
        <v>58</v>
      </c>
      <c r="AO10" s="23"/>
      <c r="AP10" s="22" t="s">
        <v>60</v>
      </c>
      <c r="AQ10" s="23"/>
    </row>
    <row r="11" spans="2:43" ht="31.2" customHeight="1" thickBot="1">
      <c r="B11" s="10"/>
      <c r="C11" s="10"/>
      <c r="D11" s="14"/>
      <c r="E11" s="11" t="s">
        <v>3</v>
      </c>
      <c r="F11" s="46" t="s">
        <v>4</v>
      </c>
      <c r="G11" s="16" t="s">
        <v>9</v>
      </c>
      <c r="H11" s="16" t="s">
        <v>10</v>
      </c>
      <c r="I11" s="16" t="s">
        <v>9</v>
      </c>
      <c r="J11" s="16" t="s">
        <v>10</v>
      </c>
      <c r="K11" s="33" t="s">
        <v>16</v>
      </c>
      <c r="L11" s="33" t="s">
        <v>17</v>
      </c>
      <c r="M11" s="33" t="s">
        <v>18</v>
      </c>
      <c r="N11" s="33" t="s">
        <v>19</v>
      </c>
      <c r="O11" s="33" t="s">
        <v>16</v>
      </c>
      <c r="P11" s="33" t="s">
        <v>17</v>
      </c>
      <c r="Q11" s="33" t="s">
        <v>18</v>
      </c>
      <c r="R11" s="33" t="s">
        <v>19</v>
      </c>
      <c r="S11" s="79" t="s">
        <v>33</v>
      </c>
      <c r="T11" s="79" t="s">
        <v>34</v>
      </c>
      <c r="U11" s="80" t="s">
        <v>35</v>
      </c>
      <c r="V11" s="81" t="s">
        <v>36</v>
      </c>
      <c r="W11" s="11" t="s">
        <v>12</v>
      </c>
      <c r="X11" s="11" t="s">
        <v>8</v>
      </c>
      <c r="Y11" s="86" t="s">
        <v>7</v>
      </c>
      <c r="Z11" s="11" t="s">
        <v>12</v>
      </c>
      <c r="AA11" s="11" t="s">
        <v>8</v>
      </c>
      <c r="AB11" s="86" t="s">
        <v>7</v>
      </c>
      <c r="AC11" s="81" t="s">
        <v>54</v>
      </c>
      <c r="AD11" s="86" t="s">
        <v>7</v>
      </c>
      <c r="AE11" s="81" t="s">
        <v>54</v>
      </c>
      <c r="AF11" s="81" t="s">
        <v>55</v>
      </c>
      <c r="AG11" s="81" t="s">
        <v>54</v>
      </c>
      <c r="AH11" s="81" t="s">
        <v>54</v>
      </c>
      <c r="AI11" s="81" t="s">
        <v>54</v>
      </c>
      <c r="AJ11" s="81" t="s">
        <v>55</v>
      </c>
      <c r="AK11" s="11" t="s">
        <v>12</v>
      </c>
      <c r="AL11" s="81" t="s">
        <v>54</v>
      </c>
      <c r="AM11" s="79" t="s">
        <v>55</v>
      </c>
      <c r="AN11" s="81" t="s">
        <v>54</v>
      </c>
      <c r="AO11" s="79" t="s">
        <v>55</v>
      </c>
      <c r="AP11" s="81" t="s">
        <v>54</v>
      </c>
      <c r="AQ11" s="79" t="s">
        <v>55</v>
      </c>
    </row>
    <row r="12" spans="2:43">
      <c r="B12" s="1">
        <v>0</v>
      </c>
      <c r="C12" s="1">
        <v>2022</v>
      </c>
      <c r="D12" s="41">
        <v>150</v>
      </c>
      <c r="E12" s="17">
        <v>1000</v>
      </c>
      <c r="F12" s="13">
        <f>($E$12-$E$22)/$B$22</f>
        <v>80</v>
      </c>
      <c r="G12" s="18">
        <v>45</v>
      </c>
      <c r="H12" s="18">
        <v>30</v>
      </c>
      <c r="I12" s="18">
        <v>45</v>
      </c>
      <c r="J12" s="18">
        <v>30</v>
      </c>
      <c r="K12" s="36">
        <f>$D$4*G12*(1+$D$3)</f>
        <v>4567.5</v>
      </c>
      <c r="L12" s="36">
        <f>$D$4*I12*(1+$D$3)</f>
        <v>4567.5</v>
      </c>
      <c r="M12" s="36">
        <f>$E$4*H12*(1+$D$3)</f>
        <v>3044.9999999999995</v>
      </c>
      <c r="N12" s="36">
        <f>$E$4*J12*(1+$D$3)</f>
        <v>3044.9999999999995</v>
      </c>
      <c r="O12" s="17">
        <f>$D$5*G12*(1+$D$3)</f>
        <v>1644.3</v>
      </c>
      <c r="P12" s="17">
        <f>$D$5*I12*(1+$D$3)</f>
        <v>1644.3</v>
      </c>
      <c r="Q12" s="17">
        <f>$E$5*H12*(1+$D$3)</f>
        <v>1461.6</v>
      </c>
      <c r="R12" s="17">
        <f>$E$5*J12*(1+$D$3)</f>
        <v>1461.6</v>
      </c>
      <c r="S12" s="50">
        <v>5</v>
      </c>
      <c r="T12" s="32">
        <f>S12*$I$4</f>
        <v>250</v>
      </c>
      <c r="U12" s="17">
        <f>S12*$I$5</f>
        <v>144</v>
      </c>
      <c r="V12" s="41">
        <v>600</v>
      </c>
      <c r="W12" s="41">
        <v>40</v>
      </c>
      <c r="X12" s="17">
        <v>500</v>
      </c>
      <c r="Y12" s="87">
        <v>500</v>
      </c>
      <c r="Z12" s="4">
        <v>30</v>
      </c>
      <c r="AA12" s="36">
        <f>K12+M12</f>
        <v>7612.5</v>
      </c>
      <c r="AB12" s="36">
        <f>L12+N12+T12</f>
        <v>7862.5</v>
      </c>
      <c r="AC12" s="36">
        <f>$M$4*AA12</f>
        <v>380.625</v>
      </c>
      <c r="AD12" s="36">
        <f>$M$4*AB12</f>
        <v>393.125</v>
      </c>
      <c r="AE12" s="36">
        <f>$M$5*AA12</f>
        <v>761.25</v>
      </c>
      <c r="AF12" s="36">
        <f>$M$5*AB12</f>
        <v>786.25</v>
      </c>
      <c r="AG12" s="17">
        <f>$M$6*AA12</f>
        <v>456.75</v>
      </c>
      <c r="AH12" s="17">
        <f>$M$6*AB12</f>
        <v>471.75</v>
      </c>
      <c r="AI12" s="36">
        <f>D12+F12+O12+Q12+V12+W12+X12+AG12</f>
        <v>4932.6499999999996</v>
      </c>
      <c r="AJ12" s="36">
        <f>D12+F12+P12+R12+U12+V12+W12+Y12+AH12</f>
        <v>5091.6499999999996</v>
      </c>
      <c r="AK12" s="36">
        <f>$M$7*$Q$5</f>
        <v>48.64</v>
      </c>
      <c r="AL12" s="36">
        <f>AI12+AK12-Z12</f>
        <v>4951.29</v>
      </c>
      <c r="AM12" s="36">
        <f>AJ12+AK12-Z12</f>
        <v>5110.29</v>
      </c>
      <c r="AN12" s="36">
        <f>AA12-AL12</f>
        <v>2661.21</v>
      </c>
      <c r="AO12" s="36">
        <f>AB12-AM12</f>
        <v>2752.21</v>
      </c>
      <c r="AP12" s="36">
        <f>AN12*(1-$Q$6)</f>
        <v>2395.0889999999999</v>
      </c>
      <c r="AQ12" s="36">
        <f>AO12*(1-$Q$6)</f>
        <v>2476.989</v>
      </c>
    </row>
    <row r="13" spans="2:43">
      <c r="B13" s="2">
        <v>1</v>
      </c>
      <c r="C13" s="2">
        <v>2023</v>
      </c>
      <c r="D13" s="4"/>
      <c r="E13" s="4">
        <f>E12-F12</f>
        <v>920</v>
      </c>
      <c r="F13" s="6">
        <f t="shared" ref="F13:F21" si="0">($E$12-$E$22)/$B$22</f>
        <v>80</v>
      </c>
      <c r="G13" s="19">
        <f>G12+5%*G12</f>
        <v>47.25</v>
      </c>
      <c r="H13" s="19">
        <f>H12+8%*H12</f>
        <v>32.4</v>
      </c>
      <c r="I13" s="19">
        <f>I12+5%*I12</f>
        <v>47.25</v>
      </c>
      <c r="J13" s="19">
        <f>J12+10%*J12</f>
        <v>33</v>
      </c>
      <c r="K13" s="4">
        <f t="shared" ref="K13:K22" si="1">$D$4*G13*(1+$D$3)</f>
        <v>4795.8749999999991</v>
      </c>
      <c r="L13" s="4">
        <f t="shared" ref="L13:L22" si="2">$D$4*I13*(1+$D$3)</f>
        <v>4795.8749999999991</v>
      </c>
      <c r="M13" s="4">
        <f t="shared" ref="M13:M22" si="3">$E$4*H13*(1+$D$3)</f>
        <v>3288.6</v>
      </c>
      <c r="N13" s="40">
        <f t="shared" ref="N13:N22" si="4">$E$4*J13*(1+$D$3)</f>
        <v>3349.4999999999995</v>
      </c>
      <c r="O13" s="41">
        <f t="shared" ref="O13:O22" si="5">$D$5*G13*(1+$D$3)</f>
        <v>1726.5149999999999</v>
      </c>
      <c r="P13" s="41">
        <f t="shared" ref="P13:P22" si="6">$D$5*I13*(1+$D$3)</f>
        <v>1726.5149999999999</v>
      </c>
      <c r="Q13" s="41">
        <f t="shared" ref="Q13:Q22" si="7">$E$5*H13*(1+$D$3)</f>
        <v>1578.5279999999996</v>
      </c>
      <c r="R13" s="41">
        <f t="shared" ref="R13:R22" si="8">$E$5*J13*(1+$D$3)</f>
        <v>1607.7599999999998</v>
      </c>
      <c r="S13" s="51">
        <f>S12+$I$6*S12</f>
        <v>5.4</v>
      </c>
      <c r="T13" s="4">
        <f t="shared" ref="T13:T21" si="9">S13*$I$4</f>
        <v>270</v>
      </c>
      <c r="U13" s="41">
        <f t="shared" ref="U13:U21" si="10">S13*$I$5</f>
        <v>155.51999999999998</v>
      </c>
      <c r="V13" s="41">
        <f>V12*(1+$D$3)</f>
        <v>608.99999999999989</v>
      </c>
      <c r="W13" s="41">
        <f>W12*(1+$M$2)</f>
        <v>44</v>
      </c>
      <c r="X13" s="41">
        <f>X12*(1+$M$4)</f>
        <v>525</v>
      </c>
      <c r="Y13" s="6">
        <f>Y12*(1+$N$4)</f>
        <v>500</v>
      </c>
      <c r="Z13" s="4">
        <f>Z12*(1+$M$3)</f>
        <v>30.900000000000002</v>
      </c>
      <c r="AA13" s="4">
        <f t="shared" ref="AA13:AA22" si="11">K13+M13</f>
        <v>8084.4749999999985</v>
      </c>
      <c r="AB13" s="4">
        <f t="shared" ref="AB13:AB22" si="12">L13+N13+T13</f>
        <v>8415.3749999999982</v>
      </c>
      <c r="AC13" s="4">
        <f t="shared" ref="AC13:AC22" si="13">$M$4*AA13</f>
        <v>404.22374999999994</v>
      </c>
      <c r="AD13" s="4">
        <f t="shared" ref="AD13:AD22" si="14">$M$4*AB13</f>
        <v>420.76874999999995</v>
      </c>
      <c r="AE13" s="4">
        <f t="shared" ref="AE13:AE22" si="15">$M$5*AA13</f>
        <v>808.44749999999988</v>
      </c>
      <c r="AF13" s="4">
        <f t="shared" ref="AF13:AF22" si="16">$M$5*AB13</f>
        <v>841.53749999999991</v>
      </c>
      <c r="AG13" s="41">
        <f t="shared" ref="AG13:AG22" si="17">$M$6*AA13</f>
        <v>485.06849999999991</v>
      </c>
      <c r="AH13" s="41">
        <f t="shared" ref="AH13:AH22" si="18">$M$6*AB13</f>
        <v>504.9224999999999</v>
      </c>
      <c r="AI13" s="4">
        <f t="shared" ref="AI13:AI22" si="19">D13+F13+O13+Q13+V13+W13+X13+AG13</f>
        <v>5048.1115</v>
      </c>
      <c r="AJ13" s="4">
        <f t="shared" ref="AJ13:AJ22" si="20">D13+F13+P13+R13+U13+V13+W13+Y13+AH13</f>
        <v>5227.7174999999988</v>
      </c>
      <c r="AK13" s="4">
        <f t="shared" ref="AK13:AK22" si="21">$M$7*$Q$5</f>
        <v>48.64</v>
      </c>
      <c r="AL13" s="4">
        <f t="shared" ref="AL13:AL22" si="22">AI13+AK13-Z13</f>
        <v>5065.8515000000007</v>
      </c>
      <c r="AM13" s="4">
        <f t="shared" ref="AM13:AM22" si="23">AJ13+AK13-Z13</f>
        <v>5245.4574999999995</v>
      </c>
      <c r="AN13" s="4">
        <f t="shared" ref="AN13:AN22" si="24">AA13-AL13</f>
        <v>3018.6234999999979</v>
      </c>
      <c r="AO13" s="4">
        <f t="shared" ref="AO13:AO22" si="25">AB13-AM13</f>
        <v>3169.9174999999987</v>
      </c>
      <c r="AP13" s="4">
        <f t="shared" ref="AP13:AP22" si="26">AN13*(1-$Q$6)</f>
        <v>2716.761149999998</v>
      </c>
      <c r="AQ13" s="4">
        <f t="shared" ref="AQ13:AQ22" si="27">AO13*(1-$Q$6)</f>
        <v>2852.925749999999</v>
      </c>
    </row>
    <row r="14" spans="2:43">
      <c r="B14" s="2">
        <v>2</v>
      </c>
      <c r="C14" s="2">
        <v>2024</v>
      </c>
      <c r="D14" s="4"/>
      <c r="E14" s="4">
        <f t="shared" ref="E14:E21" si="28">E13-F13</f>
        <v>840</v>
      </c>
      <c r="F14" s="6">
        <f t="shared" si="0"/>
        <v>80</v>
      </c>
      <c r="G14" s="19">
        <f t="shared" ref="G14:G22" si="29">G13+5%*G13</f>
        <v>49.612499999999997</v>
      </c>
      <c r="H14" s="19">
        <f t="shared" ref="H14:H22" si="30">H13+8%*H13</f>
        <v>34.991999999999997</v>
      </c>
      <c r="I14" s="19">
        <f t="shared" ref="I14:I22" si="31">I13+5%*I13</f>
        <v>49.612499999999997</v>
      </c>
      <c r="J14" s="19">
        <f t="shared" ref="J14:J22" si="32">J13+10%*J13</f>
        <v>36.299999999999997</v>
      </c>
      <c r="K14" s="4">
        <f t="shared" si="1"/>
        <v>5035.6687499999998</v>
      </c>
      <c r="L14" s="4">
        <f t="shared" si="2"/>
        <v>5035.6687499999998</v>
      </c>
      <c r="M14" s="4">
        <f t="shared" si="3"/>
        <v>3551.6879999999996</v>
      </c>
      <c r="N14" s="4">
        <f t="shared" si="4"/>
        <v>3684.4499999999994</v>
      </c>
      <c r="O14" s="41">
        <f t="shared" si="5"/>
        <v>1812.8407499999998</v>
      </c>
      <c r="P14" s="41">
        <f t="shared" si="6"/>
        <v>1812.8407499999998</v>
      </c>
      <c r="Q14" s="41">
        <f t="shared" si="7"/>
        <v>1704.8102399999998</v>
      </c>
      <c r="R14" s="41">
        <f t="shared" si="8"/>
        <v>1768.5359999999996</v>
      </c>
      <c r="S14" s="51">
        <f t="shared" ref="S14:S22" si="33">S13+$I$6*S13</f>
        <v>5.8320000000000007</v>
      </c>
      <c r="T14" s="4">
        <f t="shared" si="9"/>
        <v>291.60000000000002</v>
      </c>
      <c r="U14" s="41">
        <f t="shared" si="10"/>
        <v>167.9616</v>
      </c>
      <c r="V14" s="41">
        <f t="shared" ref="V14:V22" si="34">V13*(1+$D$3)</f>
        <v>618.13499999999988</v>
      </c>
      <c r="W14" s="41">
        <f t="shared" ref="W14:W22" si="35">W13*(1+$M$2)</f>
        <v>48.400000000000006</v>
      </c>
      <c r="X14" s="41">
        <f t="shared" ref="X14:X22" si="36">X13*(1+$M$4)</f>
        <v>551.25</v>
      </c>
      <c r="Y14" s="6">
        <f t="shared" ref="Y14:Y22" si="37">Y13*(1+$N$4)</f>
        <v>500</v>
      </c>
      <c r="Z14" s="4">
        <f t="shared" ref="Z14:Z22" si="38">Z13*(1+$M$3)</f>
        <v>31.827000000000002</v>
      </c>
      <c r="AA14" s="4">
        <f t="shared" si="11"/>
        <v>8587.356749999999</v>
      </c>
      <c r="AB14" s="4">
        <f t="shared" si="12"/>
        <v>9011.71875</v>
      </c>
      <c r="AC14" s="4">
        <f t="shared" si="13"/>
        <v>429.36783749999995</v>
      </c>
      <c r="AD14" s="4">
        <f t="shared" si="14"/>
        <v>450.5859375</v>
      </c>
      <c r="AE14" s="4">
        <f t="shared" si="15"/>
        <v>858.7356749999999</v>
      </c>
      <c r="AF14" s="4">
        <f t="shared" si="16"/>
        <v>901.171875</v>
      </c>
      <c r="AG14" s="41">
        <f t="shared" si="17"/>
        <v>515.24140499999987</v>
      </c>
      <c r="AH14" s="41">
        <f t="shared" si="18"/>
        <v>540.703125</v>
      </c>
      <c r="AI14" s="4">
        <f t="shared" si="19"/>
        <v>5330.6773949999988</v>
      </c>
      <c r="AJ14" s="4">
        <f t="shared" si="20"/>
        <v>5536.5764749999989</v>
      </c>
      <c r="AK14" s="4">
        <f t="shared" si="21"/>
        <v>48.64</v>
      </c>
      <c r="AL14" s="4">
        <f t="shared" si="22"/>
        <v>5347.4903949999989</v>
      </c>
      <c r="AM14" s="4">
        <f t="shared" si="23"/>
        <v>5553.389474999999</v>
      </c>
      <c r="AN14" s="4">
        <f t="shared" si="24"/>
        <v>3239.8663550000001</v>
      </c>
      <c r="AO14" s="4">
        <f t="shared" si="25"/>
        <v>3458.329275000001</v>
      </c>
      <c r="AP14" s="4">
        <f t="shared" si="26"/>
        <v>2915.8797195000002</v>
      </c>
      <c r="AQ14" s="4">
        <f t="shared" si="27"/>
        <v>3112.4963475000009</v>
      </c>
    </row>
    <row r="15" spans="2:43">
      <c r="B15" s="2">
        <v>3</v>
      </c>
      <c r="C15" s="2">
        <v>2025</v>
      </c>
      <c r="D15" s="4"/>
      <c r="E15" s="4">
        <f t="shared" si="28"/>
        <v>760</v>
      </c>
      <c r="F15" s="6">
        <f t="shared" si="0"/>
        <v>80</v>
      </c>
      <c r="G15" s="19">
        <f t="shared" si="29"/>
        <v>52.093125000000001</v>
      </c>
      <c r="H15" s="19">
        <f t="shared" si="30"/>
        <v>37.791359999999997</v>
      </c>
      <c r="I15" s="19">
        <f t="shared" si="31"/>
        <v>52.093125000000001</v>
      </c>
      <c r="J15" s="19">
        <f t="shared" si="32"/>
        <v>39.93</v>
      </c>
      <c r="K15" s="4">
        <f t="shared" si="1"/>
        <v>5287.4521874999991</v>
      </c>
      <c r="L15" s="4">
        <f t="shared" si="2"/>
        <v>5287.4521874999991</v>
      </c>
      <c r="M15" s="4">
        <f t="shared" si="3"/>
        <v>3835.8230399999993</v>
      </c>
      <c r="N15" s="4">
        <f t="shared" si="4"/>
        <v>4052.8949999999995</v>
      </c>
      <c r="O15" s="41">
        <f t="shared" si="5"/>
        <v>1903.4827874999999</v>
      </c>
      <c r="P15" s="41">
        <f t="shared" si="6"/>
        <v>1903.4827874999999</v>
      </c>
      <c r="Q15" s="41">
        <f t="shared" si="7"/>
        <v>1841.1950591999996</v>
      </c>
      <c r="R15" s="41">
        <f t="shared" si="8"/>
        <v>1945.3895999999997</v>
      </c>
      <c r="S15" s="51">
        <f t="shared" si="33"/>
        <v>6.298560000000001</v>
      </c>
      <c r="T15" s="4">
        <f t="shared" si="9"/>
        <v>314.92800000000005</v>
      </c>
      <c r="U15" s="41">
        <f t="shared" si="10"/>
        <v>181.398528</v>
      </c>
      <c r="V15" s="41">
        <f t="shared" si="34"/>
        <v>627.40702499999986</v>
      </c>
      <c r="W15" s="41">
        <f t="shared" si="35"/>
        <v>53.240000000000009</v>
      </c>
      <c r="X15" s="41">
        <f t="shared" si="36"/>
        <v>578.8125</v>
      </c>
      <c r="Y15" s="6">
        <f t="shared" si="37"/>
        <v>500</v>
      </c>
      <c r="Z15" s="4">
        <f t="shared" si="38"/>
        <v>32.78181</v>
      </c>
      <c r="AA15" s="4">
        <f t="shared" si="11"/>
        <v>9123.2752274999984</v>
      </c>
      <c r="AB15" s="4">
        <f t="shared" si="12"/>
        <v>9655.2751874999994</v>
      </c>
      <c r="AC15" s="4">
        <f t="shared" si="13"/>
        <v>456.16376137499992</v>
      </c>
      <c r="AD15" s="4">
        <f t="shared" si="14"/>
        <v>482.76375937500001</v>
      </c>
      <c r="AE15" s="4">
        <f t="shared" si="15"/>
        <v>912.32752274999984</v>
      </c>
      <c r="AF15" s="4">
        <f t="shared" si="16"/>
        <v>965.52751875000001</v>
      </c>
      <c r="AG15" s="41">
        <f t="shared" si="17"/>
        <v>547.39651364999986</v>
      </c>
      <c r="AH15" s="41">
        <f t="shared" si="18"/>
        <v>579.31651124999996</v>
      </c>
      <c r="AI15" s="4">
        <f t="shared" si="19"/>
        <v>5631.5338853499989</v>
      </c>
      <c r="AJ15" s="4">
        <f t="shared" si="20"/>
        <v>5870.2344517499987</v>
      </c>
      <c r="AK15" s="4">
        <f t="shared" si="21"/>
        <v>48.64</v>
      </c>
      <c r="AL15" s="4">
        <f t="shared" si="22"/>
        <v>5647.3920753499988</v>
      </c>
      <c r="AM15" s="4">
        <f t="shared" si="23"/>
        <v>5886.0926417499986</v>
      </c>
      <c r="AN15" s="4">
        <f t="shared" si="24"/>
        <v>3475.8831521499997</v>
      </c>
      <c r="AO15" s="4">
        <f t="shared" si="25"/>
        <v>3769.1825457500008</v>
      </c>
      <c r="AP15" s="4">
        <f t="shared" si="26"/>
        <v>3128.2948369349997</v>
      </c>
      <c r="AQ15" s="4">
        <f t="shared" si="27"/>
        <v>3392.2642911750008</v>
      </c>
    </row>
    <row r="16" spans="2:43">
      <c r="B16" s="2">
        <v>4</v>
      </c>
      <c r="C16" s="2">
        <v>2026</v>
      </c>
      <c r="D16" s="4"/>
      <c r="E16" s="4">
        <f t="shared" si="28"/>
        <v>680</v>
      </c>
      <c r="F16" s="6">
        <f t="shared" si="0"/>
        <v>80</v>
      </c>
      <c r="G16" s="19">
        <f t="shared" si="29"/>
        <v>54.697781249999998</v>
      </c>
      <c r="H16" s="19">
        <f t="shared" si="30"/>
        <v>40.8146688</v>
      </c>
      <c r="I16" s="19">
        <f t="shared" si="31"/>
        <v>54.697781249999998</v>
      </c>
      <c r="J16" s="19">
        <f t="shared" si="32"/>
        <v>43.923000000000002</v>
      </c>
      <c r="K16" s="4">
        <f t="shared" si="1"/>
        <v>5551.8247968749993</v>
      </c>
      <c r="L16" s="4">
        <f t="shared" si="2"/>
        <v>5551.8247968749993</v>
      </c>
      <c r="M16" s="4">
        <f t="shared" si="3"/>
        <v>4142.6888831999995</v>
      </c>
      <c r="N16" s="4">
        <f t="shared" si="4"/>
        <v>4458.1844999999994</v>
      </c>
      <c r="O16" s="41">
        <f t="shared" si="5"/>
        <v>1998.6569268749997</v>
      </c>
      <c r="P16" s="41">
        <f t="shared" si="6"/>
        <v>1998.6569268749997</v>
      </c>
      <c r="Q16" s="41">
        <f t="shared" si="7"/>
        <v>1988.4906639359999</v>
      </c>
      <c r="R16" s="41">
        <f t="shared" si="8"/>
        <v>2139.9285599999998</v>
      </c>
      <c r="S16" s="51">
        <f t="shared" si="33"/>
        <v>6.8024448000000008</v>
      </c>
      <c r="T16" s="4">
        <f t="shared" si="9"/>
        <v>340.12224000000003</v>
      </c>
      <c r="U16" s="41">
        <f t="shared" si="10"/>
        <v>195.91041024</v>
      </c>
      <c r="V16" s="41">
        <f t="shared" si="34"/>
        <v>636.81813037499978</v>
      </c>
      <c r="W16" s="41">
        <f t="shared" si="35"/>
        <v>58.564000000000014</v>
      </c>
      <c r="X16" s="41">
        <f t="shared" si="36"/>
        <v>607.75312500000007</v>
      </c>
      <c r="Y16" s="6">
        <f t="shared" si="37"/>
        <v>500</v>
      </c>
      <c r="Z16" s="4">
        <f t="shared" si="38"/>
        <v>33.765264299999998</v>
      </c>
      <c r="AA16" s="4">
        <f t="shared" si="11"/>
        <v>9694.5136800749988</v>
      </c>
      <c r="AB16" s="4">
        <f t="shared" si="12"/>
        <v>10350.131536875</v>
      </c>
      <c r="AC16" s="4">
        <f t="shared" si="13"/>
        <v>484.72568400374996</v>
      </c>
      <c r="AD16" s="4">
        <f t="shared" si="14"/>
        <v>517.50657684375005</v>
      </c>
      <c r="AE16" s="4">
        <f t="shared" si="15"/>
        <v>969.45136800749992</v>
      </c>
      <c r="AF16" s="4">
        <f t="shared" si="16"/>
        <v>1035.0131536875001</v>
      </c>
      <c r="AG16" s="41">
        <f t="shared" si="17"/>
        <v>581.67082080449995</v>
      </c>
      <c r="AH16" s="41">
        <f t="shared" si="18"/>
        <v>621.0078922125</v>
      </c>
      <c r="AI16" s="4">
        <f t="shared" si="19"/>
        <v>5951.9536669905001</v>
      </c>
      <c r="AJ16" s="4">
        <f t="shared" si="20"/>
        <v>6230.8859197024995</v>
      </c>
      <c r="AK16" s="4">
        <f t="shared" si="21"/>
        <v>48.64</v>
      </c>
      <c r="AL16" s="4">
        <f t="shared" si="22"/>
        <v>5966.8284026905003</v>
      </c>
      <c r="AM16" s="4">
        <f t="shared" si="23"/>
        <v>6245.7606554024997</v>
      </c>
      <c r="AN16" s="4">
        <f t="shared" si="24"/>
        <v>3727.6852773844985</v>
      </c>
      <c r="AO16" s="4">
        <f t="shared" si="25"/>
        <v>4104.3708814725005</v>
      </c>
      <c r="AP16" s="4">
        <f t="shared" si="26"/>
        <v>3354.9167496460486</v>
      </c>
      <c r="AQ16" s="4">
        <f t="shared" si="27"/>
        <v>3693.9337933252505</v>
      </c>
    </row>
    <row r="17" spans="2:46">
      <c r="B17" s="2">
        <v>5</v>
      </c>
      <c r="C17" s="2">
        <v>2027</v>
      </c>
      <c r="D17" s="4"/>
      <c r="E17" s="4">
        <f t="shared" si="28"/>
        <v>600</v>
      </c>
      <c r="F17" s="6">
        <f t="shared" si="0"/>
        <v>80</v>
      </c>
      <c r="G17" s="19">
        <f t="shared" si="29"/>
        <v>57.432670312500001</v>
      </c>
      <c r="H17" s="19">
        <f t="shared" si="30"/>
        <v>44.079842303999996</v>
      </c>
      <c r="I17" s="19">
        <f t="shared" si="31"/>
        <v>57.432670312500001</v>
      </c>
      <c r="J17" s="19">
        <f t="shared" si="32"/>
        <v>48.315300000000001</v>
      </c>
      <c r="K17" s="4">
        <f t="shared" si="1"/>
        <v>5829.4160367187496</v>
      </c>
      <c r="L17" s="4">
        <f t="shared" si="2"/>
        <v>5829.4160367187496</v>
      </c>
      <c r="M17" s="4">
        <f t="shared" si="3"/>
        <v>4474.1039938559989</v>
      </c>
      <c r="N17" s="4">
        <f t="shared" si="4"/>
        <v>4904.0029499999991</v>
      </c>
      <c r="O17" s="41">
        <f t="shared" si="5"/>
        <v>2098.5897732187495</v>
      </c>
      <c r="P17" s="41">
        <f t="shared" si="6"/>
        <v>2098.5897732187495</v>
      </c>
      <c r="Q17" s="41">
        <f t="shared" si="7"/>
        <v>2147.5699170508792</v>
      </c>
      <c r="R17" s="41">
        <f t="shared" si="8"/>
        <v>2353.9214159999997</v>
      </c>
      <c r="S17" s="51">
        <f t="shared" si="33"/>
        <v>7.3466403840000005</v>
      </c>
      <c r="T17" s="4">
        <f t="shared" si="9"/>
        <v>367.33201920000005</v>
      </c>
      <c r="U17" s="41">
        <f t="shared" si="10"/>
        <v>211.58324305919999</v>
      </c>
      <c r="V17" s="41">
        <f t="shared" si="34"/>
        <v>646.37040233062476</v>
      </c>
      <c r="W17" s="41">
        <f t="shared" si="35"/>
        <v>64.420400000000015</v>
      </c>
      <c r="X17" s="41">
        <f t="shared" si="36"/>
        <v>638.14078125000015</v>
      </c>
      <c r="Y17" s="6">
        <f t="shared" si="37"/>
        <v>500</v>
      </c>
      <c r="Z17" s="4">
        <f t="shared" si="38"/>
        <v>34.778222229000001</v>
      </c>
      <c r="AA17" s="4">
        <f t="shared" si="11"/>
        <v>10303.520030574749</v>
      </c>
      <c r="AB17" s="4">
        <f t="shared" si="12"/>
        <v>11100.751005918748</v>
      </c>
      <c r="AC17" s="4">
        <f t="shared" si="13"/>
        <v>515.17600152873752</v>
      </c>
      <c r="AD17" s="4">
        <f t="shared" si="14"/>
        <v>555.03755029593742</v>
      </c>
      <c r="AE17" s="4">
        <f t="shared" si="15"/>
        <v>1030.352003057475</v>
      </c>
      <c r="AF17" s="4">
        <f t="shared" si="16"/>
        <v>1110.0751005918748</v>
      </c>
      <c r="AG17" s="41">
        <f t="shared" si="17"/>
        <v>618.211201834485</v>
      </c>
      <c r="AH17" s="41">
        <f t="shared" si="18"/>
        <v>666.04506035512486</v>
      </c>
      <c r="AI17" s="4">
        <f t="shared" si="19"/>
        <v>6293.302475684739</v>
      </c>
      <c r="AJ17" s="4">
        <f t="shared" si="20"/>
        <v>6620.9302949636985</v>
      </c>
      <c r="AK17" s="4">
        <f t="shared" si="21"/>
        <v>48.64</v>
      </c>
      <c r="AL17" s="4">
        <f t="shared" si="22"/>
        <v>6307.1642534557395</v>
      </c>
      <c r="AM17" s="4">
        <f t="shared" si="23"/>
        <v>6634.7920727346991</v>
      </c>
      <c r="AN17" s="4">
        <f t="shared" si="24"/>
        <v>3996.3557771190099</v>
      </c>
      <c r="AO17" s="4">
        <f t="shared" si="25"/>
        <v>4465.9589331840489</v>
      </c>
      <c r="AP17" s="4">
        <f t="shared" si="26"/>
        <v>3596.7201994071088</v>
      </c>
      <c r="AQ17" s="4">
        <f t="shared" si="27"/>
        <v>4019.3630398656442</v>
      </c>
    </row>
    <row r="18" spans="2:46">
      <c r="B18" s="2">
        <v>6</v>
      </c>
      <c r="C18" s="2">
        <v>2028</v>
      </c>
      <c r="D18" s="4"/>
      <c r="E18" s="4">
        <f t="shared" si="28"/>
        <v>520</v>
      </c>
      <c r="F18" s="6">
        <f t="shared" si="0"/>
        <v>80</v>
      </c>
      <c r="G18" s="19">
        <f t="shared" si="29"/>
        <v>60.304303828125001</v>
      </c>
      <c r="H18" s="19">
        <f t="shared" si="30"/>
        <v>47.606229688319999</v>
      </c>
      <c r="I18" s="19">
        <f t="shared" si="31"/>
        <v>60.304303828125001</v>
      </c>
      <c r="J18" s="19">
        <f t="shared" si="32"/>
        <v>53.146830000000001</v>
      </c>
      <c r="K18" s="4">
        <f t="shared" si="1"/>
        <v>6120.8868385546875</v>
      </c>
      <c r="L18" s="4">
        <f t="shared" si="2"/>
        <v>6120.8868385546875</v>
      </c>
      <c r="M18" s="4">
        <f t="shared" si="3"/>
        <v>4832.0323133644797</v>
      </c>
      <c r="N18" s="4">
        <f t="shared" si="4"/>
        <v>5394.4032449999995</v>
      </c>
      <c r="O18" s="41">
        <f t="shared" si="5"/>
        <v>2203.5192618796877</v>
      </c>
      <c r="P18" s="41">
        <f t="shared" si="6"/>
        <v>2203.5192618796877</v>
      </c>
      <c r="Q18" s="41">
        <f t="shared" si="7"/>
        <v>2319.37551041495</v>
      </c>
      <c r="R18" s="41">
        <f t="shared" si="8"/>
        <v>2589.3135576</v>
      </c>
      <c r="S18" s="51">
        <f t="shared" si="33"/>
        <v>7.9343716147200007</v>
      </c>
      <c r="T18" s="4">
        <f t="shared" si="9"/>
        <v>396.71858073600004</v>
      </c>
      <c r="U18" s="41">
        <f t="shared" si="10"/>
        <v>228.50990250393599</v>
      </c>
      <c r="V18" s="41">
        <f t="shared" si="34"/>
        <v>656.06595836558404</v>
      </c>
      <c r="W18" s="41">
        <f t="shared" si="35"/>
        <v>70.862440000000021</v>
      </c>
      <c r="X18" s="41">
        <f t="shared" si="36"/>
        <v>670.04782031250022</v>
      </c>
      <c r="Y18" s="6">
        <f t="shared" si="37"/>
        <v>500</v>
      </c>
      <c r="Z18" s="4">
        <f t="shared" si="38"/>
        <v>35.821568895870001</v>
      </c>
      <c r="AA18" s="4">
        <f t="shared" si="11"/>
        <v>10952.919151919166</v>
      </c>
      <c r="AB18" s="4">
        <f t="shared" si="12"/>
        <v>11912.008664290686</v>
      </c>
      <c r="AC18" s="4">
        <f t="shared" si="13"/>
        <v>547.64595759595829</v>
      </c>
      <c r="AD18" s="4">
        <f t="shared" si="14"/>
        <v>595.60043321453429</v>
      </c>
      <c r="AE18" s="4">
        <f t="shared" si="15"/>
        <v>1095.2919151919166</v>
      </c>
      <c r="AF18" s="4">
        <f t="shared" si="16"/>
        <v>1191.2008664290686</v>
      </c>
      <c r="AG18" s="41">
        <f t="shared" si="17"/>
        <v>657.17514911514991</v>
      </c>
      <c r="AH18" s="41">
        <f t="shared" si="18"/>
        <v>714.7205198574411</v>
      </c>
      <c r="AI18" s="4">
        <f t="shared" si="19"/>
        <v>6657.0461400878721</v>
      </c>
      <c r="AJ18" s="4">
        <f t="shared" si="20"/>
        <v>7042.9916402066492</v>
      </c>
      <c r="AK18" s="4">
        <f t="shared" si="21"/>
        <v>48.64</v>
      </c>
      <c r="AL18" s="4">
        <f t="shared" si="22"/>
        <v>6669.8645711920026</v>
      </c>
      <c r="AM18" s="4">
        <f t="shared" si="23"/>
        <v>7055.8100713107797</v>
      </c>
      <c r="AN18" s="4">
        <f t="shared" si="24"/>
        <v>4283.0545807271637</v>
      </c>
      <c r="AO18" s="4">
        <f t="shared" si="25"/>
        <v>4856.1985929799066</v>
      </c>
      <c r="AP18" s="4">
        <f t="shared" si="26"/>
        <v>3854.7491226544475</v>
      </c>
      <c r="AQ18" s="4">
        <f t="shared" si="27"/>
        <v>4370.5787336819158</v>
      </c>
      <c r="AT18" t="s">
        <v>30</v>
      </c>
    </row>
    <row r="19" spans="2:46">
      <c r="B19" s="2">
        <v>7</v>
      </c>
      <c r="C19" s="2">
        <v>2029</v>
      </c>
      <c r="D19" s="4"/>
      <c r="E19" s="4">
        <f t="shared" si="28"/>
        <v>440</v>
      </c>
      <c r="F19" s="6">
        <f t="shared" si="0"/>
        <v>80</v>
      </c>
      <c r="G19" s="19">
        <f t="shared" si="29"/>
        <v>63.319519019531249</v>
      </c>
      <c r="H19" s="19">
        <f t="shared" si="30"/>
        <v>51.414728063385596</v>
      </c>
      <c r="I19" s="19">
        <f t="shared" si="31"/>
        <v>63.319519019531249</v>
      </c>
      <c r="J19" s="19">
        <f t="shared" si="32"/>
        <v>58.461513000000004</v>
      </c>
      <c r="K19" s="4">
        <f t="shared" si="1"/>
        <v>6426.931180482422</v>
      </c>
      <c r="L19" s="4">
        <f t="shared" si="2"/>
        <v>6426.931180482422</v>
      </c>
      <c r="M19" s="4">
        <f t="shared" si="3"/>
        <v>5218.5948984336374</v>
      </c>
      <c r="N19" s="4">
        <f t="shared" si="4"/>
        <v>5933.8435694999998</v>
      </c>
      <c r="O19" s="41">
        <f t="shared" si="5"/>
        <v>2313.6952249736714</v>
      </c>
      <c r="P19" s="41">
        <f t="shared" si="6"/>
        <v>2313.6952249736714</v>
      </c>
      <c r="Q19" s="41">
        <f t="shared" si="7"/>
        <v>2504.9255512481459</v>
      </c>
      <c r="R19" s="41">
        <f t="shared" si="8"/>
        <v>2848.2449133599998</v>
      </c>
      <c r="S19" s="51">
        <f t="shared" si="33"/>
        <v>8.5691213438976011</v>
      </c>
      <c r="T19" s="4">
        <f t="shared" si="9"/>
        <v>428.45606719488006</v>
      </c>
      <c r="U19" s="41">
        <f t="shared" si="10"/>
        <v>246.79069470425088</v>
      </c>
      <c r="V19" s="41">
        <f t="shared" si="34"/>
        <v>665.90694774106771</v>
      </c>
      <c r="W19" s="41">
        <f t="shared" si="35"/>
        <v>77.948684000000029</v>
      </c>
      <c r="X19" s="41">
        <f t="shared" si="36"/>
        <v>703.55021132812522</v>
      </c>
      <c r="Y19" s="6">
        <f t="shared" si="37"/>
        <v>500</v>
      </c>
      <c r="Z19" s="4">
        <f t="shared" si="38"/>
        <v>36.896215962746105</v>
      </c>
      <c r="AA19" s="4">
        <f t="shared" si="11"/>
        <v>11645.52607891606</v>
      </c>
      <c r="AB19" s="4">
        <f t="shared" si="12"/>
        <v>12789.230817177302</v>
      </c>
      <c r="AC19" s="4">
        <f t="shared" si="13"/>
        <v>582.27630394580308</v>
      </c>
      <c r="AD19" s="4">
        <f t="shared" si="14"/>
        <v>639.46154085886519</v>
      </c>
      <c r="AE19" s="4">
        <f t="shared" si="15"/>
        <v>1164.5526078916062</v>
      </c>
      <c r="AF19" s="4">
        <f t="shared" si="16"/>
        <v>1278.9230817177304</v>
      </c>
      <c r="AG19" s="41">
        <f t="shared" si="17"/>
        <v>698.73156473496363</v>
      </c>
      <c r="AH19" s="41">
        <f t="shared" si="18"/>
        <v>767.35384903063812</v>
      </c>
      <c r="AI19" s="4">
        <f t="shared" si="19"/>
        <v>7044.7581840259736</v>
      </c>
      <c r="AJ19" s="4">
        <f t="shared" si="20"/>
        <v>7499.9403138096286</v>
      </c>
      <c r="AK19" s="4">
        <f t="shared" si="21"/>
        <v>48.64</v>
      </c>
      <c r="AL19" s="4">
        <f t="shared" si="22"/>
        <v>7056.5019680632277</v>
      </c>
      <c r="AM19" s="4">
        <f t="shared" si="23"/>
        <v>7511.6840978468827</v>
      </c>
      <c r="AN19" s="4">
        <f t="shared" si="24"/>
        <v>4589.0241108528326</v>
      </c>
      <c r="AO19" s="4">
        <f t="shared" si="25"/>
        <v>5277.5467193304194</v>
      </c>
      <c r="AP19" s="4">
        <f t="shared" si="26"/>
        <v>4130.1216997675492</v>
      </c>
      <c r="AQ19" s="4">
        <f t="shared" si="27"/>
        <v>4749.7920473973772</v>
      </c>
    </row>
    <row r="20" spans="2:46">
      <c r="B20" s="2">
        <v>8</v>
      </c>
      <c r="C20" s="2">
        <v>2030</v>
      </c>
      <c r="D20" s="4"/>
      <c r="E20" s="4">
        <f t="shared" si="28"/>
        <v>360</v>
      </c>
      <c r="F20" s="6">
        <f t="shared" si="0"/>
        <v>80</v>
      </c>
      <c r="G20" s="19">
        <f t="shared" si="29"/>
        <v>66.485494970507816</v>
      </c>
      <c r="H20" s="19">
        <f t="shared" si="30"/>
        <v>55.527906308456444</v>
      </c>
      <c r="I20" s="19">
        <f t="shared" si="31"/>
        <v>66.485494970507816</v>
      </c>
      <c r="J20" s="19">
        <f t="shared" si="32"/>
        <v>64.307664299999999</v>
      </c>
      <c r="K20" s="4">
        <f t="shared" si="1"/>
        <v>6748.2777395065423</v>
      </c>
      <c r="L20" s="4">
        <f t="shared" si="2"/>
        <v>6748.2777395065423</v>
      </c>
      <c r="M20" s="4">
        <f t="shared" si="3"/>
        <v>5636.0824903083285</v>
      </c>
      <c r="N20" s="4">
        <f t="shared" si="4"/>
        <v>6527.2279264499994</v>
      </c>
      <c r="O20" s="41">
        <f t="shared" si="5"/>
        <v>2429.3799862223555</v>
      </c>
      <c r="P20" s="41">
        <f t="shared" si="6"/>
        <v>2429.3799862223555</v>
      </c>
      <c r="Q20" s="41">
        <f t="shared" si="7"/>
        <v>2705.3195953479976</v>
      </c>
      <c r="R20" s="41">
        <f t="shared" si="8"/>
        <v>3133.0694046959998</v>
      </c>
      <c r="S20" s="51">
        <f t="shared" si="33"/>
        <v>9.2546510514094091</v>
      </c>
      <c r="T20" s="4">
        <f t="shared" si="9"/>
        <v>462.73255257047043</v>
      </c>
      <c r="U20" s="41">
        <f t="shared" si="10"/>
        <v>266.53395028059094</v>
      </c>
      <c r="V20" s="41">
        <f t="shared" si="34"/>
        <v>675.89555195718367</v>
      </c>
      <c r="W20" s="41">
        <f t="shared" si="35"/>
        <v>85.743552400000041</v>
      </c>
      <c r="X20" s="41">
        <f t="shared" si="36"/>
        <v>738.72772189453156</v>
      </c>
      <c r="Y20" s="6">
        <f t="shared" si="37"/>
        <v>500</v>
      </c>
      <c r="Z20" s="4">
        <f t="shared" si="38"/>
        <v>38.003102441628492</v>
      </c>
      <c r="AA20" s="4">
        <f t="shared" si="11"/>
        <v>12384.360229814871</v>
      </c>
      <c r="AB20" s="4">
        <f t="shared" si="12"/>
        <v>13738.238218527013</v>
      </c>
      <c r="AC20" s="4">
        <f t="shared" si="13"/>
        <v>619.21801149074361</v>
      </c>
      <c r="AD20" s="4">
        <f t="shared" si="14"/>
        <v>686.91191092635063</v>
      </c>
      <c r="AE20" s="4">
        <f t="shared" si="15"/>
        <v>1238.4360229814872</v>
      </c>
      <c r="AF20" s="4">
        <f t="shared" si="16"/>
        <v>1373.8238218527013</v>
      </c>
      <c r="AG20" s="41">
        <f t="shared" si="17"/>
        <v>743.06161378889226</v>
      </c>
      <c r="AH20" s="41">
        <f t="shared" si="18"/>
        <v>824.29429311162073</v>
      </c>
      <c r="AI20" s="4">
        <f t="shared" si="19"/>
        <v>7458.1280216109608</v>
      </c>
      <c r="AJ20" s="4">
        <f t="shared" si="20"/>
        <v>7994.91673866775</v>
      </c>
      <c r="AK20" s="4">
        <f t="shared" si="21"/>
        <v>48.64</v>
      </c>
      <c r="AL20" s="4">
        <f t="shared" si="22"/>
        <v>7468.7649191693326</v>
      </c>
      <c r="AM20" s="4">
        <f t="shared" si="23"/>
        <v>8005.5536362261219</v>
      </c>
      <c r="AN20" s="4">
        <f t="shared" si="24"/>
        <v>4915.5953106455381</v>
      </c>
      <c r="AO20" s="4">
        <f t="shared" si="25"/>
        <v>5732.6845823008907</v>
      </c>
      <c r="AP20" s="4">
        <f t="shared" si="26"/>
        <v>4424.0357795809841</v>
      </c>
      <c r="AQ20" s="4">
        <f t="shared" si="27"/>
        <v>5159.4161240708017</v>
      </c>
    </row>
    <row r="21" spans="2:46">
      <c r="B21" s="2">
        <v>9</v>
      </c>
      <c r="C21" s="2">
        <v>2031</v>
      </c>
      <c r="D21" s="4"/>
      <c r="E21" s="4">
        <f t="shared" si="28"/>
        <v>280</v>
      </c>
      <c r="F21" s="6">
        <f t="shared" si="0"/>
        <v>80</v>
      </c>
      <c r="G21" s="19">
        <f t="shared" si="29"/>
        <v>69.809769719033213</v>
      </c>
      <c r="H21" s="19">
        <f t="shared" si="30"/>
        <v>59.970138813132962</v>
      </c>
      <c r="I21" s="19">
        <f t="shared" si="31"/>
        <v>69.809769719033213</v>
      </c>
      <c r="J21" s="19">
        <f t="shared" si="32"/>
        <v>70.738430730000005</v>
      </c>
      <c r="K21" s="4">
        <f t="shared" si="1"/>
        <v>7085.6916264818701</v>
      </c>
      <c r="L21" s="4">
        <f t="shared" si="2"/>
        <v>7085.6916264818701</v>
      </c>
      <c r="M21" s="4">
        <f t="shared" si="3"/>
        <v>6086.969089532995</v>
      </c>
      <c r="N21" s="4">
        <f t="shared" si="4"/>
        <v>7179.9507190949989</v>
      </c>
      <c r="O21" s="41">
        <f t="shared" si="5"/>
        <v>2550.8489855334733</v>
      </c>
      <c r="P21" s="41">
        <f t="shared" si="6"/>
        <v>2550.8489855334733</v>
      </c>
      <c r="Q21" s="41">
        <f t="shared" si="7"/>
        <v>2921.7451629758375</v>
      </c>
      <c r="R21" s="41">
        <f t="shared" si="8"/>
        <v>3446.3763451656</v>
      </c>
      <c r="S21" s="51">
        <f t="shared" si="33"/>
        <v>9.9950231355221621</v>
      </c>
      <c r="T21" s="4">
        <f t="shared" si="9"/>
        <v>499.75115677610813</v>
      </c>
      <c r="U21" s="41">
        <f t="shared" si="10"/>
        <v>287.85666630303825</v>
      </c>
      <c r="V21" s="41">
        <f t="shared" si="34"/>
        <v>686.03398523654141</v>
      </c>
      <c r="W21" s="41">
        <f t="shared" si="35"/>
        <v>94.317907640000058</v>
      </c>
      <c r="X21" s="41">
        <f t="shared" si="36"/>
        <v>775.66410798925813</v>
      </c>
      <c r="Y21" s="6">
        <f t="shared" si="37"/>
        <v>500</v>
      </c>
      <c r="Z21" s="4">
        <f t="shared" si="38"/>
        <v>39.143195514877348</v>
      </c>
      <c r="AA21" s="4">
        <f t="shared" si="11"/>
        <v>13172.660716014865</v>
      </c>
      <c r="AB21" s="4">
        <f t="shared" si="12"/>
        <v>14765.393502352978</v>
      </c>
      <c r="AC21" s="4">
        <f t="shared" si="13"/>
        <v>658.6330358007433</v>
      </c>
      <c r="AD21" s="4">
        <f t="shared" si="14"/>
        <v>738.26967511764894</v>
      </c>
      <c r="AE21" s="4">
        <f t="shared" si="15"/>
        <v>1317.2660716014866</v>
      </c>
      <c r="AF21" s="4">
        <f t="shared" si="16"/>
        <v>1476.5393502352979</v>
      </c>
      <c r="AG21" s="41">
        <f t="shared" si="17"/>
        <v>790.35964296089185</v>
      </c>
      <c r="AH21" s="41">
        <f t="shared" si="18"/>
        <v>885.92361014117864</v>
      </c>
      <c r="AI21" s="4">
        <f t="shared" si="19"/>
        <v>7898.9697923360018</v>
      </c>
      <c r="AJ21" s="4">
        <f t="shared" si="20"/>
        <v>8531.3575000198307</v>
      </c>
      <c r="AK21" s="4">
        <f t="shared" si="21"/>
        <v>48.64</v>
      </c>
      <c r="AL21" s="4">
        <f t="shared" si="22"/>
        <v>7908.4665968211248</v>
      </c>
      <c r="AM21" s="4">
        <f t="shared" si="23"/>
        <v>8540.8543045049519</v>
      </c>
      <c r="AN21" s="4">
        <f t="shared" si="24"/>
        <v>5264.1941191937403</v>
      </c>
      <c r="AO21" s="4">
        <f t="shared" si="25"/>
        <v>6224.5391978480257</v>
      </c>
      <c r="AP21" s="4">
        <f t="shared" si="26"/>
        <v>4737.7747072743668</v>
      </c>
      <c r="AQ21" s="4">
        <f t="shared" si="27"/>
        <v>5602.0852780632231</v>
      </c>
    </row>
    <row r="22" spans="2:46" ht="15" thickBot="1">
      <c r="B22" s="3">
        <v>10</v>
      </c>
      <c r="C22" s="3">
        <v>2032</v>
      </c>
      <c r="D22" s="5"/>
      <c r="E22" s="5">
        <v>200</v>
      </c>
      <c r="F22" s="7"/>
      <c r="G22" s="20">
        <f t="shared" si="29"/>
        <v>73.300258204984871</v>
      </c>
      <c r="H22" s="20">
        <f t="shared" si="30"/>
        <v>64.767749918183597</v>
      </c>
      <c r="I22" s="20">
        <f t="shared" si="31"/>
        <v>73.300258204984871</v>
      </c>
      <c r="J22" s="20">
        <f t="shared" si="32"/>
        <v>77.812273803000011</v>
      </c>
      <c r="K22" s="4">
        <f t="shared" si="1"/>
        <v>7439.9762078059639</v>
      </c>
      <c r="L22" s="5">
        <f t="shared" si="2"/>
        <v>7439.9762078059639</v>
      </c>
      <c r="M22" s="4">
        <f t="shared" si="3"/>
        <v>6573.9266166956349</v>
      </c>
      <c r="N22" s="4">
        <f t="shared" si="4"/>
        <v>7897.9457910045003</v>
      </c>
      <c r="O22" s="41">
        <f t="shared" si="5"/>
        <v>2678.3914348101471</v>
      </c>
      <c r="P22" s="41">
        <f t="shared" si="6"/>
        <v>2678.3914348101471</v>
      </c>
      <c r="Q22" s="41">
        <f t="shared" si="7"/>
        <v>3155.4847760139046</v>
      </c>
      <c r="R22" s="41">
        <f t="shared" si="8"/>
        <v>3791.01397968216</v>
      </c>
      <c r="S22" s="52"/>
      <c r="T22" s="39"/>
      <c r="U22" s="78"/>
      <c r="V22" s="78">
        <f t="shared" si="34"/>
        <v>696.3244950150895</v>
      </c>
      <c r="W22" s="78">
        <f t="shared" si="35"/>
        <v>103.74969840400007</v>
      </c>
      <c r="X22" s="78">
        <f t="shared" si="36"/>
        <v>814.44731338872111</v>
      </c>
      <c r="Y22" s="88">
        <f t="shared" si="37"/>
        <v>500</v>
      </c>
      <c r="Z22" s="5">
        <f t="shared" si="38"/>
        <v>40.317491380323666</v>
      </c>
      <c r="AA22" s="5">
        <f t="shared" si="11"/>
        <v>14013.902824501598</v>
      </c>
      <c r="AB22" s="5">
        <f t="shared" si="12"/>
        <v>15337.921998810463</v>
      </c>
      <c r="AC22" s="5">
        <f t="shared" si="13"/>
        <v>700.69514122507996</v>
      </c>
      <c r="AD22" s="5">
        <f t="shared" si="14"/>
        <v>766.89609994052319</v>
      </c>
      <c r="AE22" s="5">
        <f t="shared" si="15"/>
        <v>1401.3902824501599</v>
      </c>
      <c r="AF22" s="5">
        <f t="shared" si="16"/>
        <v>1533.7921998810464</v>
      </c>
      <c r="AG22" s="78">
        <f t="shared" si="17"/>
        <v>840.83416947009584</v>
      </c>
      <c r="AH22" s="78">
        <f t="shared" si="18"/>
        <v>920.27531992862771</v>
      </c>
      <c r="AI22" s="5">
        <f t="shared" si="19"/>
        <v>8289.2318871019579</v>
      </c>
      <c r="AJ22" s="5">
        <f t="shared" si="20"/>
        <v>8689.7549278400238</v>
      </c>
      <c r="AK22" s="5">
        <f t="shared" si="21"/>
        <v>48.64</v>
      </c>
      <c r="AL22" s="5">
        <f t="shared" si="22"/>
        <v>8297.5543957216341</v>
      </c>
      <c r="AM22" s="5">
        <f t="shared" si="23"/>
        <v>8698.0774364597</v>
      </c>
      <c r="AN22" s="5">
        <f t="shared" si="24"/>
        <v>5716.3484287799638</v>
      </c>
      <c r="AO22" s="5">
        <f t="shared" si="25"/>
        <v>6639.8445623507632</v>
      </c>
      <c r="AP22" s="5">
        <f t="shared" si="26"/>
        <v>5144.7135859019672</v>
      </c>
      <c r="AQ22" s="5">
        <f t="shared" si="27"/>
        <v>5975.8601061156869</v>
      </c>
    </row>
    <row r="23" spans="2:46">
      <c r="K23" s="37"/>
      <c r="M23" s="37"/>
      <c r="N23" s="37"/>
      <c r="O23" s="37"/>
      <c r="P23" s="37"/>
      <c r="Q23" s="37"/>
      <c r="R23" s="37"/>
    </row>
    <row r="24" spans="2:46" ht="15" thickBot="1"/>
    <row r="25" spans="2:46" ht="15" thickBot="1">
      <c r="B25" s="115"/>
      <c r="C25" s="62" t="s">
        <v>61</v>
      </c>
      <c r="D25" s="62"/>
      <c r="E25" s="62"/>
      <c r="F25" s="62"/>
      <c r="G25" s="62"/>
      <c r="H25" s="62"/>
      <c r="I25" s="62"/>
      <c r="J25" s="62"/>
      <c r="K25" s="62"/>
      <c r="L25" s="112"/>
    </row>
    <row r="26" spans="2:46">
      <c r="B26" s="113" t="s">
        <v>62</v>
      </c>
      <c r="C26" s="2"/>
      <c r="D26" s="93"/>
      <c r="E26" s="93"/>
      <c r="F26" s="93"/>
      <c r="G26" s="93"/>
      <c r="H26" s="93"/>
      <c r="I26" s="93"/>
      <c r="J26" s="93"/>
      <c r="K26" s="93"/>
      <c r="L26" s="95"/>
    </row>
    <row r="27" spans="2:46">
      <c r="B27" s="113" t="s">
        <v>63</v>
      </c>
      <c r="C27" s="2"/>
      <c r="D27" s="93"/>
      <c r="E27" s="93"/>
      <c r="F27" s="93"/>
      <c r="G27" s="93"/>
      <c r="H27" s="93"/>
      <c r="I27" s="93"/>
      <c r="J27" s="93"/>
      <c r="K27" s="93"/>
      <c r="L27" s="95"/>
    </row>
    <row r="28" spans="2:46">
      <c r="B28" s="113" t="s">
        <v>64</v>
      </c>
      <c r="C28" s="2"/>
      <c r="D28" s="93"/>
      <c r="E28" s="93"/>
      <c r="F28" s="93"/>
      <c r="G28" s="93"/>
      <c r="H28" s="93"/>
      <c r="I28" s="93"/>
      <c r="J28" s="93"/>
      <c r="K28" s="93"/>
      <c r="L28" s="95"/>
    </row>
    <row r="29" spans="2:46">
      <c r="B29" s="113" t="s">
        <v>65</v>
      </c>
      <c r="C29" s="2"/>
      <c r="D29" s="93"/>
      <c r="E29" s="93"/>
      <c r="F29" s="93"/>
      <c r="G29" s="93"/>
      <c r="H29" s="93"/>
      <c r="I29" s="93"/>
      <c r="J29" s="93"/>
      <c r="K29" s="93"/>
      <c r="L29" s="95"/>
    </row>
    <row r="30" spans="2:46">
      <c r="B30" s="113" t="s">
        <v>66</v>
      </c>
      <c r="C30" s="2"/>
      <c r="D30" s="93"/>
      <c r="E30" s="93"/>
      <c r="F30" s="93"/>
      <c r="G30" s="93"/>
      <c r="H30" s="93"/>
      <c r="I30" s="93"/>
      <c r="J30" s="93"/>
      <c r="K30" s="93"/>
      <c r="L30" s="95"/>
    </row>
    <row r="31" spans="2:46" ht="15" thickBot="1">
      <c r="B31" s="114" t="s">
        <v>67</v>
      </c>
      <c r="C31" s="3"/>
      <c r="D31" s="96"/>
      <c r="E31" s="96"/>
      <c r="F31" s="96"/>
      <c r="G31" s="96"/>
      <c r="H31" s="96"/>
      <c r="I31" s="96"/>
      <c r="J31" s="96"/>
      <c r="K31" s="96"/>
      <c r="L31" s="97"/>
    </row>
  </sheetData>
  <mergeCells count="44">
    <mergeCell ref="AP10:AQ10"/>
    <mergeCell ref="C25:L25"/>
    <mergeCell ref="AL10:AM10"/>
    <mergeCell ref="AN10:AO10"/>
    <mergeCell ref="O6:P6"/>
    <mergeCell ref="O5:P5"/>
    <mergeCell ref="AI10:AJ10"/>
    <mergeCell ref="Z9:Z10"/>
    <mergeCell ref="K7:L7"/>
    <mergeCell ref="O2:P2"/>
    <mergeCell ref="O3:P3"/>
    <mergeCell ref="X9:Y9"/>
    <mergeCell ref="X10:Y10"/>
    <mergeCell ref="AA10:AB10"/>
    <mergeCell ref="AC10:AD10"/>
    <mergeCell ref="AG10:AH10"/>
    <mergeCell ref="AE10:AF10"/>
    <mergeCell ref="AA9:AH9"/>
    <mergeCell ref="B2:C2"/>
    <mergeCell ref="G2:I2"/>
    <mergeCell ref="S9:U9"/>
    <mergeCell ref="S10:U10"/>
    <mergeCell ref="G4:H4"/>
    <mergeCell ref="G5:H5"/>
    <mergeCell ref="G6:H6"/>
    <mergeCell ref="K2:L2"/>
    <mergeCell ref="K3:L3"/>
    <mergeCell ref="K4:L4"/>
    <mergeCell ref="K5:L5"/>
    <mergeCell ref="K6:L6"/>
    <mergeCell ref="G3:H3"/>
    <mergeCell ref="B3:C3"/>
    <mergeCell ref="K9:R9"/>
    <mergeCell ref="O10:R10"/>
    <mergeCell ref="K10:N10"/>
    <mergeCell ref="B4:C4"/>
    <mergeCell ref="B5:C5"/>
    <mergeCell ref="B6:C6"/>
    <mergeCell ref="B7:C7"/>
    <mergeCell ref="E9:F9"/>
    <mergeCell ref="E10:F10"/>
    <mergeCell ref="G10:H10"/>
    <mergeCell ref="I10:J10"/>
    <mergeCell ref="G9:J9"/>
  </mergeCells>
  <pageMargins left="0.7" right="0.7" top="0.75" bottom="0.75" header="0.3" footer="0.3"/>
  <pageSetup orientation="portrait" r:id="rId1"/>
  <ignoredErrors>
    <ignoredError sqref="H13 H14:H2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48E42-3D96-4CBA-AB2F-3AC9A88E9E28}">
  <dimension ref="A1:F8"/>
  <sheetViews>
    <sheetView showGridLines="0" workbookViewId="0">
      <selection sqref="A1:E1"/>
    </sheetView>
  </sheetViews>
  <sheetFormatPr defaultRowHeight="14.4"/>
  <cols>
    <col min="6" max="6" width="10" bestFit="1" customWidth="1"/>
  </cols>
  <sheetData>
    <row r="1" spans="1:6">
      <c r="A1" s="145" t="s">
        <v>115</v>
      </c>
      <c r="B1" s="146"/>
      <c r="C1" s="146"/>
      <c r="D1" s="146"/>
      <c r="E1" s="147"/>
      <c r="F1" s="94">
        <v>200000000</v>
      </c>
    </row>
    <row r="2" spans="1:6">
      <c r="A2" s="148" t="s">
        <v>114</v>
      </c>
      <c r="B2" s="149"/>
      <c r="C2" s="149"/>
      <c r="D2" s="149"/>
      <c r="E2" s="150"/>
      <c r="F2" s="144">
        <v>696324495</v>
      </c>
    </row>
    <row r="3" spans="1:6">
      <c r="A3" s="66" t="s">
        <v>116</v>
      </c>
      <c r="B3" s="67"/>
      <c r="C3" s="67"/>
      <c r="D3" s="67"/>
      <c r="E3" s="151"/>
      <c r="F3" s="133">
        <v>0.11</v>
      </c>
    </row>
    <row r="4" spans="1:6">
      <c r="A4" s="66" t="s">
        <v>117</v>
      </c>
      <c r="B4" s="67"/>
      <c r="C4" s="67"/>
      <c r="D4" s="67"/>
      <c r="E4" s="151"/>
      <c r="F4" s="95">
        <v>896324495</v>
      </c>
    </row>
    <row r="5" spans="1:6">
      <c r="A5" s="66" t="s">
        <v>118</v>
      </c>
      <c r="B5" s="67"/>
      <c r="C5" s="67"/>
      <c r="D5" s="67"/>
      <c r="E5" s="151"/>
      <c r="F5" s="95">
        <v>279489393.69458383</v>
      </c>
    </row>
    <row r="6" spans="1:6">
      <c r="A6" s="66" t="s">
        <v>119</v>
      </c>
      <c r="B6" s="67"/>
      <c r="C6" s="67"/>
      <c r="D6" s="67"/>
      <c r="E6" s="151"/>
      <c r="F6" s="95">
        <v>896324495</v>
      </c>
    </row>
    <row r="7" spans="1:6">
      <c r="A7" s="66" t="s">
        <v>120</v>
      </c>
      <c r="B7" s="67"/>
      <c r="C7" s="67"/>
      <c r="D7" s="67"/>
      <c r="E7" s="151"/>
      <c r="F7" s="95">
        <v>8.328684669338598E-4</v>
      </c>
    </row>
    <row r="8" spans="1:6" ht="15" thickBot="1">
      <c r="A8" s="107" t="s">
        <v>121</v>
      </c>
      <c r="B8" s="108"/>
      <c r="C8" s="108"/>
      <c r="D8" s="108"/>
      <c r="E8" s="152"/>
      <c r="F8" s="131">
        <v>0.93736586046883108</v>
      </c>
    </row>
  </sheetData>
  <mergeCells count="8">
    <mergeCell ref="A5:E5"/>
    <mergeCell ref="A6:E6"/>
    <mergeCell ref="A7:E7"/>
    <mergeCell ref="A8:E8"/>
    <mergeCell ref="A1:E1"/>
    <mergeCell ref="A2:E2"/>
    <mergeCell ref="A3:E3"/>
    <mergeCell ref="A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8AAAE-E4E0-4B4C-A9B2-5AC515364FA3}">
  <dimension ref="A1:AA39"/>
  <sheetViews>
    <sheetView showGridLines="0" workbookViewId="0">
      <selection activeCell="A5" sqref="A5"/>
    </sheetView>
  </sheetViews>
  <sheetFormatPr defaultRowHeight="14.4"/>
  <cols>
    <col min="1" max="1" width="8.88671875" style="116"/>
    <col min="2" max="2" width="26.33203125" style="116" customWidth="1"/>
    <col min="3" max="3" width="18.88671875" style="116" customWidth="1"/>
    <col min="4" max="4" width="16.109375" style="116" customWidth="1"/>
    <col min="5" max="5" width="19.33203125" style="116" customWidth="1"/>
    <col min="6" max="6" width="18.5546875" style="116" customWidth="1"/>
    <col min="7" max="7" width="33.88671875" style="116" customWidth="1"/>
    <col min="8" max="9" width="15.6640625" style="116" bestFit="1" customWidth="1"/>
    <col min="10" max="10" width="19.5546875" style="116" customWidth="1"/>
    <col min="11" max="11" width="18.33203125" style="116" customWidth="1"/>
    <col min="12" max="12" width="11" style="116" bestFit="1" customWidth="1"/>
    <col min="13" max="13" width="20.33203125" style="116" customWidth="1"/>
    <col min="14" max="14" width="15.6640625" style="116" bestFit="1" customWidth="1"/>
    <col min="15" max="15" width="10" style="116" bestFit="1" customWidth="1"/>
    <col min="16" max="16" width="8.88671875" style="116"/>
    <col min="17" max="17" width="10" style="116" bestFit="1" customWidth="1"/>
    <col min="18" max="18" width="12" style="116" bestFit="1" customWidth="1"/>
    <col min="19" max="21" width="15.6640625" style="116" bestFit="1" customWidth="1"/>
    <col min="22" max="22" width="17.33203125" style="116" customWidth="1"/>
    <col min="23" max="23" width="15.6640625" style="116" bestFit="1" customWidth="1"/>
    <col min="24" max="24" width="20.109375" style="116" customWidth="1"/>
    <col min="25" max="25" width="23.109375" style="116" customWidth="1"/>
    <col min="26" max="26" width="24.109375" style="116" customWidth="1"/>
    <col min="27" max="27" width="18.21875" style="116" customWidth="1"/>
    <col min="28" max="16384" width="8.88671875" style="116"/>
  </cols>
  <sheetData>
    <row r="1" spans="1:27" ht="15" thickBot="1">
      <c r="A1" s="116" t="s">
        <v>112</v>
      </c>
    </row>
    <row r="2" spans="1:27">
      <c r="A2" s="139"/>
      <c r="B2" s="136" t="s">
        <v>95</v>
      </c>
      <c r="C2" s="136"/>
      <c r="D2" s="136"/>
      <c r="E2" s="136"/>
      <c r="F2" s="136"/>
      <c r="G2" s="136"/>
      <c r="H2" s="136"/>
      <c r="I2" s="137"/>
    </row>
    <row r="3" spans="1:27" ht="15" thickBot="1">
      <c r="A3" s="140">
        <v>1</v>
      </c>
      <c r="B3" s="93" t="s">
        <v>96</v>
      </c>
      <c r="C3" s="93"/>
      <c r="D3" s="93"/>
      <c r="E3" s="93"/>
      <c r="F3" s="49"/>
      <c r="G3" s="93"/>
      <c r="H3" s="93"/>
      <c r="I3" s="95"/>
    </row>
    <row r="4" spans="1:27" ht="29.4" thickBot="1">
      <c r="A4" s="141">
        <v>2</v>
      </c>
      <c r="B4" s="96" t="s">
        <v>97</v>
      </c>
      <c r="C4" s="96"/>
      <c r="D4" s="96"/>
      <c r="E4" s="96"/>
      <c r="F4" s="138"/>
      <c r="G4" s="96"/>
      <c r="H4" s="96"/>
      <c r="I4" s="97"/>
      <c r="J4" s="93"/>
      <c r="K4" s="128" t="s">
        <v>100</v>
      </c>
      <c r="L4" s="94">
        <f>36*(1+J7)^10</f>
        <v>41.779469700905345</v>
      </c>
      <c r="N4" s="128" t="s">
        <v>103</v>
      </c>
      <c r="O4" s="132">
        <v>0.05</v>
      </c>
    </row>
    <row r="5" spans="1:27" ht="43.8" thickBot="1">
      <c r="K5" s="129" t="s">
        <v>113</v>
      </c>
      <c r="L5" s="95">
        <f>48*(1+J7)^10</f>
        <v>55.705959601207127</v>
      </c>
      <c r="N5" s="143" t="s">
        <v>102</v>
      </c>
      <c r="O5" s="133">
        <v>0.1</v>
      </c>
    </row>
    <row r="6" spans="1:27" ht="34.200000000000003" customHeight="1" thickBot="1">
      <c r="A6" s="115"/>
      <c r="B6" s="62" t="s">
        <v>111</v>
      </c>
      <c r="C6" s="62"/>
      <c r="D6" s="112"/>
      <c r="K6" s="129" t="s">
        <v>99</v>
      </c>
      <c r="L6" s="95">
        <v>28.8</v>
      </c>
      <c r="N6" s="134" t="s">
        <v>104</v>
      </c>
      <c r="O6" s="97">
        <v>50</v>
      </c>
    </row>
    <row r="7" spans="1:27" ht="15" thickBot="1">
      <c r="A7" s="135">
        <v>1</v>
      </c>
      <c r="B7" s="93" t="s">
        <v>105</v>
      </c>
      <c r="C7" s="93"/>
      <c r="D7" s="95"/>
      <c r="G7" s="119">
        <v>0.1</v>
      </c>
      <c r="I7" s="115" t="s">
        <v>68</v>
      </c>
      <c r="J7" s="142">
        <v>1.4999999999999999E-2</v>
      </c>
      <c r="K7" s="130" t="s">
        <v>101</v>
      </c>
      <c r="L7" s="131">
        <v>0.11</v>
      </c>
    </row>
    <row r="8" spans="1:27">
      <c r="A8" s="135">
        <v>2</v>
      </c>
      <c r="B8" s="93" t="s">
        <v>106</v>
      </c>
      <c r="C8" s="93"/>
      <c r="D8" s="95"/>
      <c r="G8" s="119">
        <v>7.0000000000000007E-2</v>
      </c>
    </row>
    <row r="9" spans="1:27">
      <c r="A9" s="135">
        <v>3</v>
      </c>
      <c r="B9" s="93" t="s">
        <v>107</v>
      </c>
      <c r="C9" s="93"/>
      <c r="D9" s="95"/>
      <c r="G9" s="119">
        <v>7.0000000000000007E-2</v>
      </c>
    </row>
    <row r="10" spans="1:27">
      <c r="A10" s="135">
        <v>4</v>
      </c>
      <c r="B10" s="93" t="s">
        <v>108</v>
      </c>
      <c r="C10" s="93"/>
      <c r="D10" s="95"/>
      <c r="G10" s="119">
        <v>0.08</v>
      </c>
    </row>
    <row r="11" spans="1:27">
      <c r="A11" s="135">
        <v>5</v>
      </c>
      <c r="B11" s="93" t="s">
        <v>109</v>
      </c>
      <c r="C11" s="93"/>
      <c r="D11" s="95"/>
      <c r="G11" s="119"/>
    </row>
    <row r="12" spans="1:27" ht="15" thickBot="1">
      <c r="A12" s="130">
        <v>6</v>
      </c>
      <c r="B12" s="96" t="s">
        <v>110</v>
      </c>
      <c r="C12" s="96"/>
      <c r="D12" s="97"/>
      <c r="G12" s="119"/>
    </row>
    <row r="13" spans="1:27" ht="72">
      <c r="B13" s="117" t="s">
        <v>69</v>
      </c>
      <c r="C13" s="117" t="s">
        <v>70</v>
      </c>
      <c r="D13" s="117" t="s">
        <v>71</v>
      </c>
      <c r="E13" s="127" t="s">
        <v>72</v>
      </c>
      <c r="F13" s="117" t="s">
        <v>73</v>
      </c>
      <c r="G13" s="117" t="s">
        <v>74</v>
      </c>
      <c r="H13" s="117" t="s">
        <v>75</v>
      </c>
      <c r="I13" s="126" t="s">
        <v>98</v>
      </c>
      <c r="J13" s="120" t="s">
        <v>76</v>
      </c>
      <c r="K13" s="122" t="s">
        <v>77</v>
      </c>
      <c r="L13" s="117" t="s">
        <v>78</v>
      </c>
      <c r="M13" s="117" t="s">
        <v>79</v>
      </c>
      <c r="N13" s="122" t="s">
        <v>80</v>
      </c>
      <c r="O13" s="122" t="s">
        <v>81</v>
      </c>
      <c r="P13" s="117" t="s">
        <v>82</v>
      </c>
      <c r="Q13" s="122" t="s">
        <v>83</v>
      </c>
      <c r="R13" s="117" t="s">
        <v>84</v>
      </c>
      <c r="S13" s="117" t="s">
        <v>85</v>
      </c>
      <c r="T13" s="117" t="s">
        <v>86</v>
      </c>
      <c r="U13" s="122" t="s">
        <v>87</v>
      </c>
      <c r="V13" s="122"/>
      <c r="W13" s="117" t="s">
        <v>88</v>
      </c>
      <c r="X13" s="117" t="s">
        <v>89</v>
      </c>
      <c r="Y13" s="117" t="s">
        <v>90</v>
      </c>
      <c r="Z13" s="117" t="s">
        <v>91</v>
      </c>
    </row>
    <row r="14" spans="1:27">
      <c r="A14" s="116">
        <v>1</v>
      </c>
      <c r="B14" s="116">
        <v>73300258</v>
      </c>
      <c r="C14" s="116">
        <f>B14*100</f>
        <v>7330025800</v>
      </c>
      <c r="D14" s="116">
        <f>C14*(1+$G$8)</f>
        <v>7843127606</v>
      </c>
      <c r="E14" s="116">
        <f>D14*(1+$J$7)</f>
        <v>7960774520.0899992</v>
      </c>
      <c r="F14" s="116">
        <v>77812273</v>
      </c>
      <c r="G14" s="118">
        <f>F14*100</f>
        <v>7781227300</v>
      </c>
      <c r="H14" s="118">
        <f>G14*(1+$G$8)</f>
        <v>8325913211.000001</v>
      </c>
      <c r="I14" s="125">
        <f>H14*(1+$J$7)</f>
        <v>8450801909.165</v>
      </c>
      <c r="J14" s="121">
        <f>B14*L4*(1+G8)</f>
        <v>3276817121.7521129</v>
      </c>
      <c r="K14" s="123">
        <f>F14*L5*(1+G9)</f>
        <v>4638029849.7512274</v>
      </c>
      <c r="L14" s="116">
        <v>999502314</v>
      </c>
      <c r="M14" s="118">
        <f>L14*$O$6</f>
        <v>49975115700</v>
      </c>
      <c r="N14" s="124">
        <f>L14*$L$6</f>
        <v>28785666643.200001</v>
      </c>
      <c r="O14" s="123">
        <v>500000000</v>
      </c>
      <c r="P14" s="116">
        <v>30000000</v>
      </c>
      <c r="Q14" s="123">
        <v>100000000</v>
      </c>
      <c r="R14" s="116">
        <f>S14*$O$4</f>
        <v>3319334606.46275</v>
      </c>
      <c r="S14" s="118">
        <f>E14+I14+M14</f>
        <v>66386692129.254997</v>
      </c>
      <c r="T14" s="118">
        <f>S14+R14</f>
        <v>69706026735.717743</v>
      </c>
      <c r="U14" s="124">
        <f>J14+K14+N14+O14+Q14</f>
        <v>37300513614.703339</v>
      </c>
      <c r="V14" s="124">
        <f>U14-P14</f>
        <v>37270513614.703339</v>
      </c>
      <c r="W14" s="118">
        <f>T14-V14</f>
        <v>32435513121.014404</v>
      </c>
      <c r="X14" s="118">
        <f>T14*(1-$O$5)</f>
        <v>62735424062.145973</v>
      </c>
      <c r="Y14" s="118">
        <f>W14-X14</f>
        <v>-30299910941.131569</v>
      </c>
      <c r="Z14" s="118">
        <f>Y14*(1-$L$7)^A14</f>
        <v>-26966920737.607098</v>
      </c>
      <c r="AA14" s="116">
        <f>Y14*(1-$B$39)^A14</f>
        <v>-1.3455863508374386E-5</v>
      </c>
    </row>
    <row r="15" spans="1:27">
      <c r="A15" s="116">
        <v>2</v>
      </c>
      <c r="B15" s="116">
        <f>B14*(1+$G$7)</f>
        <v>80630283.800000012</v>
      </c>
      <c r="C15" s="116">
        <f t="shared" ref="C15:C33" si="0">B15*100</f>
        <v>8063028380.000001</v>
      </c>
      <c r="D15" s="116">
        <f t="shared" ref="D15:D33" si="1">C15*(1+$G$8)</f>
        <v>8627440366.6000023</v>
      </c>
      <c r="E15" s="116">
        <f t="shared" ref="E15:E33" si="2">D15*(1+$J$7)</f>
        <v>8756851972.0990009</v>
      </c>
      <c r="F15" s="116">
        <f>F14*(1+$G$8)</f>
        <v>83259132.109999999</v>
      </c>
      <c r="G15" s="118">
        <f t="shared" ref="G15:G33" si="3">F15*100</f>
        <v>8325913211</v>
      </c>
      <c r="H15" s="118">
        <f t="shared" ref="H15:H33" si="4">G15*(1+$G$8)</f>
        <v>8908727135.7700005</v>
      </c>
      <c r="I15" s="125">
        <f t="shared" ref="I15:I33" si="5">H15*(1+$J$7)</f>
        <v>9042358042.8065491</v>
      </c>
      <c r="J15" s="121">
        <f>J14*(1+$G$9)</f>
        <v>3506194320.2747612</v>
      </c>
      <c r="K15" s="124">
        <f>K14*(1+$G$9)</f>
        <v>4962691939.2338133</v>
      </c>
      <c r="L15" s="116">
        <f>L14*(1+$G$10)</f>
        <v>1079462499.1200001</v>
      </c>
      <c r="M15" s="118">
        <f>L15*$O$6</f>
        <v>53973124956.000008</v>
      </c>
      <c r="N15" s="124">
        <f>L15*$L$6</f>
        <v>31088519974.656006</v>
      </c>
      <c r="O15" s="123">
        <f>O14*(1+$J$7)</f>
        <v>507499999.99999994</v>
      </c>
      <c r="P15" s="116">
        <v>30000000</v>
      </c>
      <c r="Q15" s="123">
        <f>Q14*(1+$J$7)</f>
        <v>101499999.99999999</v>
      </c>
      <c r="R15" s="116">
        <f>S15*$O$4</f>
        <v>3588616748.5452776</v>
      </c>
      <c r="S15" s="118">
        <f>E15+I15+M15</f>
        <v>71772334970.905548</v>
      </c>
      <c r="T15" s="118">
        <f>S15+R15</f>
        <v>75360951719.450821</v>
      </c>
      <c r="U15" s="124">
        <f>J15+K15+N15+O15+Q15</f>
        <v>40166406234.164581</v>
      </c>
      <c r="V15" s="124">
        <f>U15-P15</f>
        <v>40136406234.164581</v>
      </c>
      <c r="W15" s="118">
        <f>T15-V15</f>
        <v>35224545485.28624</v>
      </c>
      <c r="X15" s="118">
        <f>T15*(1-$O$5)</f>
        <v>67824856547.505737</v>
      </c>
      <c r="Y15" s="118">
        <f t="shared" ref="Y15:Y33" si="6">W15-X15</f>
        <v>-32600311062.219498</v>
      </c>
      <c r="Z15" s="118">
        <f>Y15*(1-$L$7)^A15</f>
        <v>-25822706392.384064</v>
      </c>
      <c r="AA15" s="116">
        <f>Y15*(1-$B$39)^A15</f>
        <v>-6.4292777237572595E-21</v>
      </c>
    </row>
    <row r="16" spans="1:27">
      <c r="A16" s="116">
        <v>3</v>
      </c>
      <c r="B16" s="116">
        <f t="shared" ref="B16:B33" si="7">B15*(1+$G$7)</f>
        <v>88693312.180000022</v>
      </c>
      <c r="C16" s="116">
        <f t="shared" si="0"/>
        <v>8869331218.0000019</v>
      </c>
      <c r="D16" s="116">
        <f t="shared" si="1"/>
        <v>9490184403.2600021</v>
      </c>
      <c r="E16" s="116">
        <f t="shared" si="2"/>
        <v>9632537169.3089008</v>
      </c>
      <c r="F16" s="116">
        <f t="shared" ref="F16:F33" si="8">F15*(1+$G$8)</f>
        <v>89087271.357700005</v>
      </c>
      <c r="G16" s="118">
        <f t="shared" si="3"/>
        <v>8908727135.7700005</v>
      </c>
      <c r="H16" s="118">
        <f t="shared" si="4"/>
        <v>9532338035.273901</v>
      </c>
      <c r="I16" s="125">
        <f t="shared" si="5"/>
        <v>9675323105.803009</v>
      </c>
      <c r="J16" s="121">
        <f t="shared" ref="J16:K31" si="9">J15*(1+$G$9)</f>
        <v>3751627922.6939945</v>
      </c>
      <c r="K16" s="124">
        <f t="shared" si="9"/>
        <v>5310080374.9801807</v>
      </c>
      <c r="L16" s="116">
        <f t="shared" ref="L16:L33" si="10">L15*(1+$G$10)</f>
        <v>1165819499.0496001</v>
      </c>
      <c r="M16" s="118">
        <f>L16*$O$6</f>
        <v>58290974952.480003</v>
      </c>
      <c r="N16" s="124">
        <f>L16*$L$6</f>
        <v>33575601572.628483</v>
      </c>
      <c r="O16" s="123">
        <f t="shared" ref="O16:O33" si="11">O15*(1+$J$7)</f>
        <v>515112499.99999988</v>
      </c>
      <c r="P16" s="116">
        <v>30000000</v>
      </c>
      <c r="Q16" s="123">
        <f t="shared" ref="Q16:Q33" si="12">Q15*(1+$J$7)</f>
        <v>103022499.99999997</v>
      </c>
      <c r="R16" s="116">
        <f>S16*$O$4</f>
        <v>3879941761.3795962</v>
      </c>
      <c r="S16" s="118">
        <f>E16+I16+M16</f>
        <v>77598835227.591919</v>
      </c>
      <c r="T16" s="118">
        <f>S16+R16</f>
        <v>81478776988.971512</v>
      </c>
      <c r="U16" s="124">
        <f>J16+K16+N16+O16+Q16</f>
        <v>43255444870.302658</v>
      </c>
      <c r="V16" s="124">
        <f>U16-P16</f>
        <v>43225444870.302658</v>
      </c>
      <c r="W16" s="118">
        <f>T16-V16</f>
        <v>38253332118.668854</v>
      </c>
      <c r="X16" s="118">
        <f>T16*(1-$O$5)</f>
        <v>73330899290.074356</v>
      </c>
      <c r="Y16" s="118">
        <f t="shared" si="6"/>
        <v>-35077567171.405502</v>
      </c>
      <c r="Z16" s="118">
        <f>Y16*(1-$L$7)^A16</f>
        <v>-24728597451.258568</v>
      </c>
      <c r="AA16" s="116">
        <f>Y16*(1-$B$39)^A16</f>
        <v>-3.0721338130963217E-36</v>
      </c>
    </row>
    <row r="17" spans="1:27">
      <c r="A17" s="116">
        <v>4</v>
      </c>
      <c r="B17" s="116">
        <f t="shared" si="7"/>
        <v>97562643.398000032</v>
      </c>
      <c r="C17" s="116">
        <f t="shared" si="0"/>
        <v>9756264339.8000031</v>
      </c>
      <c r="D17" s="116">
        <f t="shared" si="1"/>
        <v>10439202843.586004</v>
      </c>
      <c r="E17" s="116">
        <f t="shared" si="2"/>
        <v>10595790886.239794</v>
      </c>
      <c r="F17" s="116">
        <f t="shared" si="8"/>
        <v>95323380.352739006</v>
      </c>
      <c r="G17" s="118">
        <f t="shared" si="3"/>
        <v>9532338035.273901</v>
      </c>
      <c r="H17" s="118">
        <f t="shared" si="4"/>
        <v>10199601697.743074</v>
      </c>
      <c r="I17" s="125">
        <f t="shared" si="5"/>
        <v>10352595723.209219</v>
      </c>
      <c r="J17" s="121">
        <f t="shared" si="9"/>
        <v>4014241877.2825742</v>
      </c>
      <c r="K17" s="124">
        <f t="shared" si="9"/>
        <v>5681786001.2287941</v>
      </c>
      <c r="L17" s="116">
        <f t="shared" si="10"/>
        <v>1259085058.9735682</v>
      </c>
      <c r="M17" s="118">
        <f>L17*$O$6</f>
        <v>62954252948.678413</v>
      </c>
      <c r="N17" s="124">
        <f>L17*$L$6</f>
        <v>36261649698.438766</v>
      </c>
      <c r="O17" s="123">
        <f t="shared" si="11"/>
        <v>522839187.49999982</v>
      </c>
      <c r="P17" s="116">
        <v>30000000</v>
      </c>
      <c r="Q17" s="123">
        <f t="shared" si="12"/>
        <v>104567837.49999996</v>
      </c>
      <c r="R17" s="116">
        <f>S17*$O$4</f>
        <v>4195131977.9063716</v>
      </c>
      <c r="S17" s="118">
        <f>E17+I17+M17</f>
        <v>83902639558.127426</v>
      </c>
      <c r="T17" s="118">
        <f>S17+R17</f>
        <v>88097771536.033798</v>
      </c>
      <c r="U17" s="124">
        <f>J17+K17+N17+O17+Q17</f>
        <v>46585084601.950134</v>
      </c>
      <c r="V17" s="124">
        <f>U17-P17</f>
        <v>46555084601.950134</v>
      </c>
      <c r="W17" s="118">
        <f>T17-V17</f>
        <v>41542686934.083664</v>
      </c>
      <c r="X17" s="118">
        <f>T17*(1-$O$5)</f>
        <v>79287994382.43042</v>
      </c>
      <c r="Y17" s="118">
        <f t="shared" si="6"/>
        <v>-37745307448.346756</v>
      </c>
      <c r="Z17" s="118">
        <f>Y17*(1-$L$7)^A17</f>
        <v>-23682251765.432674</v>
      </c>
      <c r="AA17" s="116">
        <f>Y17*(1-$B$39)^A17</f>
        <v>-1.4680601557414238E-51</v>
      </c>
    </row>
    <row r="18" spans="1:27">
      <c r="A18" s="116">
        <v>5</v>
      </c>
      <c r="B18" s="116">
        <f t="shared" si="7"/>
        <v>107318907.73780005</v>
      </c>
      <c r="C18" s="116">
        <f t="shared" si="0"/>
        <v>10731890773.780005</v>
      </c>
      <c r="D18" s="116">
        <f t="shared" si="1"/>
        <v>11483123127.944605</v>
      </c>
      <c r="E18" s="116">
        <f t="shared" si="2"/>
        <v>11655369974.863773</v>
      </c>
      <c r="F18" s="116">
        <f t="shared" si="8"/>
        <v>101996016.97743075</v>
      </c>
      <c r="G18" s="118">
        <f t="shared" si="3"/>
        <v>10199601697.743074</v>
      </c>
      <c r="H18" s="118">
        <f t="shared" si="4"/>
        <v>10913573816.585091</v>
      </c>
      <c r="I18" s="125">
        <f t="shared" si="5"/>
        <v>11077277423.833866</v>
      </c>
      <c r="J18" s="121">
        <f t="shared" si="9"/>
        <v>4295238808.6923542</v>
      </c>
      <c r="K18" s="124">
        <f t="shared" si="9"/>
        <v>6079511021.3148098</v>
      </c>
      <c r="L18" s="116">
        <f t="shared" si="10"/>
        <v>1359811863.6914537</v>
      </c>
      <c r="M18" s="118">
        <f>L18*$O$6</f>
        <v>67990593184.572685</v>
      </c>
      <c r="N18" s="124">
        <f>L18*$L$6</f>
        <v>39162581674.313866</v>
      </c>
      <c r="O18" s="123">
        <f t="shared" si="11"/>
        <v>530681775.31249976</v>
      </c>
      <c r="P18" s="116">
        <v>30000000</v>
      </c>
      <c r="Q18" s="123">
        <f t="shared" si="12"/>
        <v>106136355.06249994</v>
      </c>
      <c r="R18" s="116">
        <f>S18*$O$4</f>
        <v>4536162029.163516</v>
      </c>
      <c r="S18" s="118">
        <f>E18+I18+M18</f>
        <v>90723240583.270325</v>
      </c>
      <c r="T18" s="118">
        <f>S18+R18</f>
        <v>95259402612.433838</v>
      </c>
      <c r="U18" s="124">
        <f>J18+K18+N18+O18+Q18</f>
        <v>50174149634.69603</v>
      </c>
      <c r="V18" s="124">
        <f>U18-P18</f>
        <v>50144149634.69603</v>
      </c>
      <c r="W18" s="118">
        <f>T18-V18</f>
        <v>45115252977.737808</v>
      </c>
      <c r="X18" s="118">
        <f>T18*(1-$O$5)</f>
        <v>85733462351.19046</v>
      </c>
      <c r="Y18" s="118">
        <f t="shared" si="6"/>
        <v>-40618209373.452652</v>
      </c>
      <c r="Z18" s="118">
        <f>Y18*(1-$L$7)^A18</f>
        <v>-22681449585.328869</v>
      </c>
      <c r="AA18" s="116">
        <f>Y18*(1-$B$39)^A18</f>
        <v>-7.0157140511050843E-67</v>
      </c>
    </row>
    <row r="19" spans="1:27">
      <c r="A19" s="116">
        <v>6</v>
      </c>
      <c r="B19" s="116">
        <f t="shared" si="7"/>
        <v>118050798.51158006</v>
      </c>
      <c r="C19" s="116">
        <f t="shared" si="0"/>
        <v>11805079851.158007</v>
      </c>
      <c r="D19" s="116">
        <f t="shared" si="1"/>
        <v>12631435440.739067</v>
      </c>
      <c r="E19" s="116">
        <f t="shared" si="2"/>
        <v>12820906972.350151</v>
      </c>
      <c r="F19" s="116">
        <f t="shared" si="8"/>
        <v>109135738.16585091</v>
      </c>
      <c r="G19" s="118">
        <f t="shared" si="3"/>
        <v>10913573816.585091</v>
      </c>
      <c r="H19" s="118">
        <f t="shared" si="4"/>
        <v>11677523983.746048</v>
      </c>
      <c r="I19" s="125">
        <f t="shared" si="5"/>
        <v>11852686843.502237</v>
      </c>
      <c r="J19" s="121">
        <f t="shared" si="9"/>
        <v>4595905525.3008194</v>
      </c>
      <c r="K19" s="124">
        <f t="shared" si="9"/>
        <v>6505076792.8068466</v>
      </c>
      <c r="L19" s="116">
        <f t="shared" si="10"/>
        <v>1468596812.7867701</v>
      </c>
      <c r="M19" s="118">
        <f>L19*$O$6</f>
        <v>73429840639.338501</v>
      </c>
      <c r="N19" s="124">
        <f>L19*$L$6</f>
        <v>42295588208.25898</v>
      </c>
      <c r="O19" s="123">
        <f t="shared" si="11"/>
        <v>538642001.94218719</v>
      </c>
      <c r="P19" s="116">
        <v>30000000</v>
      </c>
      <c r="Q19" s="123">
        <f t="shared" si="12"/>
        <v>107728400.38843744</v>
      </c>
      <c r="R19" s="116">
        <f>S19*$O$4</f>
        <v>4905171722.7595444</v>
      </c>
      <c r="S19" s="118">
        <f>E19+I19+M19</f>
        <v>98103434455.190887</v>
      </c>
      <c r="T19" s="118">
        <f>S19+R19</f>
        <v>103008606177.95044</v>
      </c>
      <c r="U19" s="124">
        <f>J19+K19+N19+O19+Q19</f>
        <v>54042940928.697266</v>
      </c>
      <c r="V19" s="124">
        <f>U19-P19</f>
        <v>54012940928.697266</v>
      </c>
      <c r="W19" s="118">
        <f>T19-V19</f>
        <v>48995665249.253174</v>
      </c>
      <c r="X19" s="118">
        <f>T19*(1-$O$5)</f>
        <v>92707745560.155396</v>
      </c>
      <c r="Y19" s="118">
        <f t="shared" si="6"/>
        <v>-43712080310.902222</v>
      </c>
      <c r="Z19" s="118">
        <f>Y19*(1-$L$7)^A19</f>
        <v>-21724086103.503101</v>
      </c>
      <c r="AA19" s="116">
        <f>Y19*(1-$B$39)^A19</f>
        <v>-3.3529169970128049E-82</v>
      </c>
    </row>
    <row r="20" spans="1:27">
      <c r="A20" s="116">
        <v>7</v>
      </c>
      <c r="B20" s="116">
        <f t="shared" si="7"/>
        <v>129855878.36273809</v>
      </c>
      <c r="C20" s="116">
        <f t="shared" si="0"/>
        <v>12985587836.273809</v>
      </c>
      <c r="D20" s="116">
        <f t="shared" si="1"/>
        <v>13894578984.812977</v>
      </c>
      <c r="E20" s="116">
        <f t="shared" si="2"/>
        <v>14102997669.585171</v>
      </c>
      <c r="F20" s="116">
        <f t="shared" si="8"/>
        <v>116775239.83746047</v>
      </c>
      <c r="G20" s="118">
        <f t="shared" si="3"/>
        <v>11677523983.746048</v>
      </c>
      <c r="H20" s="118">
        <f t="shared" si="4"/>
        <v>12494950662.608273</v>
      </c>
      <c r="I20" s="125">
        <f t="shared" si="5"/>
        <v>12682374922.547396</v>
      </c>
      <c r="J20" s="121">
        <f t="shared" si="9"/>
        <v>4917618912.0718775</v>
      </c>
      <c r="K20" s="124">
        <f t="shared" si="9"/>
        <v>6960432168.3033266</v>
      </c>
      <c r="L20" s="116">
        <f t="shared" si="10"/>
        <v>1586084557.8097119</v>
      </c>
      <c r="M20" s="118">
        <f>L20*$O$6</f>
        <v>79304227890.485596</v>
      </c>
      <c r="N20" s="124">
        <f>L20*$L$6</f>
        <v>45679235264.919708</v>
      </c>
      <c r="O20" s="123">
        <f t="shared" si="11"/>
        <v>546721631.97131991</v>
      </c>
      <c r="P20" s="116">
        <v>30000000</v>
      </c>
      <c r="Q20" s="123">
        <f t="shared" si="12"/>
        <v>109344326.39426398</v>
      </c>
      <c r="R20" s="116">
        <f>S20*$O$4</f>
        <v>5304480024.130909</v>
      </c>
      <c r="S20" s="118">
        <f>E20+I20+M20</f>
        <v>106089600482.61816</v>
      </c>
      <c r="T20" s="118">
        <f>S20+R20</f>
        <v>111394080506.74907</v>
      </c>
      <c r="U20" s="124">
        <f>J20+K20+N20+O20+Q20</f>
        <v>58213352303.6605</v>
      </c>
      <c r="V20" s="124">
        <f>U20-P20</f>
        <v>58183352303.6605</v>
      </c>
      <c r="W20" s="118">
        <f>T20-V20</f>
        <v>53210728203.08857</v>
      </c>
      <c r="X20" s="118">
        <f>T20*(1-$O$5)</f>
        <v>100254672456.07416</v>
      </c>
      <c r="Y20" s="118">
        <f t="shared" si="6"/>
        <v>-47043944252.985588</v>
      </c>
      <c r="Z20" s="118">
        <f>Y20*(1-$L$7)^A20</f>
        <v>-20808164530.604031</v>
      </c>
      <c r="AA20" s="116">
        <f>Y20*(1-$B$39)^A20</f>
        <v>-1.602489802758359E-97</v>
      </c>
    </row>
    <row r="21" spans="1:27">
      <c r="A21" s="116">
        <v>8</v>
      </c>
      <c r="B21" s="116">
        <f t="shared" si="7"/>
        <v>142841466.19901192</v>
      </c>
      <c r="C21" s="116">
        <f t="shared" si="0"/>
        <v>14284146619.901192</v>
      </c>
      <c r="D21" s="116">
        <f t="shared" si="1"/>
        <v>15284036883.294275</v>
      </c>
      <c r="E21" s="116">
        <f t="shared" si="2"/>
        <v>15513297436.543688</v>
      </c>
      <c r="F21" s="116">
        <f t="shared" si="8"/>
        <v>124949506.62608272</v>
      </c>
      <c r="G21" s="118">
        <f t="shared" si="3"/>
        <v>12494950662.608273</v>
      </c>
      <c r="H21" s="118">
        <f t="shared" si="4"/>
        <v>13369597208.990852</v>
      </c>
      <c r="I21" s="125">
        <f t="shared" si="5"/>
        <v>13570141167.125713</v>
      </c>
      <c r="J21" s="121">
        <f t="shared" si="9"/>
        <v>5261852235.9169092</v>
      </c>
      <c r="K21" s="124">
        <f t="shared" si="9"/>
        <v>7447662420.0845594</v>
      </c>
      <c r="L21" s="116">
        <f t="shared" si="10"/>
        <v>1712971322.434489</v>
      </c>
      <c r="M21" s="118">
        <f>L21*$O$6</f>
        <v>85648566121.724457</v>
      </c>
      <c r="N21" s="124">
        <f>L21*$L$6</f>
        <v>49333574086.113281</v>
      </c>
      <c r="O21" s="123">
        <f t="shared" si="11"/>
        <v>554922456.45088971</v>
      </c>
      <c r="P21" s="116">
        <v>30000000</v>
      </c>
      <c r="Q21" s="123">
        <f t="shared" si="12"/>
        <v>110984491.29017793</v>
      </c>
      <c r="R21" s="116">
        <f>S21*$O$4</f>
        <v>5736600236.2696934</v>
      </c>
      <c r="S21" s="118">
        <f>E21+I21+M21</f>
        <v>114732004725.39386</v>
      </c>
      <c r="T21" s="118">
        <f>S21+R21</f>
        <v>120468604961.66356</v>
      </c>
      <c r="U21" s="124">
        <f>J21+K21+N21+O21+Q21</f>
        <v>62708995689.855812</v>
      </c>
      <c r="V21" s="124">
        <f>U21-P21</f>
        <v>62678995689.855812</v>
      </c>
      <c r="W21" s="118">
        <f>T21-V21</f>
        <v>57789609271.807747</v>
      </c>
      <c r="X21" s="118">
        <f>T21*(1-$O$5)</f>
        <v>108421744465.49721</v>
      </c>
      <c r="Y21" s="118">
        <f t="shared" si="6"/>
        <v>-50632135193.689461</v>
      </c>
      <c r="Z21" s="118">
        <f>Y21*(1-$L$7)^A21</f>
        <v>-19931789661.227234</v>
      </c>
      <c r="AA21" s="116">
        <f>Y21*(1-$B$39)^A21</f>
        <v>-7.6592811477593526E-113</v>
      </c>
    </row>
    <row r="22" spans="1:27">
      <c r="A22" s="116">
        <v>9</v>
      </c>
      <c r="B22" s="116">
        <f t="shared" si="7"/>
        <v>157125612.81891313</v>
      </c>
      <c r="C22" s="116">
        <f t="shared" si="0"/>
        <v>15712561281.891314</v>
      </c>
      <c r="D22" s="116">
        <f t="shared" si="1"/>
        <v>16812440571.623707</v>
      </c>
      <c r="E22" s="116">
        <f t="shared" si="2"/>
        <v>17064627180.198061</v>
      </c>
      <c r="F22" s="116">
        <f t="shared" si="8"/>
        <v>133695972.08990851</v>
      </c>
      <c r="G22" s="118">
        <f t="shared" si="3"/>
        <v>13369597208.99085</v>
      </c>
      <c r="H22" s="118">
        <f t="shared" si="4"/>
        <v>14305469013.620211</v>
      </c>
      <c r="I22" s="125">
        <f t="shared" si="5"/>
        <v>14520051048.824512</v>
      </c>
      <c r="J22" s="121">
        <f t="shared" si="9"/>
        <v>5630181892.4310932</v>
      </c>
      <c r="K22" s="124">
        <f t="shared" si="9"/>
        <v>7968998789.4904795</v>
      </c>
      <c r="L22" s="116">
        <f t="shared" si="10"/>
        <v>1850009028.2292483</v>
      </c>
      <c r="M22" s="118">
        <f>L22*$O$6</f>
        <v>92500451411.462418</v>
      </c>
      <c r="N22" s="124">
        <f>L22*$L$6</f>
        <v>53280260013.00235</v>
      </c>
      <c r="O22" s="123">
        <f t="shared" si="11"/>
        <v>563246293.29765296</v>
      </c>
      <c r="P22" s="116">
        <v>30000000</v>
      </c>
      <c r="Q22" s="123">
        <f t="shared" si="12"/>
        <v>112649258.65953058</v>
      </c>
      <c r="R22" s="116">
        <f>S22*$O$4</f>
        <v>6204256482.02425</v>
      </c>
      <c r="S22" s="118">
        <f>E22+I22+M22</f>
        <v>124085129640.48499</v>
      </c>
      <c r="T22" s="118">
        <f>S22+R22</f>
        <v>130289386122.50923</v>
      </c>
      <c r="U22" s="124">
        <f>J22+K22+N22+O22+Q22</f>
        <v>67555336246.881104</v>
      </c>
      <c r="V22" s="124">
        <f>U22-P22</f>
        <v>67525336246.881104</v>
      </c>
      <c r="W22" s="118">
        <f>T22-V22</f>
        <v>62764049875.628128</v>
      </c>
      <c r="X22" s="118">
        <f>T22*(1-$O$5)</f>
        <v>117260447510.25832</v>
      </c>
      <c r="Y22" s="118">
        <f t="shared" si="6"/>
        <v>-54496397634.630188</v>
      </c>
      <c r="Z22" s="118">
        <f>Y22*(1-$L$7)^A22</f>
        <v>-19093161890.282143</v>
      </c>
      <c r="AA22" s="116">
        <f>Y22*(1-$B$39)^A22</f>
        <v>-3.6610004761815775E-128</v>
      </c>
    </row>
    <row r="23" spans="1:27">
      <c r="A23" s="116">
        <v>10</v>
      </c>
      <c r="B23" s="116">
        <f t="shared" si="7"/>
        <v>172838174.10080445</v>
      </c>
      <c r="C23" s="116">
        <f t="shared" si="0"/>
        <v>17283817410.080444</v>
      </c>
      <c r="D23" s="116">
        <f t="shared" si="1"/>
        <v>18493684628.786076</v>
      </c>
      <c r="E23" s="116">
        <f t="shared" si="2"/>
        <v>18771089898.217865</v>
      </c>
      <c r="F23" s="116">
        <f t="shared" si="8"/>
        <v>143054690.13620213</v>
      </c>
      <c r="G23" s="118">
        <f t="shared" si="3"/>
        <v>14305469013.620213</v>
      </c>
      <c r="H23" s="118">
        <f t="shared" si="4"/>
        <v>15306851844.573627</v>
      </c>
      <c r="I23" s="125">
        <f t="shared" si="5"/>
        <v>15536454622.242229</v>
      </c>
      <c r="J23" s="121">
        <f t="shared" si="9"/>
        <v>6024294624.9012699</v>
      </c>
      <c r="K23" s="124">
        <f t="shared" si="9"/>
        <v>8526828704.7548132</v>
      </c>
      <c r="L23" s="116">
        <f t="shared" si="10"/>
        <v>1998009750.4875882</v>
      </c>
      <c r="M23" s="118">
        <f>L23*$O$6</f>
        <v>99900487524.37941</v>
      </c>
      <c r="N23" s="124">
        <f>L23*$L$6</f>
        <v>57542680814.042542</v>
      </c>
      <c r="O23" s="123">
        <f t="shared" si="11"/>
        <v>571694987.69711769</v>
      </c>
      <c r="P23" s="116">
        <v>30000000</v>
      </c>
      <c r="Q23" s="123">
        <f t="shared" si="12"/>
        <v>114338997.53942353</v>
      </c>
      <c r="R23" s="116">
        <f>S23*$O$4</f>
        <v>6710401602.2419758</v>
      </c>
      <c r="S23" s="118">
        <f>E23+I23+M23</f>
        <v>134208032044.83951</v>
      </c>
      <c r="T23" s="118">
        <f>S23+R23</f>
        <v>140918433647.08148</v>
      </c>
      <c r="U23" s="124">
        <f>J23+K23+N23+O23+Q23</f>
        <v>72779838128.935165</v>
      </c>
      <c r="V23" s="124">
        <f>U23-P23</f>
        <v>72749838128.935165</v>
      </c>
      <c r="W23" s="118">
        <f>T23-V23</f>
        <v>68168595518.146317</v>
      </c>
      <c r="X23" s="118">
        <f>T23*(1-$O$5)</f>
        <v>126826590282.37334</v>
      </c>
      <c r="Y23" s="118">
        <f t="shared" si="6"/>
        <v>-58657994764.22702</v>
      </c>
      <c r="Z23" s="118">
        <f>Y23*(1-$L$7)^A23</f>
        <v>-18290571643.915504</v>
      </c>
      <c r="AA23" s="116">
        <f>Y23*(1-$B$39)^A23</f>
        <v>-1.7499652462422514E-143</v>
      </c>
    </row>
    <row r="24" spans="1:27">
      <c r="A24" s="116">
        <v>11</v>
      </c>
      <c r="B24" s="116">
        <f t="shared" si="7"/>
        <v>190121991.51088491</v>
      </c>
      <c r="C24" s="116">
        <f t="shared" si="0"/>
        <v>19012199151.08849</v>
      </c>
      <c r="D24" s="116">
        <f t="shared" si="1"/>
        <v>20343053091.664684</v>
      </c>
      <c r="E24" s="116">
        <f t="shared" si="2"/>
        <v>20648198888.039654</v>
      </c>
      <c r="F24" s="116">
        <f t="shared" si="8"/>
        <v>153068518.44573629</v>
      </c>
      <c r="G24" s="118">
        <f t="shared" si="3"/>
        <v>15306851844.573629</v>
      </c>
      <c r="H24" s="118">
        <f t="shared" si="4"/>
        <v>16378331473.693785</v>
      </c>
      <c r="I24" s="125">
        <f t="shared" si="5"/>
        <v>16624006445.799191</v>
      </c>
      <c r="J24" s="121">
        <f t="shared" si="9"/>
        <v>6445995248.6443596</v>
      </c>
      <c r="K24" s="124">
        <f t="shared" si="9"/>
        <v>9123706714.0876503</v>
      </c>
      <c r="L24" s="116">
        <f t="shared" si="10"/>
        <v>2157850530.5265956</v>
      </c>
      <c r="M24" s="118">
        <f>L24*$O$6</f>
        <v>107892526526.32977</v>
      </c>
      <c r="N24" s="124">
        <f>L24*$L$6</f>
        <v>62146095279.165955</v>
      </c>
      <c r="O24" s="123">
        <f t="shared" si="11"/>
        <v>580270412.51257443</v>
      </c>
      <c r="P24" s="116">
        <v>30000000</v>
      </c>
      <c r="Q24" s="123">
        <f t="shared" si="12"/>
        <v>116054082.50251487</v>
      </c>
      <c r="R24" s="116">
        <f>S24*$O$4</f>
        <v>7258236593.0084305</v>
      </c>
      <c r="S24" s="118">
        <f>E24+I24+M24</f>
        <v>145164731860.16861</v>
      </c>
      <c r="T24" s="118">
        <f>S24+R24</f>
        <v>152422968453.17703</v>
      </c>
      <c r="U24" s="124">
        <f>J24+K24+N24+O24+Q24</f>
        <v>78412121736.913055</v>
      </c>
      <c r="V24" s="124">
        <f>U24-P24</f>
        <v>78382121736.913055</v>
      </c>
      <c r="W24" s="118">
        <f>T24-V24</f>
        <v>74040846716.263977</v>
      </c>
      <c r="X24" s="118">
        <f>T24*(1-$O$5)</f>
        <v>137180671607.85933</v>
      </c>
      <c r="Y24" s="118">
        <f t="shared" si="6"/>
        <v>-63139824891.595352</v>
      </c>
      <c r="Z24" s="118">
        <f>Y24*(1-$L$7)^A24</f>
        <v>-17522394192.151825</v>
      </c>
      <c r="AA24" s="116">
        <f>Y24*(1-$B$39)^A24</f>
        <v>-8.3651899229734691E-159</v>
      </c>
    </row>
    <row r="25" spans="1:27">
      <c r="A25" s="116">
        <v>12</v>
      </c>
      <c r="B25" s="116">
        <f t="shared" si="7"/>
        <v>209134190.66197342</v>
      </c>
      <c r="C25" s="116">
        <f t="shared" si="0"/>
        <v>20913419066.197342</v>
      </c>
      <c r="D25" s="116">
        <f t="shared" si="1"/>
        <v>22377358400.831158</v>
      </c>
      <c r="E25" s="116">
        <f t="shared" si="2"/>
        <v>22713018776.843624</v>
      </c>
      <c r="F25" s="116">
        <f t="shared" si="8"/>
        <v>163783314.73693785</v>
      </c>
      <c r="G25" s="118">
        <f t="shared" si="3"/>
        <v>16378331473.693785</v>
      </c>
      <c r="H25" s="118">
        <f t="shared" si="4"/>
        <v>17524814676.852352</v>
      </c>
      <c r="I25" s="125">
        <f t="shared" si="5"/>
        <v>17787686897.005135</v>
      </c>
      <c r="J25" s="121">
        <f t="shared" si="9"/>
        <v>6897214916.0494652</v>
      </c>
      <c r="K25" s="124">
        <f t="shared" si="9"/>
        <v>9762366184.0737858</v>
      </c>
      <c r="L25" s="116">
        <f t="shared" si="10"/>
        <v>2330478572.9687233</v>
      </c>
      <c r="M25" s="118">
        <f>L25*$O$6</f>
        <v>116523928648.43616</v>
      </c>
      <c r="N25" s="124">
        <f>L25*$L$6</f>
        <v>67117782901.499229</v>
      </c>
      <c r="O25" s="123">
        <f t="shared" si="11"/>
        <v>588974468.70026302</v>
      </c>
      <c r="P25" s="116">
        <v>30000000</v>
      </c>
      <c r="Q25" s="123">
        <f t="shared" si="12"/>
        <v>117794893.74005258</v>
      </c>
      <c r="R25" s="116">
        <f>S25*$O$4</f>
        <v>7851231716.1142464</v>
      </c>
      <c r="S25" s="118">
        <f>E25+I25+M25</f>
        <v>157024634322.28491</v>
      </c>
      <c r="T25" s="118">
        <f>S25+R25</f>
        <v>164875866038.39917</v>
      </c>
      <c r="U25" s="124">
        <f>J25+K25+N25+O25+Q25</f>
        <v>84484133364.06279</v>
      </c>
      <c r="V25" s="124">
        <f>U25-P25</f>
        <v>84454133364.06279</v>
      </c>
      <c r="W25" s="118">
        <f>T25-V25</f>
        <v>80421732674.33638</v>
      </c>
      <c r="X25" s="118">
        <f>T25*(1-$O$5)</f>
        <v>148388279434.55927</v>
      </c>
      <c r="Y25" s="118">
        <f t="shared" si="6"/>
        <v>-67966546760.222885</v>
      </c>
      <c r="Z25" s="118">
        <f>Y25*(1-$L$7)^A25</f>
        <v>-16787084813.244719</v>
      </c>
      <c r="AA25" s="116">
        <f>Y25*(1-$B$39)^A25</f>
        <v>-3.9988752734351856E-174</v>
      </c>
    </row>
    <row r="26" spans="1:27">
      <c r="A26" s="116">
        <v>13</v>
      </c>
      <c r="B26" s="116">
        <f t="shared" si="7"/>
        <v>230047609.72817078</v>
      </c>
      <c r="C26" s="116">
        <f t="shared" si="0"/>
        <v>23004760972.817078</v>
      </c>
      <c r="D26" s="116">
        <f t="shared" si="1"/>
        <v>24615094240.914276</v>
      </c>
      <c r="E26" s="116">
        <f t="shared" si="2"/>
        <v>24984320654.527988</v>
      </c>
      <c r="F26" s="116">
        <f t="shared" si="8"/>
        <v>175248146.76852351</v>
      </c>
      <c r="G26" s="118">
        <f t="shared" si="3"/>
        <v>17524814676.852352</v>
      </c>
      <c r="H26" s="118">
        <f t="shared" si="4"/>
        <v>18751551704.232018</v>
      </c>
      <c r="I26" s="125">
        <f t="shared" si="5"/>
        <v>19032824979.795494</v>
      </c>
      <c r="J26" s="121">
        <f t="shared" si="9"/>
        <v>7380019960.1729279</v>
      </c>
      <c r="K26" s="124">
        <f t="shared" si="9"/>
        <v>10445731816.958952</v>
      </c>
      <c r="L26" s="116">
        <f t="shared" si="10"/>
        <v>2516916858.8062215</v>
      </c>
      <c r="M26" s="118">
        <f>L26*$O$6</f>
        <v>125845842940.31108</v>
      </c>
      <c r="N26" s="124">
        <f>L26*$L$6</f>
        <v>72487205533.619186</v>
      </c>
      <c r="O26" s="123">
        <f t="shared" si="11"/>
        <v>597809085.73076689</v>
      </c>
      <c r="P26" s="116">
        <v>30000000</v>
      </c>
      <c r="Q26" s="123">
        <f t="shared" si="12"/>
        <v>119561817.14615336</v>
      </c>
      <c r="R26" s="116">
        <f>S26*$O$4</f>
        <v>8493149428.7317295</v>
      </c>
      <c r="S26" s="118">
        <f>E26+I26+M26</f>
        <v>169862988574.63458</v>
      </c>
      <c r="T26" s="118">
        <f>S26+R26</f>
        <v>178356138003.3663</v>
      </c>
      <c r="U26" s="124">
        <f>J26+K26+N26+O26+Q26</f>
        <v>91030328213.627991</v>
      </c>
      <c r="V26" s="124">
        <f>U26-P26</f>
        <v>91000328213.627991</v>
      </c>
      <c r="W26" s="118">
        <f>T26-V26</f>
        <v>87355809789.738312</v>
      </c>
      <c r="X26" s="118">
        <f>T26*(1-$O$5)</f>
        <v>160520524203.02966</v>
      </c>
      <c r="Y26" s="118">
        <f t="shared" si="6"/>
        <v>-73164714413.291351</v>
      </c>
      <c r="Z26" s="118">
        <f>Y26*(1-$L$7)^A26</f>
        <v>-16083174282.31163</v>
      </c>
      <c r="AA26" s="116">
        <f>Y26*(1-$B$39)^A26</f>
        <v>-1.9116771825382929E-189</v>
      </c>
    </row>
    <row r="27" spans="1:27">
      <c r="A27" s="116">
        <v>14</v>
      </c>
      <c r="B27" s="116">
        <f t="shared" si="7"/>
        <v>253052370.70098788</v>
      </c>
      <c r="C27" s="116">
        <f t="shared" si="0"/>
        <v>25305237070.098789</v>
      </c>
      <c r="D27" s="116">
        <f t="shared" si="1"/>
        <v>27076603665.005707</v>
      </c>
      <c r="E27" s="116">
        <f t="shared" si="2"/>
        <v>27482752719.980789</v>
      </c>
      <c r="F27" s="116">
        <f t="shared" si="8"/>
        <v>187515517.04232016</v>
      </c>
      <c r="G27" s="118">
        <f t="shared" si="3"/>
        <v>18751551704.232018</v>
      </c>
      <c r="H27" s="118">
        <f t="shared" si="4"/>
        <v>20064160323.528259</v>
      </c>
      <c r="I27" s="125">
        <f t="shared" si="5"/>
        <v>20365122728.38118</v>
      </c>
      <c r="J27" s="121">
        <f t="shared" si="9"/>
        <v>7896621357.3850336</v>
      </c>
      <c r="K27" s="124">
        <f t="shared" si="9"/>
        <v>11176933044.14608</v>
      </c>
      <c r="L27" s="116">
        <f t="shared" si="10"/>
        <v>2718270207.5107193</v>
      </c>
      <c r="M27" s="118">
        <f>L27*$O$6</f>
        <v>135913510375.53596</v>
      </c>
      <c r="N27" s="124">
        <f>L27*$L$6</f>
        <v>78286181976.308716</v>
      </c>
      <c r="O27" s="123">
        <f t="shared" si="11"/>
        <v>606776222.01672828</v>
      </c>
      <c r="P27" s="116">
        <v>30000000</v>
      </c>
      <c r="Q27" s="123">
        <f t="shared" si="12"/>
        <v>121355244.40334564</v>
      </c>
      <c r="R27" s="116">
        <f>S27*$O$4</f>
        <v>9188069291.1948986</v>
      </c>
      <c r="S27" s="118">
        <f>E27+I27+M27</f>
        <v>183761385823.89795</v>
      </c>
      <c r="T27" s="118">
        <f>S27+R27</f>
        <v>192949455115.09283</v>
      </c>
      <c r="U27" s="124">
        <f>J27+K27+N27+O27+Q27</f>
        <v>98087867844.259903</v>
      </c>
      <c r="V27" s="124">
        <f>U27-P27</f>
        <v>98057867844.259903</v>
      </c>
      <c r="W27" s="118">
        <f>T27-V27</f>
        <v>94891587270.832932</v>
      </c>
      <c r="X27" s="118">
        <f>T27*(1-$O$5)</f>
        <v>173654509603.58356</v>
      </c>
      <c r="Y27" s="118">
        <f t="shared" si="6"/>
        <v>-78762922332.750626</v>
      </c>
      <c r="Z27" s="118">
        <f>Y27*(1-$L$7)^A27</f>
        <v>-15409264659.170116</v>
      </c>
      <c r="AA27" s="116">
        <f>Y27*(1-$B$39)^A27</f>
        <v>-9.1391313100313056E-205</v>
      </c>
    </row>
    <row r="28" spans="1:27">
      <c r="A28" s="116">
        <v>15</v>
      </c>
      <c r="B28" s="116">
        <f t="shared" si="7"/>
        <v>278357607.77108669</v>
      </c>
      <c r="C28" s="116">
        <f t="shared" si="0"/>
        <v>27835760777.108669</v>
      </c>
      <c r="D28" s="116">
        <f t="shared" si="1"/>
        <v>29784264031.506279</v>
      </c>
      <c r="E28" s="116">
        <f t="shared" si="2"/>
        <v>30231027991.97887</v>
      </c>
      <c r="F28" s="116">
        <f t="shared" si="8"/>
        <v>200641603.2352826</v>
      </c>
      <c r="G28" s="118">
        <f t="shared" si="3"/>
        <v>20064160323.528259</v>
      </c>
      <c r="H28" s="118">
        <f t="shared" si="4"/>
        <v>21468651546.17524</v>
      </c>
      <c r="I28" s="125">
        <f t="shared" si="5"/>
        <v>21790681319.367867</v>
      </c>
      <c r="J28" s="121">
        <f t="shared" si="9"/>
        <v>8449384852.4019861</v>
      </c>
      <c r="K28" s="124">
        <f t="shared" si="9"/>
        <v>11959318357.236307</v>
      </c>
      <c r="L28" s="116">
        <f t="shared" si="10"/>
        <v>2935731824.111577</v>
      </c>
      <c r="M28" s="118">
        <f>L28*$O$6</f>
        <v>146786591205.57886</v>
      </c>
      <c r="N28" s="124">
        <f>L28*$L$6</f>
        <v>84549076534.413422</v>
      </c>
      <c r="O28" s="123">
        <f t="shared" si="11"/>
        <v>615877865.34697914</v>
      </c>
      <c r="P28" s="116">
        <v>30000000</v>
      </c>
      <c r="Q28" s="123">
        <f t="shared" si="12"/>
        <v>123175573.06939581</v>
      </c>
      <c r="R28" s="116">
        <f>S28*$O$4</f>
        <v>9940415025.8462811</v>
      </c>
      <c r="S28" s="118">
        <f>E28+I28+M28</f>
        <v>198808300516.9256</v>
      </c>
      <c r="T28" s="118">
        <f>S28+R28</f>
        <v>208748715542.77188</v>
      </c>
      <c r="U28" s="124">
        <f>J28+K28+N28+O28+Q28</f>
        <v>105696833182.46809</v>
      </c>
      <c r="V28" s="124">
        <f>U28-P28</f>
        <v>105666833182.46809</v>
      </c>
      <c r="W28" s="118">
        <f>T28-V28</f>
        <v>103081882360.30379</v>
      </c>
      <c r="X28" s="118">
        <f>T28*(1-$O$5)</f>
        <v>187873843988.49469</v>
      </c>
      <c r="Y28" s="118">
        <f t="shared" si="6"/>
        <v>-84791961628.190903</v>
      </c>
      <c r="Z28" s="118">
        <f>Y28*(1-$L$7)^A28</f>
        <v>-14764025352.428688</v>
      </c>
      <c r="AA28" s="116">
        <f>Y28*(1-$B$39)^A28</f>
        <v>-4.3692611145051934E-220</v>
      </c>
    </row>
    <row r="29" spans="1:27">
      <c r="A29" s="116">
        <v>16</v>
      </c>
      <c r="B29" s="116">
        <f t="shared" si="7"/>
        <v>306193368.54819536</v>
      </c>
      <c r="C29" s="116">
        <f t="shared" si="0"/>
        <v>30619336854.819534</v>
      </c>
      <c r="D29" s="116">
        <f t="shared" si="1"/>
        <v>32762690434.656902</v>
      </c>
      <c r="E29" s="116">
        <f t="shared" si="2"/>
        <v>33254130791.176754</v>
      </c>
      <c r="F29" s="116">
        <f t="shared" si="8"/>
        <v>214686515.46175238</v>
      </c>
      <c r="G29" s="118">
        <f t="shared" si="3"/>
        <v>21468651546.17524</v>
      </c>
      <c r="H29" s="118">
        <f t="shared" si="4"/>
        <v>22971457154.407509</v>
      </c>
      <c r="I29" s="125">
        <f t="shared" si="5"/>
        <v>23316029011.723618</v>
      </c>
      <c r="J29" s="121">
        <f t="shared" si="9"/>
        <v>9040841792.0701256</v>
      </c>
      <c r="K29" s="124">
        <f t="shared" si="9"/>
        <v>12796470642.242849</v>
      </c>
      <c r="L29" s="116">
        <f t="shared" si="10"/>
        <v>3170590370.0405035</v>
      </c>
      <c r="M29" s="118">
        <f>L29*$O$6</f>
        <v>158529518502.02518</v>
      </c>
      <c r="N29" s="124">
        <f>L29*$L$6</f>
        <v>91313002657.166504</v>
      </c>
      <c r="O29" s="123">
        <f t="shared" si="11"/>
        <v>625116033.32718372</v>
      </c>
      <c r="P29" s="116">
        <v>30000000</v>
      </c>
      <c r="Q29" s="123">
        <f t="shared" si="12"/>
        <v>125023206.66543673</v>
      </c>
      <c r="R29" s="116">
        <f>S29*$O$4</f>
        <v>10754983915.246277</v>
      </c>
      <c r="S29" s="118">
        <f>E29+I29+M29</f>
        <v>215099678304.92554</v>
      </c>
      <c r="T29" s="118">
        <f>S29+R29</f>
        <v>225854662220.17181</v>
      </c>
      <c r="U29" s="124">
        <f>J29+K29+N29+O29+Q29</f>
        <v>113900454331.47209</v>
      </c>
      <c r="V29" s="124">
        <f>U29-P29</f>
        <v>113870454331.47209</v>
      </c>
      <c r="W29" s="118">
        <f>T29-V29</f>
        <v>111984207888.69972</v>
      </c>
      <c r="X29" s="118">
        <f>T29*(1-$O$5)</f>
        <v>203269195998.15463</v>
      </c>
      <c r="Y29" s="118">
        <f t="shared" si="6"/>
        <v>-91284988109.45491</v>
      </c>
      <c r="Z29" s="118">
        <f>Y29*(1-$L$7)^A29</f>
        <v>-14146189438.828762</v>
      </c>
      <c r="AA29" s="116">
        <f>Y29*(1-$B$39)^A29</f>
        <v>-2.088925259769441E-235</v>
      </c>
    </row>
    <row r="30" spans="1:27">
      <c r="A30" s="116">
        <v>17</v>
      </c>
      <c r="B30" s="116">
        <f t="shared" si="7"/>
        <v>336812705.4030149</v>
      </c>
      <c r="C30" s="116">
        <f t="shared" si="0"/>
        <v>33681270540.301491</v>
      </c>
      <c r="D30" s="116">
        <f t="shared" si="1"/>
        <v>36038959478.122597</v>
      </c>
      <c r="E30" s="116">
        <f t="shared" si="2"/>
        <v>36579543870.294434</v>
      </c>
      <c r="F30" s="116">
        <f t="shared" si="8"/>
        <v>229714571.54407507</v>
      </c>
      <c r="G30" s="118">
        <f t="shared" si="3"/>
        <v>22971457154.407509</v>
      </c>
      <c r="H30" s="118">
        <f t="shared" si="4"/>
        <v>24579459155.216038</v>
      </c>
      <c r="I30" s="125">
        <f t="shared" si="5"/>
        <v>24948151042.544277</v>
      </c>
      <c r="J30" s="121">
        <f t="shared" si="9"/>
        <v>9673700717.5150356</v>
      </c>
      <c r="K30" s="124">
        <f t="shared" si="9"/>
        <v>13692223587.19985</v>
      </c>
      <c r="L30" s="116">
        <f t="shared" si="10"/>
        <v>3424237599.643744</v>
      </c>
      <c r="M30" s="118">
        <f>L30*$O$6</f>
        <v>171211879982.18719</v>
      </c>
      <c r="N30" s="124">
        <f>L30*$L$6</f>
        <v>98618042869.739822</v>
      </c>
      <c r="O30" s="123">
        <f t="shared" si="11"/>
        <v>634492773.82709146</v>
      </c>
      <c r="P30" s="116">
        <v>30000000</v>
      </c>
      <c r="Q30" s="123">
        <f t="shared" si="12"/>
        <v>126898554.76541826</v>
      </c>
      <c r="R30" s="116">
        <f>S30*$O$4</f>
        <v>11636978744.751297</v>
      </c>
      <c r="S30" s="118">
        <f>E30+I30+M30</f>
        <v>232739574895.02591</v>
      </c>
      <c r="T30" s="118">
        <f>S30+R30</f>
        <v>244376553639.77722</v>
      </c>
      <c r="U30" s="124">
        <f>J30+K30+N30+O30+Q30</f>
        <v>122745358503.04721</v>
      </c>
      <c r="V30" s="124">
        <f>U30-P30</f>
        <v>122715358503.04721</v>
      </c>
      <c r="W30" s="118">
        <f>T30-V30</f>
        <v>121661195136.73001</v>
      </c>
      <c r="X30" s="118">
        <f>T30*(1-$O$5)</f>
        <v>219938898275.7995</v>
      </c>
      <c r="Y30" s="118">
        <f t="shared" si="6"/>
        <v>-98277703139.069489</v>
      </c>
      <c r="Z30" s="118">
        <f>Y30*(1-$L$7)^A30</f>
        <v>-13554550218.603666</v>
      </c>
      <c r="AA30" s="116">
        <f>Y30*(1-$B$39)^A30</f>
        <v>-9.9873152198102508E-251</v>
      </c>
    </row>
    <row r="31" spans="1:27">
      <c r="A31" s="116">
        <v>18</v>
      </c>
      <c r="B31" s="116">
        <f t="shared" si="7"/>
        <v>370493975.9433164</v>
      </c>
      <c r="C31" s="116">
        <f t="shared" si="0"/>
        <v>37049397594.331642</v>
      </c>
      <c r="D31" s="116">
        <f t="shared" si="1"/>
        <v>39642855425.93486</v>
      </c>
      <c r="E31" s="116">
        <f t="shared" si="2"/>
        <v>40237498257.323883</v>
      </c>
      <c r="F31" s="116">
        <f t="shared" si="8"/>
        <v>245794591.55216035</v>
      </c>
      <c r="G31" s="118">
        <f t="shared" si="3"/>
        <v>24579459155.216034</v>
      </c>
      <c r="H31" s="118">
        <f t="shared" si="4"/>
        <v>26300021296.081158</v>
      </c>
      <c r="I31" s="125">
        <f t="shared" si="5"/>
        <v>26694521615.522373</v>
      </c>
      <c r="J31" s="121">
        <f t="shared" si="9"/>
        <v>10350859767.741089</v>
      </c>
      <c r="K31" s="124">
        <f t="shared" si="9"/>
        <v>14650679238.303841</v>
      </c>
      <c r="L31" s="116">
        <f t="shared" si="10"/>
        <v>3698176607.6152439</v>
      </c>
      <c r="M31" s="118">
        <f>L31*$O$6</f>
        <v>184908830380.76221</v>
      </c>
      <c r="N31" s="124">
        <f>L31*$L$6</f>
        <v>106507486299.31903</v>
      </c>
      <c r="O31" s="123">
        <f t="shared" si="11"/>
        <v>644010165.43449771</v>
      </c>
      <c r="P31" s="116">
        <v>30000000</v>
      </c>
      <c r="Q31" s="123">
        <f t="shared" si="12"/>
        <v>128802033.08689952</v>
      </c>
      <c r="R31" s="116">
        <f>S31*$O$4</f>
        <v>12592042512.680424</v>
      </c>
      <c r="S31" s="118">
        <f>E31+I31+M31</f>
        <v>251840850253.60846</v>
      </c>
      <c r="T31" s="118">
        <f>S31+R31</f>
        <v>264432892766.28888</v>
      </c>
      <c r="U31" s="124">
        <f>J31+K31+N31+O31+Q31</f>
        <v>132281837503.88535</v>
      </c>
      <c r="V31" s="124">
        <f>U31-P31</f>
        <v>132251837503.88535</v>
      </c>
      <c r="W31" s="118">
        <f>T31-V31</f>
        <v>132181055262.40353</v>
      </c>
      <c r="X31" s="118">
        <f>T31*(1-$O$5)</f>
        <v>237989603489.66</v>
      </c>
      <c r="Y31" s="118">
        <f t="shared" si="6"/>
        <v>-105808548227.25647</v>
      </c>
      <c r="Z31" s="118">
        <f>Y31*(1-$L$7)^A31</f>
        <v>-12987957989.232193</v>
      </c>
      <c r="AA31" s="116">
        <f>Y31*(1-$B$39)^A31</f>
        <v>-4.7751249044566491E-266</v>
      </c>
    </row>
    <row r="32" spans="1:27">
      <c r="A32" s="116">
        <v>19</v>
      </c>
      <c r="B32" s="116">
        <f t="shared" si="7"/>
        <v>407543373.53764808</v>
      </c>
      <c r="C32" s="116">
        <f t="shared" si="0"/>
        <v>40754337353.764809</v>
      </c>
      <c r="D32" s="116">
        <f t="shared" si="1"/>
        <v>43607140968.528351</v>
      </c>
      <c r="E32" s="116">
        <f t="shared" si="2"/>
        <v>44261248083.056274</v>
      </c>
      <c r="F32" s="116">
        <f t="shared" si="8"/>
        <v>263000212.96081159</v>
      </c>
      <c r="G32" s="118">
        <f t="shared" si="3"/>
        <v>26300021296.081158</v>
      </c>
      <c r="H32" s="118">
        <f t="shared" si="4"/>
        <v>28141022786.806839</v>
      </c>
      <c r="I32" s="125">
        <f t="shared" si="5"/>
        <v>28563138128.60894</v>
      </c>
      <c r="J32" s="121">
        <f t="shared" ref="J32:K33" si="13">J31*(1+$G$9)</f>
        <v>11075419951.482965</v>
      </c>
      <c r="K32" s="124">
        <f t="shared" si="13"/>
        <v>15676226784.985111</v>
      </c>
      <c r="L32" s="116">
        <f t="shared" si="10"/>
        <v>3994030736.2244635</v>
      </c>
      <c r="M32" s="118">
        <f>L32*$O$6</f>
        <v>199701536811.22318</v>
      </c>
      <c r="N32" s="124">
        <f>L32*$L$6</f>
        <v>115028085203.26456</v>
      </c>
      <c r="O32" s="123">
        <f t="shared" si="11"/>
        <v>653670317.91601515</v>
      </c>
      <c r="P32" s="116">
        <v>30000000</v>
      </c>
      <c r="Q32" s="123">
        <f t="shared" si="12"/>
        <v>130734063.583203</v>
      </c>
      <c r="R32" s="116">
        <f>S32*$O$4</f>
        <v>13626296151.144421</v>
      </c>
      <c r="S32" s="118">
        <f>E32+I32+M32</f>
        <v>272525923022.8884</v>
      </c>
      <c r="T32" s="118">
        <f>S32+R32</f>
        <v>286152219174.03284</v>
      </c>
      <c r="U32" s="124">
        <f>J32+K32+N32+O32+Q32</f>
        <v>142564136321.23184</v>
      </c>
      <c r="V32" s="124">
        <f>U32-P32</f>
        <v>142534136321.23184</v>
      </c>
      <c r="W32" s="118">
        <f>T32-V32</f>
        <v>143618082852.80099</v>
      </c>
      <c r="X32" s="118">
        <f>T32*(1-$O$5)</f>
        <v>257536997256.62955</v>
      </c>
      <c r="Y32" s="118">
        <f t="shared" si="6"/>
        <v>-113918914403.82855</v>
      </c>
      <c r="Z32" s="118">
        <f>Y32*(1-$L$7)^A32</f>
        <v>-12445317021.432329</v>
      </c>
      <c r="AA32" s="116">
        <f>Y32*(1-$B$39)^A32</f>
        <v>-2.2831268385472362E-281</v>
      </c>
    </row>
    <row r="33" spans="1:27">
      <c r="A33" s="116">
        <v>20</v>
      </c>
      <c r="B33" s="116">
        <f t="shared" si="7"/>
        <v>448297710.89141291</v>
      </c>
      <c r="C33" s="116">
        <f t="shared" si="0"/>
        <v>44829771089.141289</v>
      </c>
      <c r="D33" s="116">
        <f t="shared" si="1"/>
        <v>47967855065.38118</v>
      </c>
      <c r="E33" s="116">
        <f t="shared" si="2"/>
        <v>48687372891.361893</v>
      </c>
      <c r="F33" s="116">
        <f t="shared" si="8"/>
        <v>281410227.8680684</v>
      </c>
      <c r="G33" s="118">
        <f t="shared" si="3"/>
        <v>28141022786.806839</v>
      </c>
      <c r="H33" s="118">
        <f t="shared" si="4"/>
        <v>30110894381.88332</v>
      </c>
      <c r="I33" s="125">
        <f t="shared" si="5"/>
        <v>30562557797.611568</v>
      </c>
      <c r="J33" s="121">
        <f t="shared" si="13"/>
        <v>11850699348.086773</v>
      </c>
      <c r="K33" s="124">
        <f t="shared" si="13"/>
        <v>16773562659.934071</v>
      </c>
      <c r="L33" s="116">
        <f t="shared" si="10"/>
        <v>4313553195.1224213</v>
      </c>
      <c r="M33" s="118">
        <f>L33*$O$6</f>
        <v>215677659756.12106</v>
      </c>
      <c r="N33" s="124">
        <f>L33*$L$6</f>
        <v>124230332019.52574</v>
      </c>
      <c r="O33" s="123">
        <f t="shared" si="11"/>
        <v>663475372.68475533</v>
      </c>
      <c r="P33" s="116">
        <v>30000000</v>
      </c>
      <c r="Q33" s="123">
        <f t="shared" si="12"/>
        <v>132695074.53695104</v>
      </c>
      <c r="R33" s="116">
        <f>S33*$O$4</f>
        <v>14746379522.254728</v>
      </c>
      <c r="S33" s="118">
        <f>E33+I33+M33</f>
        <v>294927590445.09454</v>
      </c>
      <c r="T33" s="118">
        <f>S33+R33</f>
        <v>309673969967.34924</v>
      </c>
      <c r="U33" s="124">
        <f>J33+K33+N33+O33+Q33</f>
        <v>153650764474.76828</v>
      </c>
      <c r="V33" s="124">
        <f>U33-P33</f>
        <v>153620764474.76828</v>
      </c>
      <c r="W33" s="118">
        <f>T33-V33</f>
        <v>156053205492.58096</v>
      </c>
      <c r="X33" s="118">
        <f>T33*(1-$O$5)</f>
        <v>278706572970.61432</v>
      </c>
      <c r="Y33" s="118">
        <f t="shared" si="6"/>
        <v>-122653367478.03336</v>
      </c>
      <c r="Z33" s="118">
        <f>Y33*(1-$L$7)^A33</f>
        <v>-11925582722.578732</v>
      </c>
      <c r="AA33" s="116">
        <f>Y33*(1-$B$39)^A33</f>
        <v>-1.0916512065329975E-296</v>
      </c>
    </row>
    <row r="34" spans="1:27">
      <c r="Y34" s="118"/>
    </row>
    <row r="36" spans="1:27" ht="15" thickBot="1"/>
    <row r="37" spans="1:27" ht="43.2">
      <c r="A37" s="128" t="s">
        <v>92</v>
      </c>
      <c r="B37" s="153">
        <f>SUM(Z14:Z33)</f>
        <v>-369355240451.52588</v>
      </c>
    </row>
    <row r="38" spans="1:27" ht="43.2">
      <c r="A38" s="129" t="s">
        <v>93</v>
      </c>
      <c r="B38" s="154">
        <f>SUM(AA14:AA33)</f>
        <v>-1.3455863508374392E-5</v>
      </c>
    </row>
    <row r="39" spans="1:27" ht="15" thickBot="1">
      <c r="A39" s="130" t="s">
        <v>94</v>
      </c>
      <c r="B39" s="131">
        <v>0.99999999999999956</v>
      </c>
    </row>
  </sheetData>
  <mergeCells count="2">
    <mergeCell ref="B6:D6"/>
    <mergeCell ref="B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Q1.</vt:lpstr>
      <vt:lpstr>Q2.</vt:lpstr>
      <vt:lpstr>Q3.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Saloni Tayshete</dc:creator>
  <cp:lastModifiedBy>Saloni Tayshete</cp:lastModifiedBy>
  <dcterms:created xsi:type="dcterms:W3CDTF">2022-02-20T08:19:29Z</dcterms:created>
  <dcterms:modified xsi:type="dcterms:W3CDTF">2022-02-20T19:09:29Z</dcterms:modified>
</cp:coreProperties>
</file>