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hreadedComments/threadedComment1.xml" ContentType="application/vnd.ms-excel.threadedcomment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822"/>
  <workbookPr defaultThemeVersion="166925"/>
  <mc:AlternateContent xmlns:mc="http://schemas.openxmlformats.org/markup-compatibility/2006">
    <mc:Choice Requires="x15">
      <x15ac:absPath xmlns:x15ac="http://schemas.microsoft.com/office/spreadsheetml/2010/11/ac" url="https://dpsnmedu-my.sharepoint.com/personal/avantika_arvind_dpsnavimumbai_edu_in/Documents/"/>
    </mc:Choice>
  </mc:AlternateContent>
  <xr:revisionPtr revIDLastSave="0" documentId="8_{4FB46F11-5B9D-4896-805B-EB259064B55D}" xr6:coauthVersionLast="47" xr6:coauthVersionMax="47" xr10:uidLastSave="{00000000-0000-0000-0000-000000000000}"/>
  <bookViews>
    <workbookView xWindow="-120" yWindow="-120" windowWidth="20730" windowHeight="11160" firstSheet="11" activeTab="10" xr2:uid="{5770017F-F9BB-4668-BD3E-017284B75FC4}"/>
  </bookViews>
  <sheets>
    <sheet name="Group Details" sheetId="1" r:id="rId1"/>
    <sheet name="ESCORTS (Formulas)" sheetId="3" r:id="rId2"/>
    <sheet name="ESCORTS Ltd." sheetId="2" r:id="rId3"/>
    <sheet name="Toyota motors(formulas)" sheetId="5" r:id="rId4"/>
    <sheet name="toyota motors" sheetId="12" r:id="rId5"/>
    <sheet name="TATA MOTORS(Result)" sheetId="7" r:id="rId6"/>
    <sheet name="Tata Motors (calculations)" sheetId="6" r:id="rId7"/>
    <sheet name="Mahindra(result)" sheetId="9" r:id="rId8"/>
    <sheet name="Mahindra(calculations)" sheetId="8" r:id="rId9"/>
    <sheet name="MARUTI SUZUKI(Result)" sheetId="11" r:id="rId10"/>
    <sheet name="Maruti Suzuki(Calculations)" sheetId="10" r:id="rId11"/>
    <sheet name="Conclusions" sheetId="13" r:id="rId12"/>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5" i="11" l="1"/>
  <c r="A6" i="11" s="1"/>
  <c r="A7" i="11" s="1"/>
  <c r="A8" i="11" s="1"/>
  <c r="A9" i="11" s="1"/>
  <c r="A10" i="11" s="1"/>
  <c r="A11" i="11" s="1"/>
  <c r="A12" i="11" s="1"/>
  <c r="A13" i="11" s="1"/>
  <c r="D82" i="12"/>
  <c r="D83" i="12"/>
  <c r="D84" i="12"/>
  <c r="D85" i="12"/>
  <c r="D86" i="12"/>
  <c r="D87" i="12"/>
  <c r="D88" i="12"/>
  <c r="D89" i="12"/>
  <c r="D90" i="12"/>
  <c r="D91" i="12"/>
  <c r="D81" i="12"/>
  <c r="D63" i="12"/>
  <c r="D64" i="12"/>
  <c r="D65" i="12"/>
  <c r="D66" i="12"/>
  <c r="D67" i="12"/>
  <c r="D68" i="12"/>
  <c r="D69" i="12"/>
  <c r="D70" i="12"/>
  <c r="D71" i="12"/>
  <c r="D72" i="12"/>
  <c r="D62" i="12"/>
  <c r="C56" i="10"/>
  <c r="D56" i="10"/>
  <c r="E56" i="10"/>
  <c r="C57" i="10"/>
  <c r="D57" i="10"/>
  <c r="E57" i="10"/>
  <c r="A58" i="10"/>
  <c r="C58" i="10"/>
  <c r="D58" i="10"/>
  <c r="E58" i="10"/>
  <c r="A59" i="10"/>
  <c r="C59" i="10"/>
  <c r="D59" i="10"/>
  <c r="E59" i="10"/>
  <c r="A60" i="10"/>
  <c r="C60" i="10"/>
  <c r="D60" i="10"/>
  <c r="E60" i="10"/>
  <c r="A61" i="10"/>
  <c r="C61" i="10"/>
  <c r="D61" i="10"/>
  <c r="E61" i="10"/>
  <c r="A62" i="10"/>
  <c r="C62" i="10"/>
  <c r="D62" i="10"/>
  <c r="E62" i="10"/>
  <c r="A63" i="10"/>
  <c r="C63" i="10"/>
  <c r="D63" i="10"/>
  <c r="E63" i="10"/>
  <c r="A64" i="10"/>
  <c r="C64" i="10"/>
  <c r="D64" i="10"/>
  <c r="E64" i="10"/>
  <c r="A65" i="10"/>
  <c r="C65" i="10"/>
  <c r="D65" i="10"/>
  <c r="E65" i="10"/>
  <c r="A66" i="10"/>
  <c r="C66" i="10"/>
  <c r="D66" i="10"/>
  <c r="E66" i="10"/>
  <c r="A37" i="10"/>
  <c r="A38" i="10" s="1"/>
  <c r="A39" i="10" s="1"/>
  <c r="A40" i="10" s="1"/>
  <c r="A41" i="10" s="1"/>
  <c r="A42" i="10" s="1"/>
  <c r="A43" i="10" s="1"/>
  <c r="A44" i="10" s="1"/>
  <c r="A45" i="10" s="1"/>
  <c r="A46" i="10" s="1"/>
  <c r="F57" i="6"/>
  <c r="I57" i="6" s="1"/>
  <c r="F56" i="6"/>
  <c r="I56" i="6" s="1"/>
  <c r="F55" i="6"/>
  <c r="I55" i="6" s="1"/>
  <c r="F54" i="6"/>
  <c r="I54" i="6" s="1"/>
  <c r="F53" i="6"/>
  <c r="I53" i="6" s="1"/>
  <c r="F52" i="6"/>
  <c r="I52" i="6" s="1"/>
  <c r="F51" i="6"/>
  <c r="I51" i="6" s="1"/>
  <c r="F50" i="6"/>
  <c r="I50" i="6" s="1"/>
  <c r="F49" i="6"/>
  <c r="I49" i="6" s="1"/>
  <c r="F48" i="6"/>
  <c r="I48" i="6" s="1"/>
  <c r="D35" i="6"/>
  <c r="D36" i="6"/>
  <c r="D37" i="6"/>
  <c r="D38" i="6"/>
  <c r="D39" i="6"/>
  <c r="D40" i="6"/>
  <c r="D41" i="6"/>
  <c r="D42" i="6"/>
  <c r="D43" i="6"/>
  <c r="D34" i="6"/>
  <c r="D21" i="6"/>
  <c r="D22" i="6"/>
  <c r="D23" i="6"/>
  <c r="D24" i="6"/>
  <c r="D25" i="6"/>
  <c r="D26" i="6"/>
  <c r="D27" i="6"/>
  <c r="D28" i="6"/>
  <c r="D29" i="6"/>
  <c r="D20" i="6"/>
  <c r="D7" i="6"/>
  <c r="D8" i="6"/>
  <c r="D9" i="6"/>
  <c r="D10" i="6"/>
  <c r="D11" i="6"/>
  <c r="D12" i="6"/>
  <c r="D13" i="6"/>
  <c r="D14" i="6"/>
  <c r="D15" i="6"/>
  <c r="D6" i="6"/>
  <c r="E22" i="10"/>
  <c r="F22" i="10" s="1"/>
  <c r="E23" i="10"/>
  <c r="F23" i="10" s="1"/>
  <c r="E24" i="10"/>
  <c r="F24" i="10" s="1"/>
  <c r="E25" i="10"/>
  <c r="F25" i="10" s="1"/>
  <c r="E26" i="10"/>
  <c r="F26" i="10" s="1"/>
  <c r="E27" i="10"/>
  <c r="F27" i="10" s="1"/>
  <c r="E28" i="10"/>
  <c r="F28" i="10" s="1"/>
  <c r="E29" i="10"/>
  <c r="F29" i="10" s="1"/>
  <c r="E30" i="10"/>
  <c r="F30" i="10" s="1"/>
  <c r="E21" i="10"/>
  <c r="F21" i="10" s="1"/>
  <c r="A22" i="10"/>
  <c r="A23" i="10" s="1"/>
  <c r="A24" i="10" s="1"/>
  <c r="A25" i="10" s="1"/>
  <c r="A26" i="10" s="1"/>
  <c r="A27" i="10" s="1"/>
  <c r="A28" i="10" s="1"/>
  <c r="A29" i="10" s="1"/>
  <c r="D7" i="10"/>
  <c r="D8" i="10"/>
  <c r="D9" i="10"/>
  <c r="D10" i="10"/>
  <c r="D11" i="10"/>
  <c r="D12" i="10"/>
  <c r="D13" i="10"/>
  <c r="D14" i="10"/>
  <c r="D15" i="10"/>
  <c r="D6" i="10"/>
  <c r="A7" i="10"/>
  <c r="A8" i="10" s="1"/>
  <c r="A9" i="10" s="1"/>
  <c r="A10" i="10" s="1"/>
  <c r="A11" i="10" s="1"/>
  <c r="A12" i="10" s="1"/>
  <c r="A13" i="10" s="1"/>
  <c r="A14" i="10" s="1"/>
  <c r="A15" i="10" s="1"/>
  <c r="I66" i="10" l="1"/>
  <c r="I65" i="10"/>
  <c r="I64" i="10"/>
  <c r="I63" i="10"/>
  <c r="I62" i="10"/>
  <c r="I61" i="10"/>
  <c r="I60" i="10"/>
  <c r="I59" i="10"/>
  <c r="I58" i="10"/>
  <c r="I57" i="10"/>
  <c r="I56" i="1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tc={AFBA4F27-34A9-4A01-B5D8-4887A99B0C91}</author>
    <author>tc={6FE47B29-9428-4B3E-AB34-8E7D434F04FB}</author>
  </authors>
  <commentList>
    <comment ref="B80" authorId="0" shapeId="0" xr:uid="{AFBA4F27-34A9-4A01-B5D8-4887A99B0C91}">
      <text>
        <t>[Threaded comment]
Your version of Excel allows you to read this threaded comment; however, any edits to it will get removed if the file is opened in a newer version of Excel. Learn more: https://go.microsoft.com/fwlink/?linkid=870924
Comment:
    https://www.macrotrends.net/stocks/charts/TM/toyota/book-value-per-share</t>
      </text>
    </comment>
    <comment ref="C80" authorId="1" shapeId="0" xr:uid="{6FE47B29-9428-4B3E-AB34-8E7D434F04FB}">
      <text>
        <t xml:space="preserve">[Threaded comment]
Your version of Excel allows you to read this threaded comment; however, any edits to it will get removed if the file is opened in a newer version of Excel. Learn more: https://go.microsoft.com/fwlink/?linkid=870924
Comment:
    https://www.macrotrends.net/stocks/charts/TM/toyota/eps-earnings-per-share-diluted
</t>
      </text>
    </comment>
  </commentList>
</comments>
</file>

<file path=xl/sharedStrings.xml><?xml version="1.0" encoding="utf-8"?>
<sst xmlns="http://schemas.openxmlformats.org/spreadsheetml/2006/main" count="419" uniqueCount="263">
  <si>
    <t>Group Members</t>
  </si>
  <si>
    <t>Roll no.</t>
  </si>
  <si>
    <t>Companies</t>
  </si>
  <si>
    <t>Rishika Agarwal</t>
  </si>
  <si>
    <t>ESCORTS Ltd.</t>
  </si>
  <si>
    <t>Sanjana Anand</t>
  </si>
  <si>
    <t>TOYOTA MOTORS</t>
  </si>
  <si>
    <t>Avantika Arvind</t>
  </si>
  <si>
    <t>TATA MOTORS</t>
  </si>
  <si>
    <t>Tanisha Saran</t>
  </si>
  <si>
    <t>MAHINDRA &amp; MAHINDRA</t>
  </si>
  <si>
    <t>Prathamsingh Bais</t>
  </si>
  <si>
    <t>MARUTI SUZUKI</t>
  </si>
  <si>
    <t xml:space="preserve"> </t>
  </si>
  <si>
    <t>Formulas used for calculation for ESCORTS Ltd.</t>
  </si>
  <si>
    <t>Dividend yield :</t>
  </si>
  <si>
    <t>Dividend per share/Current share price</t>
  </si>
  <si>
    <t>Dividend payout :</t>
  </si>
  <si>
    <t>Dividend per share/ Earnings per share(EPS)</t>
  </si>
  <si>
    <t>Sales growth rate :</t>
  </si>
  <si>
    <t>(Current sales - Prior sales)/(Prior sales*100)</t>
  </si>
  <si>
    <t>Buyback amt. spent :</t>
  </si>
  <si>
    <t>The company has announced the first buyback in November 2021, which will be implemented in January 2022</t>
  </si>
  <si>
    <t>Free cashflow to equity :</t>
  </si>
  <si>
    <t>Free cash flow/ Equity share capital</t>
  </si>
  <si>
    <t xml:space="preserve"> ESCORTS Ltd. </t>
  </si>
  <si>
    <t>Year</t>
  </si>
  <si>
    <t>Dividend yield</t>
  </si>
  <si>
    <t>Dividend payout</t>
  </si>
  <si>
    <t>Sales Growth</t>
  </si>
  <si>
    <t>Free cash flow to equity</t>
  </si>
  <si>
    <t xml:space="preserve"> Buy back </t>
  </si>
  <si>
    <t>Dividend</t>
  </si>
  <si>
    <t xml:space="preserve"> Sales(in Cr.) </t>
  </si>
  <si>
    <t xml:space="preserve"> EPS </t>
  </si>
  <si>
    <t xml:space="preserve"> Free cash flow (in Cr.) </t>
  </si>
  <si>
    <t xml:space="preserve"> Equiy share capital </t>
  </si>
  <si>
    <t xml:space="preserve"> ₹                            -  </t>
  </si>
  <si>
    <t>₹ 7.50</t>
  </si>
  <si>
    <t xml:space="preserve"> ₹           7,014.00</t>
  </si>
  <si>
    <t xml:space="preserve"> ₹       68.14</t>
  </si>
  <si>
    <t xml:space="preserve"> ₹                                1,013.10</t>
  </si>
  <si>
    <t xml:space="preserve"> ₹                           134.83</t>
  </si>
  <si>
    <t>₹ 2.50</t>
  </si>
  <si>
    <t xml:space="preserve"> ₹           5,810.00</t>
  </si>
  <si>
    <t xml:space="preserve"> ₹       40.63</t>
  </si>
  <si>
    <t xml:space="preserve"> ₹                                    607.01</t>
  </si>
  <si>
    <t xml:space="preserve"> ₹                           122.58</t>
  </si>
  <si>
    <t xml:space="preserve"> ₹           6,262.00</t>
  </si>
  <si>
    <t xml:space="preserve"> ₹       40.48</t>
  </si>
  <si>
    <t xml:space="preserve"> ₹                                  -387.25</t>
  </si>
  <si>
    <t>₹ 2.00</t>
  </si>
  <si>
    <t xml:space="preserve"> ₹           5,059.00</t>
  </si>
  <si>
    <t xml:space="preserve"> ₹       28.85</t>
  </si>
  <si>
    <t xml:space="preserve"> ₹                                    354.14</t>
  </si>
  <si>
    <t>₹ 1.50</t>
  </si>
  <si>
    <t xml:space="preserve"> ₹           4,145.00</t>
  </si>
  <si>
    <t xml:space="preserve"> ₹       13.43</t>
  </si>
  <si>
    <t xml:space="preserve"> ₹                                    238.44</t>
  </si>
  <si>
    <t>₹ 1.20</t>
  </si>
  <si>
    <t xml:space="preserve"> ₹           3,432.00</t>
  </si>
  <si>
    <t xml:space="preserve"> ₹         7.49</t>
  </si>
  <si>
    <t xml:space="preserve"> ₹                                    160.24</t>
  </si>
  <si>
    <t xml:space="preserve"> ₹                   119.39</t>
  </si>
  <si>
    <t xml:space="preserve"> ₹           4,113.00</t>
  </si>
  <si>
    <t xml:space="preserve"> ₹         6.26</t>
  </si>
  <si>
    <t xml:space="preserve"> ₹                                    -65.01</t>
  </si>
  <si>
    <t xml:space="preserve"> ₹                   119.29</t>
  </si>
  <si>
    <t>₹ 0.60</t>
  </si>
  <si>
    <t xml:space="preserve"> ₹           6,502.00</t>
  </si>
  <si>
    <t xml:space="preserve"> ₹       20.53</t>
  </si>
  <si>
    <t xml:space="preserve"> ₹                                    217.99</t>
  </si>
  <si>
    <t xml:space="preserve"> ₹                                     -  </t>
  </si>
  <si>
    <t xml:space="preserve"> ₹                        -  </t>
  </si>
  <si>
    <t xml:space="preserve"> ₹                  -  </t>
  </si>
  <si>
    <t xml:space="preserve"> ₹                                             -  </t>
  </si>
  <si>
    <t xml:space="preserve"> ₹                   119.26</t>
  </si>
  <si>
    <t xml:space="preserve"> ₹           4,049.00</t>
  </si>
  <si>
    <t xml:space="preserve"> ₹         5.84</t>
  </si>
  <si>
    <t xml:space="preserve"> ₹                                    -49.68</t>
  </si>
  <si>
    <t xml:space="preserve"> ₹                   119.27</t>
  </si>
  <si>
    <t>₹ 0.00</t>
  </si>
  <si>
    <t xml:space="preserve"> ₹           4,101.00</t>
  </si>
  <si>
    <t xml:space="preserve"> ₹       11.74</t>
  </si>
  <si>
    <t xml:space="preserve"> ₹                                    100.16</t>
  </si>
  <si>
    <t xml:space="preserve"> ₹                   102.31</t>
  </si>
  <si>
    <t xml:space="preserve"> ₹           3,324.00</t>
  </si>
  <si>
    <t>Current share price</t>
  </si>
  <si>
    <t xml:space="preserve"> ₹   1,908.70</t>
  </si>
  <si>
    <t xml:space="preserve">No buybacks in the last 10 years </t>
  </si>
  <si>
    <t xml:space="preserve">DIVIDEND YIELD </t>
  </si>
  <si>
    <t>Payment Date</t>
  </si>
  <si>
    <t>Yield</t>
  </si>
  <si>
    <t xml:space="preserve">DIVIDEND PAYOUT </t>
  </si>
  <si>
    <t xml:space="preserve">Payout date </t>
  </si>
  <si>
    <t xml:space="preserve">Payout growth </t>
  </si>
  <si>
    <t xml:space="preserve">Payout amount </t>
  </si>
  <si>
    <t>SALES GROWTH RATE</t>
  </si>
  <si>
    <t xml:space="preserve">Year </t>
  </si>
  <si>
    <t xml:space="preserve">Previous year's sales </t>
  </si>
  <si>
    <t>Current year's sales</t>
  </si>
  <si>
    <t xml:space="preserve">Sales growth rate </t>
  </si>
  <si>
    <t>2021-2020</t>
  </si>
  <si>
    <t>2020-2019</t>
  </si>
  <si>
    <t>2019-2018</t>
  </si>
  <si>
    <t>2018-2017</t>
  </si>
  <si>
    <t>2017-2016</t>
  </si>
  <si>
    <t>2016-2015</t>
  </si>
  <si>
    <t>2015-2014</t>
  </si>
  <si>
    <t>2014-2013</t>
  </si>
  <si>
    <t>2013-2012</t>
  </si>
  <si>
    <t>2012-2011</t>
  </si>
  <si>
    <t>2011-2010</t>
  </si>
  <si>
    <t xml:space="preserve">BUYBACKS </t>
  </si>
  <si>
    <t xml:space="preserve">no buybcaks in the last 10 years </t>
  </si>
  <si>
    <t xml:space="preserve">FREE CASHFLOW TO EQUITY </t>
  </si>
  <si>
    <t xml:space="preserve">Free Cashflow </t>
  </si>
  <si>
    <t xml:space="preserve">EPS </t>
  </si>
  <si>
    <t xml:space="preserve">Free cashflow to equity </t>
  </si>
  <si>
    <t>Dividend Yield</t>
  </si>
  <si>
    <t>Sales growth rate</t>
  </si>
  <si>
    <t>Buyback Amount spent</t>
  </si>
  <si>
    <t>Free Cashflow to Equity (in Rs.Cr.)</t>
  </si>
  <si>
    <t>2011-2012</t>
  </si>
  <si>
    <t>No buyback of shares offered in the last 10 years</t>
  </si>
  <si>
    <t>2012-2013</t>
  </si>
  <si>
    <t>2013-2014</t>
  </si>
  <si>
    <t>2014-2015</t>
  </si>
  <si>
    <t>2015-2016</t>
  </si>
  <si>
    <t>2016-2017</t>
  </si>
  <si>
    <t>2017-2018</t>
  </si>
  <si>
    <t>2018-2019</t>
  </si>
  <si>
    <t>2019-2020</t>
  </si>
  <si>
    <t>2020-2021</t>
  </si>
  <si>
    <t>DIVIDEND YIELD</t>
  </si>
  <si>
    <t>Dividend per share</t>
  </si>
  <si>
    <t>Market price per share</t>
  </si>
  <si>
    <t>DIVIDEND PAYOUT</t>
  </si>
  <si>
    <t>Earnings per share(EPS)</t>
  </si>
  <si>
    <t>Previous Year's sales (in Rs.Cr.)</t>
  </si>
  <si>
    <t>Current Year's sales (in Rs.Cr.)</t>
  </si>
  <si>
    <t>FREE CASHFLOW TO EQUITY</t>
  </si>
  <si>
    <t>Net Income (in Rs.Cr.)</t>
  </si>
  <si>
    <t>Depreciation and Amortization (in Rs.Cr.)</t>
  </si>
  <si>
    <t xml:space="preserve"> Working Capital of Previous Year (in Rs.Cr.)</t>
  </si>
  <si>
    <t>Working Capital of Current Year (in Rs.Cr.)</t>
  </si>
  <si>
    <t>Changes in Working Capital (in Rs.Cr.)</t>
  </si>
  <si>
    <t>Capital Expenditure (in Rs.Cr.)</t>
  </si>
  <si>
    <t>Net Borrowings (in Rs.Cr.)</t>
  </si>
  <si>
    <t>Dividend payout(%)</t>
  </si>
  <si>
    <t>FCFE</t>
  </si>
  <si>
    <t>₹ 1.05</t>
  </si>
  <si>
    <t>₹ 10,807.34</t>
  </si>
  <si>
    <t>₹ 0.39</t>
  </si>
  <si>
    <t>₹ 14.79</t>
  </si>
  <si>
    <t>₹ 1.63</t>
  </si>
  <si>
    <t>₹ 1,469.20</t>
  </si>
  <si>
    <t>₹ 0.80</t>
  </si>
  <si>
    <t>₹ 4,403.10</t>
  </si>
  <si>
    <t>₹ 2.01</t>
  </si>
  <si>
    <t>₹ 1,316.34</t>
  </si>
  <si>
    <t>₹ 1.75</t>
  </si>
  <si>
    <t>₹ 2,354.47</t>
  </si>
  <si>
    <t>₹ 2.08</t>
  </si>
  <si>
    <t>₹ 800.28</t>
  </si>
  <si>
    <t>₹ 2.12</t>
  </si>
  <si>
    <t>₹ 2,169.75</t>
  </si>
  <si>
    <t>₹ 3.54</t>
  </si>
  <si>
    <t>-₹ 443.16</t>
  </si>
  <si>
    <t>₹ 3.50</t>
  </si>
  <si>
    <t>₹ 2,011.51</t>
  </si>
  <si>
    <t>₹ 3.38</t>
  </si>
  <si>
    <t>₹ 2,075.31</t>
  </si>
  <si>
    <t>Company :Mahindra and Mahindra</t>
  </si>
  <si>
    <t>(Using Standalone Financial)</t>
  </si>
  <si>
    <t>Dividend yeild</t>
  </si>
  <si>
    <t xml:space="preserve">Dividend per share </t>
  </si>
  <si>
    <t>₹ 8.75</t>
  </si>
  <si>
    <t>₹ 2.35</t>
  </si>
  <si>
    <t>₹ 8.50</t>
  </si>
  <si>
    <t>₹ 13.00</t>
  </si>
  <si>
    <t>₹ 12.00</t>
  </si>
  <si>
    <t>₹ 14.00</t>
  </si>
  <si>
    <t>₹ 12.50</t>
  </si>
  <si>
    <t>₹ 11.50</t>
  </si>
  <si>
    <t>₹ 9.50</t>
  </si>
  <si>
    <t>₹ 3.30</t>
  </si>
  <si>
    <t>Dividend Payout Ratio</t>
  </si>
  <si>
    <t xml:space="preserve">Earning per share </t>
  </si>
  <si>
    <t xml:space="preserve">Net Sales (Current year)(.Cr) </t>
  </si>
  <si>
    <t xml:space="preserve">Net Sales (Previous year)(.Cr) </t>
  </si>
  <si>
    <t>₹ 45,040.98</t>
  </si>
  <si>
    <t>₹ 45,487.00</t>
  </si>
  <si>
    <t>₹ 53,614.00</t>
  </si>
  <si>
    <t>₹ 49,444.94</t>
  </si>
  <si>
    <t>₹ 47,383.74</t>
  </si>
  <si>
    <t>₹ 43,638.90</t>
  </si>
  <si>
    <t>₹ 40,875.07</t>
  </si>
  <si>
    <t>₹ 38,945.42</t>
  </si>
  <si>
    <t>₹ 40,508.50</t>
  </si>
  <si>
    <t>₹ 40,411.16</t>
  </si>
  <si>
    <t>₹ 31,853.52</t>
  </si>
  <si>
    <t>₹ 23,460.26</t>
  </si>
  <si>
    <t>₹ 18,516.33</t>
  </si>
  <si>
    <t>Buyback amount spent</t>
  </si>
  <si>
    <t>Free Cash Flow to Equity(FCFE)</t>
  </si>
  <si>
    <t>Net Debt Issued</t>
  </si>
  <si>
    <t>Cash from operations</t>
  </si>
  <si>
    <t>Capex</t>
  </si>
  <si>
    <t>Proceeds from LTD</t>
  </si>
  <si>
    <t>Repayment of LTD</t>
  </si>
  <si>
    <t>₹ 9,119.89</t>
  </si>
  <si>
    <t>₹ 2,838.63</t>
  </si>
  <si>
    <t>₹ 3,677.83</t>
  </si>
  <si>
    <t>₹ 3,991.93</t>
  </si>
  <si>
    <t>₹ 4,923.87</t>
  </si>
  <si>
    <t>₹ 3,082.14</t>
  </si>
  <si>
    <t>₹ 7,027.08</t>
  </si>
  <si>
    <t>₹ 2,683.20</t>
  </si>
  <si>
    <t>₹ 3,710.00</t>
  </si>
  <si>
    <t>₹ 2,219.48</t>
  </si>
  <si>
    <t>₹ 5,478.43</t>
  </si>
  <si>
    <t>₹ 2,173.94</t>
  </si>
  <si>
    <t>₹ 3,219.49</t>
  </si>
  <si>
    <t>₹ 2,034.55</t>
  </si>
  <si>
    <t>₹ 3,727.64</t>
  </si>
  <si>
    <t>₹ 1,704.30</t>
  </si>
  <si>
    <t>₹ 4,145.71</t>
  </si>
  <si>
    <t>₹ 1,435.62</t>
  </si>
  <si>
    <t>₹ 2,734.95</t>
  </si>
  <si>
    <t>₹ 1,374.69</t>
  </si>
  <si>
    <t>₹ 2,979.78</t>
  </si>
  <si>
    <t>₹ 1,235.53</t>
  </si>
  <si>
    <t>YEAR</t>
  </si>
  <si>
    <t>DIVIDEND YIELD (%)</t>
  </si>
  <si>
    <t>BUYBACK AMOUNT SPENT</t>
  </si>
  <si>
    <t>Sales Growth Rate</t>
  </si>
  <si>
    <t>No buybacks offered in the last 10 years.</t>
  </si>
  <si>
    <t>COMPANY :- MARUTI SUZUKI</t>
  </si>
  <si>
    <t>Calculating Dividend Yield</t>
  </si>
  <si>
    <t>ANNUAL DIVIDENDS PER SHARE</t>
  </si>
  <si>
    <t>CURRENT SHARE PRICE</t>
  </si>
  <si>
    <t>Calculating Dividend Payout</t>
  </si>
  <si>
    <t>DIVIDENDS PER SHARE</t>
  </si>
  <si>
    <t>NET INCOME( IN CRORES)</t>
  </si>
  <si>
    <t>NO. OF SHARES</t>
  </si>
  <si>
    <t>TOTAL DIVIDENDS</t>
  </si>
  <si>
    <t>CALCULATING SALES GROWTH RATE</t>
  </si>
  <si>
    <t>SALES( in Crores)</t>
  </si>
  <si>
    <t>NO BUYBACK AMOUNT SPENT IN THE LAST 10 YEARS</t>
  </si>
  <si>
    <t>CALCULATING FREE CASHFLOW TO EQUITY</t>
  </si>
  <si>
    <t>DEPRICIATION AND AMORTIZATION( IN CRORES)</t>
  </si>
  <si>
    <t>WORKING CAPITAL FOR PREVIOUS YEAR</t>
  </si>
  <si>
    <t>WORKING CAPITAL OF CURRENT YEAR</t>
  </si>
  <si>
    <t>CHANGE IN WORKING CAPITAL</t>
  </si>
  <si>
    <t>CAPEX ( IN CRORES)</t>
  </si>
  <si>
    <t>NET BORROWINGS( IN CRORES)</t>
  </si>
  <si>
    <t>NET INCOME(IN CRORES)</t>
  </si>
  <si>
    <t>DIVIDEND YIELD= (ANNUAL DIVIDEND PER SHARE/ CURRENT SHARE PRICE)*100</t>
  </si>
  <si>
    <t>DIVIDEND PAYOUT= TOTAL DIVIDENDS/NET INCOME * 100</t>
  </si>
  <si>
    <t>SALES GROWTH RATE = (CURRENT PERIOD SALES - PRIOR PERIOD SALES) / PRIOR PERIOD SALES *100</t>
  </si>
  <si>
    <t>FCFE= NET INCOME+DEPRICIATION&amp; AMORTIZATION+ CHANGES IN WORKING CAPITAL+CAPEX+ NET BORROWINGS</t>
  </si>
  <si>
    <t xml:space="preserve">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</si>
</sst>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6" formatCode="&quot;$&quot;#,##0_);[Red]\(&quot;$&quot;#,##0\)"/>
    <numFmt numFmtId="8" formatCode="&quot;$&quot;#,##0.00_);[Red]\(&quot;$&quot;#,##0.00\)"/>
    <numFmt numFmtId="164" formatCode="0.00000"/>
    <numFmt numFmtId="165" formatCode="0.000"/>
    <numFmt numFmtId="166" formatCode="[$₹-439]#,##0.00"/>
  </numFmts>
  <fonts count="48">
    <font>
      <sz val="11"/>
      <color theme="1"/>
      <name val="Calibri"/>
      <family val="2"/>
      <scheme val="minor"/>
    </font>
    <font>
      <sz val="11"/>
      <color theme="1"/>
      <name val="Calibri"/>
      <scheme val="minor"/>
    </font>
    <font>
      <b/>
      <sz val="11"/>
      <color theme="1"/>
      <name val="Calibri"/>
      <family val="2"/>
      <scheme val="minor"/>
    </font>
    <font>
      <b/>
      <sz val="14"/>
      <color theme="1"/>
      <name val="Cambria"/>
    </font>
    <font>
      <sz val="12"/>
      <color rgb="FF202124"/>
      <name val="Arial"/>
      <family val="2"/>
      <charset val="1"/>
    </font>
    <font>
      <sz val="11"/>
      <color theme="1"/>
      <name val="SimHei"/>
    </font>
    <font>
      <b/>
      <sz val="11"/>
      <color theme="1"/>
      <name val="MS PMincho"/>
    </font>
    <font>
      <b/>
      <sz val="14"/>
      <color theme="1"/>
      <name val="Calibri"/>
      <family val="2"/>
      <scheme val="minor"/>
    </font>
    <font>
      <b/>
      <sz val="16"/>
      <color theme="1"/>
      <name val="Georgia"/>
    </font>
    <font>
      <b/>
      <sz val="11"/>
      <color rgb="FF000000"/>
      <name val="MS PMincho"/>
    </font>
    <font>
      <b/>
      <sz val="14"/>
      <color theme="1"/>
      <name val="Calibri"/>
    </font>
    <font>
      <b/>
      <sz val="11"/>
      <color rgb="FF000000"/>
      <name val="Calibri"/>
      <family val="2"/>
      <scheme val="minor"/>
    </font>
    <font>
      <b/>
      <sz val="14"/>
      <color rgb="FF000000"/>
      <name val="Calibri"/>
      <family val="2"/>
      <scheme val="minor"/>
    </font>
    <font>
      <b/>
      <sz val="18"/>
      <color rgb="FF0D0D0D"/>
      <name val="Georgia"/>
    </font>
    <font>
      <b/>
      <sz val="14"/>
      <color rgb="FF000000"/>
      <name val="Calibri"/>
    </font>
    <font>
      <sz val="11"/>
      <color rgb="FF000000"/>
      <name val="Calibri"/>
      <family val="2"/>
    </font>
    <font>
      <sz val="20"/>
      <color rgb="FF000000"/>
      <name val="Cooper Black"/>
      <family val="1"/>
    </font>
    <font>
      <sz val="16"/>
      <color rgb="FF000000"/>
      <name val="Broadway"/>
      <family val="5"/>
    </font>
    <font>
      <sz val="12"/>
      <color rgb="FF000000"/>
      <name val="-Apple-System"/>
      <charset val="1"/>
    </font>
    <font>
      <b/>
      <sz val="16"/>
      <color theme="1"/>
      <name val="Cambria"/>
    </font>
    <font>
      <sz val="16"/>
      <color theme="1"/>
      <name val="Cambria"/>
    </font>
    <font>
      <sz val="16"/>
      <color theme="1"/>
      <name val="Arial Black"/>
    </font>
    <font>
      <b/>
      <sz val="16"/>
      <color theme="1"/>
      <name val="Arial Black"/>
    </font>
    <font>
      <b/>
      <sz val="18"/>
      <color theme="1"/>
      <name val="Arial Black"/>
    </font>
    <font>
      <sz val="18"/>
      <color theme="1"/>
      <name val="Arial Black"/>
    </font>
    <font>
      <b/>
      <sz val="20"/>
      <color theme="1"/>
      <name val="Calibri"/>
      <family val="2"/>
      <scheme val="minor"/>
    </font>
    <font>
      <sz val="16"/>
      <color rgb="FF000000"/>
      <name val="Cambria"/>
    </font>
    <font>
      <sz val="12"/>
      <color rgb="FF66758A"/>
      <name val="-Apple-System"/>
      <charset val="1"/>
    </font>
    <font>
      <sz val="11"/>
      <color rgb="FF212529"/>
      <name val="Inter"/>
      <charset val="1"/>
    </font>
    <font>
      <sz val="11"/>
      <color rgb="FF757171"/>
      <name val="Calibri"/>
      <family val="2"/>
      <scheme val="minor"/>
    </font>
    <font>
      <sz val="11"/>
      <color rgb="FF444444"/>
      <name val="Roboto"/>
      <family val="2"/>
      <charset val="1"/>
    </font>
    <font>
      <b/>
      <sz val="11"/>
      <color rgb="FF757171"/>
      <name val="MS PMincho"/>
    </font>
    <font>
      <sz val="11"/>
      <color rgb="FF000000"/>
      <name val="Calibri"/>
    </font>
    <font>
      <b/>
      <sz val="24"/>
      <color rgb="FF000000"/>
      <name val="Bell MT"/>
      <family val="1"/>
    </font>
    <font>
      <b/>
      <sz val="11"/>
      <color rgb="FFFFFFFF"/>
      <name val="Calibri"/>
    </font>
    <font>
      <sz val="11"/>
      <color rgb="FF333333"/>
      <name val="Arial"/>
    </font>
    <font>
      <b/>
      <sz val="12"/>
      <color rgb="FF000000"/>
      <name val="Bookman Old Style"/>
      <family val="1"/>
    </font>
    <font>
      <sz val="18"/>
      <color rgb="FF000000"/>
      <name val="Algerian"/>
      <family val="5"/>
    </font>
    <font>
      <sz val="11"/>
      <color rgb="FF444444"/>
      <name val="Roboto"/>
      <charset val="1"/>
    </font>
    <font>
      <sz val="11"/>
      <color theme="1"/>
      <name val="Consolas"/>
    </font>
    <font>
      <sz val="12"/>
      <color theme="1"/>
      <name val="Calibri"/>
      <family val="2"/>
      <scheme val="minor"/>
    </font>
    <font>
      <b/>
      <sz val="12"/>
      <color theme="1"/>
      <name val="Cambria"/>
    </font>
    <font>
      <sz val="12"/>
      <color theme="1"/>
      <name val="Cambria"/>
    </font>
    <font>
      <sz val="12"/>
      <color rgb="FF000000"/>
      <name val="Cambria"/>
    </font>
    <font>
      <b/>
      <sz val="11"/>
      <color theme="1"/>
      <name val="Cambria"/>
    </font>
    <font>
      <sz val="11"/>
      <color theme="1"/>
      <name val="Cambria"/>
    </font>
    <font>
      <sz val="11"/>
      <color rgb="FF000000"/>
      <name val="Cambria"/>
    </font>
    <font>
      <sz val="12"/>
      <color theme="1"/>
      <name val="Comic Sans MS"/>
    </font>
  </fonts>
  <fills count="21">
    <fill>
      <patternFill patternType="none"/>
    </fill>
    <fill>
      <patternFill patternType="gray125"/>
    </fill>
    <fill>
      <patternFill patternType="solid">
        <fgColor rgb="FF73D9BC"/>
        <bgColor indexed="64"/>
      </patternFill>
    </fill>
    <fill>
      <patternFill patternType="solid">
        <fgColor rgb="FFF4B084"/>
        <bgColor rgb="FF000000"/>
      </patternFill>
    </fill>
    <fill>
      <patternFill patternType="solid">
        <fgColor rgb="FFFCE4D6"/>
        <bgColor rgb="FF000000"/>
      </patternFill>
    </fill>
    <fill>
      <patternFill patternType="solid">
        <fgColor rgb="FF9BC2E6"/>
        <bgColor rgb="FF000000"/>
      </patternFill>
    </fill>
    <fill>
      <patternFill patternType="solid">
        <fgColor rgb="FFDDEBF7"/>
        <bgColor rgb="FF000000"/>
      </patternFill>
    </fill>
    <fill>
      <patternFill patternType="solid">
        <fgColor rgb="FFA9D08E"/>
        <bgColor rgb="FF000000"/>
      </patternFill>
    </fill>
    <fill>
      <patternFill patternType="solid">
        <fgColor rgb="FFE2EFDA"/>
        <bgColor rgb="FF000000"/>
      </patternFill>
    </fill>
    <fill>
      <patternFill patternType="solid">
        <fgColor rgb="FFFFD966"/>
        <bgColor rgb="FF000000"/>
      </patternFill>
    </fill>
    <fill>
      <patternFill patternType="solid">
        <fgColor rgb="FFFFF2CC"/>
        <bgColor rgb="FF000000"/>
      </patternFill>
    </fill>
    <fill>
      <patternFill patternType="solid">
        <fgColor rgb="FFFFFFFF"/>
        <bgColor indexed="64"/>
      </patternFill>
    </fill>
    <fill>
      <patternFill patternType="solid">
        <fgColor rgb="FFFCE4D6"/>
        <bgColor indexed="64"/>
      </patternFill>
    </fill>
    <fill>
      <patternFill patternType="solid">
        <fgColor rgb="FFFFC000"/>
        <bgColor indexed="64"/>
      </patternFill>
    </fill>
    <fill>
      <patternFill patternType="solid">
        <fgColor rgb="FFA9D08E"/>
        <bgColor indexed="64"/>
      </patternFill>
    </fill>
    <fill>
      <patternFill patternType="solid">
        <fgColor rgb="FF00B0F0"/>
        <bgColor indexed="64"/>
      </patternFill>
    </fill>
    <fill>
      <patternFill patternType="solid">
        <fgColor rgb="FFA5A5A5"/>
        <bgColor rgb="FFA5A5A5"/>
      </patternFill>
    </fill>
    <fill>
      <patternFill patternType="solid">
        <fgColor rgb="FFFFFFFF"/>
        <bgColor rgb="FF000000"/>
      </patternFill>
    </fill>
    <fill>
      <patternFill patternType="solid">
        <fgColor rgb="FFBFBFBF"/>
        <bgColor rgb="FF000000"/>
      </patternFill>
    </fill>
    <fill>
      <patternFill patternType="solid">
        <fgColor theme="6" tint="0.79998168889431442"/>
        <bgColor indexed="65"/>
      </patternFill>
    </fill>
    <fill>
      <patternFill patternType="solid">
        <fgColor theme="6" tint="0.39997558519241921"/>
        <bgColor indexed="65"/>
      </patternFill>
    </fill>
  </fills>
  <borders count="32">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medium">
        <color rgb="FF000000"/>
      </left>
      <right style="medium">
        <color rgb="FF000000"/>
      </right>
      <top style="medium">
        <color rgb="FF000000"/>
      </top>
      <bottom style="medium">
        <color rgb="FF000000"/>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rgb="FF000000"/>
      </left>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medium">
        <color rgb="FF000000"/>
      </bottom>
      <diagonal/>
    </border>
    <border>
      <left/>
      <right/>
      <top/>
      <bottom style="medium">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diagonal/>
    </border>
    <border>
      <left/>
      <right/>
      <top/>
      <bottom style="thin">
        <color rgb="FFE3EAF2"/>
      </bottom>
      <diagonal/>
    </border>
    <border>
      <left style="thin">
        <color rgb="FFEEEEEE"/>
      </left>
      <right/>
      <top/>
      <bottom/>
      <diagonal/>
    </border>
    <border>
      <left/>
      <right style="thin">
        <color rgb="FFEEEEEE"/>
      </right>
      <top/>
      <bottom/>
      <diagonal/>
    </border>
    <border>
      <left/>
      <right style="thick">
        <color rgb="FFEEEEEE"/>
      </right>
      <top/>
      <bottom/>
      <diagonal/>
    </border>
    <border>
      <left/>
      <right/>
      <top style="thin">
        <color rgb="FFDDDDDD"/>
      </top>
      <bottom/>
      <diagonal/>
    </border>
    <border>
      <left style="thin">
        <color rgb="FFA5A5A5"/>
      </left>
      <right/>
      <top style="thin">
        <color rgb="FFA5A5A5"/>
      </top>
      <bottom/>
      <diagonal/>
    </border>
    <border>
      <left/>
      <right/>
      <top style="thin">
        <color rgb="FFA5A5A5"/>
      </top>
      <bottom/>
      <diagonal/>
    </border>
    <border>
      <left/>
      <right style="thin">
        <color rgb="FFA5A5A5"/>
      </right>
      <top style="thin">
        <color rgb="FFA5A5A5"/>
      </top>
      <bottom/>
      <diagonal/>
    </border>
    <border>
      <left/>
      <right/>
      <top style="medium">
        <color rgb="FFD1D1D1"/>
      </top>
      <bottom style="medium">
        <color rgb="FFE0E0E0"/>
      </bottom>
      <diagonal/>
    </border>
    <border>
      <left/>
      <right style="thin">
        <color rgb="FFA5A5A5"/>
      </right>
      <top style="medium">
        <color rgb="FFD1D1D1"/>
      </top>
      <bottom style="medium">
        <color rgb="FFE0E0E0"/>
      </bottom>
      <diagonal/>
    </border>
    <border>
      <left style="thin">
        <color rgb="FFA5A5A5"/>
      </left>
      <right/>
      <top style="thin">
        <color rgb="FFA5A5A5"/>
      </top>
      <bottom style="thin">
        <color rgb="FFA5A5A5"/>
      </bottom>
      <diagonal/>
    </border>
    <border>
      <left/>
      <right/>
      <top style="thin">
        <color rgb="FFA5A5A5"/>
      </top>
      <bottom style="thin">
        <color rgb="FFA5A5A5"/>
      </bottom>
      <diagonal/>
    </border>
    <border>
      <left/>
      <right/>
      <top style="thin">
        <color rgb="FF4472C4"/>
      </top>
      <bottom style="double">
        <color rgb="FF4472C4"/>
      </bottom>
      <diagonal/>
    </border>
    <border>
      <left style="thin">
        <color rgb="FFD0CECE"/>
      </left>
      <right/>
      <top style="thin">
        <color rgb="FFD0CECE"/>
      </top>
      <bottom style="thin">
        <color rgb="FFD0CECE"/>
      </bottom>
      <diagonal/>
    </border>
    <border>
      <left style="thin">
        <color rgb="FFD0CECE"/>
      </left>
      <right/>
      <top/>
      <bottom/>
      <diagonal/>
    </border>
    <border>
      <left style="medium">
        <color rgb="FF000000"/>
      </left>
      <right style="medium">
        <color rgb="FF000000"/>
      </right>
      <top/>
      <bottom/>
      <diagonal/>
    </border>
    <border>
      <left style="medium">
        <color rgb="FF000000"/>
      </left>
      <right style="medium">
        <color rgb="FF000000"/>
      </right>
      <top/>
      <bottom style="medium">
        <color rgb="FF000000"/>
      </bottom>
      <diagonal/>
    </border>
  </borders>
  <cellStyleXfs count="3">
    <xf numFmtId="0" fontId="0" fillId="0" borderId="0"/>
    <xf numFmtId="0" fontId="1" fillId="19" borderId="0" applyNumberFormat="0" applyBorder="0" applyAlignment="0" applyProtection="0"/>
    <xf numFmtId="0" fontId="1" fillId="20" borderId="0" applyNumberFormat="0" applyBorder="0" applyAlignment="0" applyProtection="0"/>
  </cellStyleXfs>
  <cellXfs count="158">
    <xf numFmtId="0" fontId="0" fillId="0" borderId="0" xfId="0"/>
    <xf numFmtId="0" fontId="2" fillId="0" borderId="0" xfId="0" applyFont="1"/>
    <xf numFmtId="0" fontId="3" fillId="0" borderId="0" xfId="0" applyFont="1"/>
    <xf numFmtId="164" fontId="0" fillId="0" borderId="0" xfId="0" applyNumberFormat="1"/>
    <xf numFmtId="0" fontId="4" fillId="0" borderId="0" xfId="0" applyFont="1"/>
    <xf numFmtId="164" fontId="5" fillId="0" borderId="0" xfId="0" applyNumberFormat="1" applyFont="1"/>
    <xf numFmtId="0" fontId="2" fillId="2" borderId="3" xfId="0" applyFont="1" applyFill="1" applyBorder="1" applyAlignment="1">
      <alignment horizontal="center"/>
    </xf>
    <xf numFmtId="0" fontId="6" fillId="0" borderId="3" xfId="0" applyFont="1" applyBorder="1" applyAlignment="1">
      <alignment horizontal="center" vertical="center"/>
    </xf>
    <xf numFmtId="0" fontId="9" fillId="0" borderId="3" xfId="0" applyFont="1" applyBorder="1" applyAlignment="1">
      <alignment horizontal="center" vertical="center"/>
    </xf>
    <xf numFmtId="0" fontId="8" fillId="0" borderId="0" xfId="0" applyFont="1" applyAlignment="1">
      <alignment horizontal="center"/>
    </xf>
    <xf numFmtId="0" fontId="6" fillId="0" borderId="0" xfId="0" applyFont="1" applyAlignment="1">
      <alignment horizontal="center" vertical="center"/>
    </xf>
    <xf numFmtId="164" fontId="6" fillId="0" borderId="0" xfId="0" applyNumberFormat="1" applyFont="1" applyAlignment="1">
      <alignment horizontal="center" vertical="center"/>
    </xf>
    <xf numFmtId="0" fontId="9" fillId="0" borderId="0" xfId="0" applyFont="1" applyAlignment="1">
      <alignment horizontal="center" vertical="center"/>
    </xf>
    <xf numFmtId="165" fontId="9" fillId="0" borderId="0" xfId="0" applyNumberFormat="1" applyFont="1" applyAlignment="1">
      <alignment horizontal="center" vertical="center"/>
    </xf>
    <xf numFmtId="0" fontId="11" fillId="0" borderId="0" xfId="0" applyFont="1"/>
    <xf numFmtId="0" fontId="0" fillId="0" borderId="0" xfId="0" applyAlignment="1">
      <alignment horizontal="center"/>
    </xf>
    <xf numFmtId="0" fontId="2" fillId="0" borderId="0" xfId="0" applyFont="1" applyAlignment="1">
      <alignment horizontal="center" vertical="center"/>
    </xf>
    <xf numFmtId="0" fontId="6" fillId="0" borderId="3" xfId="0" applyFont="1" applyBorder="1" applyAlignment="1">
      <alignment horizontal="center"/>
    </xf>
    <xf numFmtId="2" fontId="9" fillId="0" borderId="3" xfId="0" applyNumberFormat="1" applyFont="1" applyBorder="1" applyAlignment="1">
      <alignment horizontal="center" vertical="center"/>
    </xf>
    <xf numFmtId="2" fontId="6" fillId="0" borderId="3" xfId="0" applyNumberFormat="1" applyFont="1" applyBorder="1" applyAlignment="1">
      <alignment horizontal="center" vertical="center"/>
    </xf>
    <xf numFmtId="0" fontId="15" fillId="0" borderId="0" xfId="0" applyFont="1"/>
    <xf numFmtId="0" fontId="15" fillId="3" borderId="4" xfId="0" applyFont="1" applyFill="1" applyBorder="1" applyAlignment="1">
      <alignment horizontal="center" vertical="center"/>
    </xf>
    <xf numFmtId="0" fontId="15" fillId="3" borderId="5" xfId="0" applyFont="1" applyFill="1" applyBorder="1" applyAlignment="1">
      <alignment horizontal="center" vertical="center"/>
    </xf>
    <xf numFmtId="0" fontId="15" fillId="4" borderId="6" xfId="0" applyFont="1" applyFill="1" applyBorder="1" applyAlignment="1">
      <alignment horizontal="center"/>
    </xf>
    <xf numFmtId="0" fontId="15" fillId="4" borderId="7" xfId="0" applyFont="1" applyFill="1" applyBorder="1" applyAlignment="1">
      <alignment horizontal="center"/>
    </xf>
    <xf numFmtId="0" fontId="15" fillId="0" borderId="0" xfId="0" applyFont="1" applyAlignment="1">
      <alignment horizontal="center"/>
    </xf>
    <xf numFmtId="166" fontId="15" fillId="4" borderId="7" xfId="0" applyNumberFormat="1" applyFont="1" applyFill="1" applyBorder="1" applyAlignment="1">
      <alignment horizontal="center"/>
    </xf>
    <xf numFmtId="0" fontId="15" fillId="0" borderId="0" xfId="0" applyFont="1" applyAlignment="1">
      <alignment horizontal="center" vertical="center"/>
    </xf>
    <xf numFmtId="0" fontId="15" fillId="5" borderId="4" xfId="0" applyFont="1" applyFill="1" applyBorder="1" applyAlignment="1">
      <alignment horizontal="center" vertical="center"/>
    </xf>
    <xf numFmtId="0" fontId="15" fillId="5" borderId="5" xfId="0" applyFont="1" applyFill="1" applyBorder="1" applyAlignment="1">
      <alignment horizontal="center" vertical="center"/>
    </xf>
    <xf numFmtId="0" fontId="15" fillId="6" borderId="6" xfId="0" applyFont="1" applyFill="1" applyBorder="1" applyAlignment="1">
      <alignment horizontal="center" vertical="center"/>
    </xf>
    <xf numFmtId="0" fontId="15" fillId="6" borderId="7" xfId="0" applyFont="1" applyFill="1" applyBorder="1" applyAlignment="1">
      <alignment horizontal="center" vertical="center"/>
    </xf>
    <xf numFmtId="10" fontId="15" fillId="6" borderId="7" xfId="0" applyNumberFormat="1" applyFont="1" applyFill="1" applyBorder="1" applyAlignment="1">
      <alignment horizontal="center" vertical="center"/>
    </xf>
    <xf numFmtId="0" fontId="15" fillId="7" borderId="4" xfId="0" applyFont="1" applyFill="1" applyBorder="1" applyAlignment="1">
      <alignment horizontal="center" vertical="center"/>
    </xf>
    <xf numFmtId="0" fontId="15" fillId="7" borderId="5" xfId="0" applyFont="1" applyFill="1" applyBorder="1" applyAlignment="1">
      <alignment horizontal="center" vertical="center"/>
    </xf>
    <xf numFmtId="0" fontId="15" fillId="8" borderId="6" xfId="0" applyFont="1" applyFill="1" applyBorder="1" applyAlignment="1">
      <alignment horizontal="center" vertical="center"/>
    </xf>
    <xf numFmtId="0" fontId="15" fillId="8" borderId="7" xfId="0" applyFont="1" applyFill="1" applyBorder="1" applyAlignment="1">
      <alignment horizontal="center" vertical="center"/>
    </xf>
    <xf numFmtId="10" fontId="15" fillId="8" borderId="7" xfId="0" applyNumberFormat="1" applyFont="1" applyFill="1" applyBorder="1" applyAlignment="1">
      <alignment horizontal="center" vertical="center"/>
    </xf>
    <xf numFmtId="0" fontId="15" fillId="9" borderId="5" xfId="0" applyFont="1" applyFill="1" applyBorder="1" applyAlignment="1">
      <alignment horizontal="center" vertical="center"/>
    </xf>
    <xf numFmtId="0" fontId="15" fillId="9" borderId="4" xfId="0" applyFont="1" applyFill="1" applyBorder="1" applyAlignment="1">
      <alignment horizontal="center" vertical="center"/>
    </xf>
    <xf numFmtId="0" fontId="15" fillId="9" borderId="7" xfId="0" applyFont="1" applyFill="1" applyBorder="1" applyAlignment="1">
      <alignment horizontal="center" vertical="center"/>
    </xf>
    <xf numFmtId="0" fontId="15" fillId="10" borderId="6" xfId="0" applyFont="1" applyFill="1" applyBorder="1" applyAlignment="1">
      <alignment horizontal="center" vertical="center"/>
    </xf>
    <xf numFmtId="0" fontId="15" fillId="10" borderId="7" xfId="0" applyFont="1" applyFill="1" applyBorder="1" applyAlignment="1">
      <alignment horizontal="center" vertical="center"/>
    </xf>
    <xf numFmtId="0" fontId="15" fillId="10" borderId="7" xfId="0" quotePrefix="1" applyFont="1" applyFill="1" applyBorder="1" applyAlignment="1">
      <alignment horizontal="center" vertical="center"/>
    </xf>
    <xf numFmtId="0" fontId="21" fillId="13" borderId="0" xfId="0" applyFont="1" applyFill="1"/>
    <xf numFmtId="0" fontId="22" fillId="13" borderId="0" xfId="0" applyFont="1" applyFill="1"/>
    <xf numFmtId="0" fontId="24" fillId="14" borderId="11" xfId="0" applyFont="1" applyFill="1" applyBorder="1"/>
    <xf numFmtId="0" fontId="23" fillId="14" borderId="12" xfId="0" applyFont="1" applyFill="1" applyBorder="1"/>
    <xf numFmtId="0" fontId="0" fillId="15" borderId="0" xfId="0" applyFill="1"/>
    <xf numFmtId="0" fontId="25" fillId="15" borderId="0" xfId="0" applyFont="1" applyFill="1"/>
    <xf numFmtId="0" fontId="0" fillId="13" borderId="0" xfId="0" applyFill="1"/>
    <xf numFmtId="0" fontId="19" fillId="11" borderId="0" xfId="0" applyFont="1" applyFill="1"/>
    <xf numFmtId="0" fontId="20" fillId="11" borderId="0" xfId="0" applyFont="1" applyFill="1"/>
    <xf numFmtId="0" fontId="2" fillId="0" borderId="1" xfId="0" applyFont="1" applyBorder="1" applyAlignment="1">
      <alignment horizontal="center"/>
    </xf>
    <xf numFmtId="0" fontId="0" fillId="0" borderId="1" xfId="0" applyBorder="1" applyAlignment="1">
      <alignment horizontal="center"/>
    </xf>
    <xf numFmtId="0" fontId="27" fillId="0" borderId="15" xfId="0" applyFont="1" applyBorder="1"/>
    <xf numFmtId="0" fontId="18" fillId="0" borderId="15" xfId="0" applyFont="1" applyBorder="1"/>
    <xf numFmtId="0" fontId="27" fillId="0" borderId="15" xfId="0" applyFont="1" applyBorder="1" applyAlignment="1">
      <alignment horizontal="center"/>
    </xf>
    <xf numFmtId="0" fontId="18" fillId="0" borderId="15" xfId="0" applyFont="1" applyBorder="1" applyAlignment="1">
      <alignment horizontal="center"/>
    </xf>
    <xf numFmtId="10" fontId="18" fillId="0" borderId="15" xfId="0" applyNumberFormat="1" applyFont="1" applyBorder="1" applyAlignment="1">
      <alignment horizontal="center"/>
    </xf>
    <xf numFmtId="15" fontId="18" fillId="0" borderId="15" xfId="0" applyNumberFormat="1" applyFont="1" applyBorder="1" applyAlignment="1">
      <alignment horizontal="center"/>
    </xf>
    <xf numFmtId="0" fontId="28" fillId="0" borderId="0" xfId="0" quotePrefix="1" applyFont="1" applyAlignment="1">
      <alignment wrapText="1"/>
    </xf>
    <xf numFmtId="0" fontId="28" fillId="0" borderId="0" xfId="0" applyFont="1" applyAlignment="1">
      <alignment wrapText="1"/>
    </xf>
    <xf numFmtId="0" fontId="28" fillId="0" borderId="18" xfId="0" quotePrefix="1" applyFont="1" applyBorder="1" applyAlignment="1">
      <alignment wrapText="1"/>
    </xf>
    <xf numFmtId="14" fontId="28" fillId="0" borderId="0" xfId="0" applyNumberFormat="1" applyFont="1" applyAlignment="1">
      <alignment horizontal="center" wrapText="1"/>
    </xf>
    <xf numFmtId="10" fontId="28" fillId="0" borderId="17" xfId="0" applyNumberFormat="1" applyFont="1" applyBorder="1" applyAlignment="1">
      <alignment horizontal="center" wrapText="1"/>
    </xf>
    <xf numFmtId="8" fontId="28" fillId="0" borderId="0" xfId="0" applyNumberFormat="1" applyFont="1" applyAlignment="1">
      <alignment horizontal="center" wrapText="1"/>
    </xf>
    <xf numFmtId="14" fontId="28" fillId="0" borderId="16" xfId="0" applyNumberFormat="1" applyFont="1" applyBorder="1" applyAlignment="1">
      <alignment horizontal="center" wrapText="1"/>
    </xf>
    <xf numFmtId="0" fontId="28" fillId="0" borderId="17" xfId="0" applyFont="1" applyBorder="1" applyAlignment="1">
      <alignment horizontal="center" wrapText="1"/>
    </xf>
    <xf numFmtId="0" fontId="29" fillId="0" borderId="0" xfId="0" applyFont="1" applyAlignment="1">
      <alignment horizontal="center"/>
    </xf>
    <xf numFmtId="0" fontId="30" fillId="0" borderId="0" xfId="0" applyFont="1" applyAlignment="1">
      <alignment wrapText="1"/>
    </xf>
    <xf numFmtId="6" fontId="30" fillId="0" borderId="0" xfId="0" applyNumberFormat="1" applyFont="1" applyAlignment="1">
      <alignment wrapText="1"/>
    </xf>
    <xf numFmtId="0" fontId="30" fillId="0" borderId="19" xfId="0" applyFont="1" applyBorder="1" applyAlignment="1">
      <alignment horizontal="center" wrapText="1"/>
    </xf>
    <xf numFmtId="6" fontId="30" fillId="0" borderId="19" xfId="0" applyNumberFormat="1" applyFont="1" applyBorder="1" applyAlignment="1">
      <alignment horizontal="center" wrapText="1"/>
    </xf>
    <xf numFmtId="0" fontId="31" fillId="0" borderId="0" xfId="0" applyFont="1" applyAlignment="1">
      <alignment horizontal="center" vertical="center"/>
    </xf>
    <xf numFmtId="0" fontId="32" fillId="0" borderId="0" xfId="0" applyFont="1"/>
    <xf numFmtId="0" fontId="34" fillId="16" borderId="20" xfId="0" applyFont="1" applyFill="1" applyBorder="1"/>
    <xf numFmtId="0" fontId="34" fillId="16" borderId="21" xfId="0" applyFont="1" applyFill="1" applyBorder="1"/>
    <xf numFmtId="0" fontId="34" fillId="16" borderId="22" xfId="0" applyFont="1" applyFill="1" applyBorder="1"/>
    <xf numFmtId="0" fontId="32" fillId="0" borderId="20" xfId="0" applyFont="1" applyBorder="1"/>
    <xf numFmtId="0" fontId="32" fillId="0" borderId="21" xfId="0" applyFont="1" applyBorder="1"/>
    <xf numFmtId="10" fontId="32" fillId="0" borderId="21" xfId="0" applyNumberFormat="1" applyFont="1" applyBorder="1"/>
    <xf numFmtId="9" fontId="32" fillId="0" borderId="21" xfId="0" applyNumberFormat="1" applyFont="1" applyBorder="1"/>
    <xf numFmtId="0" fontId="35" fillId="17" borderId="23" xfId="0" applyFont="1" applyFill="1" applyBorder="1" applyAlignment="1">
      <alignment wrapText="1"/>
    </xf>
    <xf numFmtId="0" fontId="32" fillId="0" borderId="22" xfId="0" applyFont="1" applyBorder="1"/>
    <xf numFmtId="0" fontId="35" fillId="17" borderId="24" xfId="0" applyFont="1" applyFill="1" applyBorder="1" applyAlignment="1">
      <alignment wrapText="1"/>
    </xf>
    <xf numFmtId="0" fontId="32" fillId="0" borderId="25" xfId="0" applyFont="1" applyBorder="1"/>
    <xf numFmtId="0" fontId="32" fillId="0" borderId="26" xfId="0" applyFont="1" applyBorder="1"/>
    <xf numFmtId="10" fontId="32" fillId="0" borderId="26" xfId="0" applyNumberFormat="1" applyFont="1" applyBorder="1"/>
    <xf numFmtId="9" fontId="32" fillId="0" borderId="26" xfId="0" applyNumberFormat="1" applyFont="1" applyBorder="1"/>
    <xf numFmtId="0" fontId="36" fillId="0" borderId="27" xfId="0" applyFont="1" applyBorder="1"/>
    <xf numFmtId="0" fontId="37" fillId="18" borderId="0" xfId="0" applyFont="1" applyFill="1"/>
    <xf numFmtId="0" fontId="14" fillId="0" borderId="0" xfId="0" applyFont="1" applyAlignment="1">
      <alignment horizontal="center" vertical="center"/>
    </xf>
    <xf numFmtId="0" fontId="32" fillId="3" borderId="1" xfId="0" applyFont="1" applyFill="1" applyBorder="1" applyAlignment="1">
      <alignment horizontal="center" vertical="center"/>
    </xf>
    <xf numFmtId="0" fontId="32" fillId="5" borderId="1" xfId="0" applyFont="1" applyFill="1" applyBorder="1" applyAlignment="1">
      <alignment horizontal="center" vertical="center"/>
    </xf>
    <xf numFmtId="0" fontId="32" fillId="7" borderId="1" xfId="0" applyFont="1" applyFill="1" applyBorder="1" applyAlignment="1">
      <alignment horizontal="center" vertical="center"/>
    </xf>
    <xf numFmtId="0" fontId="32" fillId="9" borderId="1" xfId="0" applyFont="1" applyFill="1" applyBorder="1" applyAlignment="1">
      <alignment horizontal="center" vertical="center"/>
    </xf>
    <xf numFmtId="10" fontId="32" fillId="6" borderId="1" xfId="0" applyNumberFormat="1" applyFont="1" applyFill="1" applyBorder="1" applyAlignment="1">
      <alignment horizontal="center" vertical="center"/>
    </xf>
    <xf numFmtId="10" fontId="32" fillId="8" borderId="1" xfId="0" applyNumberFormat="1" applyFont="1" applyFill="1" applyBorder="1" applyAlignment="1">
      <alignment horizontal="center" vertical="center"/>
    </xf>
    <xf numFmtId="0" fontId="32" fillId="10" borderId="1" xfId="0" applyFont="1" applyFill="1" applyBorder="1" applyAlignment="1">
      <alignment horizontal="center" vertical="center"/>
    </xf>
    <xf numFmtId="0" fontId="32" fillId="10" borderId="1" xfId="0" quotePrefix="1" applyFont="1" applyFill="1" applyBorder="1" applyAlignment="1">
      <alignment horizontal="center" vertical="center"/>
    </xf>
    <xf numFmtId="0" fontId="0" fillId="0" borderId="28" xfId="0" applyBorder="1"/>
    <xf numFmtId="0" fontId="0" fillId="0" borderId="29" xfId="0" applyBorder="1"/>
    <xf numFmtId="0" fontId="2" fillId="2" borderId="0" xfId="0" applyFont="1" applyFill="1" applyAlignment="1">
      <alignment horizontal="center"/>
    </xf>
    <xf numFmtId="0" fontId="0" fillId="20" borderId="1" xfId="2" applyFont="1" applyBorder="1" applyAlignment="1">
      <alignment horizontal="center" vertical="center"/>
    </xf>
    <xf numFmtId="0" fontId="0" fillId="19" borderId="1" xfId="1" applyFont="1" applyBorder="1" applyAlignment="1">
      <alignment horizontal="center"/>
    </xf>
    <xf numFmtId="0" fontId="38" fillId="0" borderId="0" xfId="0" applyFont="1" applyAlignment="1">
      <alignment horizontal="center" wrapText="1"/>
    </xf>
    <xf numFmtId="4" fontId="38" fillId="0" borderId="0" xfId="0" applyNumberFormat="1" applyFont="1" applyAlignment="1">
      <alignment horizontal="center" wrapText="1"/>
    </xf>
    <xf numFmtId="8" fontId="38" fillId="0" borderId="0" xfId="0" applyNumberFormat="1" applyFont="1" applyAlignment="1">
      <alignment horizontal="center" wrapText="1"/>
    </xf>
    <xf numFmtId="8" fontId="0" fillId="0" borderId="0" xfId="0" applyNumberFormat="1" applyAlignment="1">
      <alignment horizontal="center"/>
    </xf>
    <xf numFmtId="8" fontId="38" fillId="0" borderId="19" xfId="0" applyNumberFormat="1" applyFont="1" applyBorder="1" applyAlignment="1">
      <alignment wrapText="1"/>
    </xf>
    <xf numFmtId="0" fontId="38" fillId="0" borderId="19" xfId="0" applyFont="1" applyBorder="1" applyAlignment="1">
      <alignment wrapText="1"/>
    </xf>
    <xf numFmtId="0" fontId="39" fillId="0" borderId="0" xfId="0" applyFont="1"/>
    <xf numFmtId="0" fontId="33" fillId="0" borderId="0" xfId="0" applyFont="1" applyAlignment="1">
      <alignment horizontal="center"/>
    </xf>
    <xf numFmtId="0" fontId="0" fillId="0" borderId="0" xfId="0" applyAlignment="1">
      <alignment horizontal="center"/>
    </xf>
    <xf numFmtId="0" fontId="32" fillId="0" borderId="0" xfId="0" applyFont="1" applyAlignment="1">
      <alignment horizontal="center"/>
    </xf>
    <xf numFmtId="0" fontId="2" fillId="0" borderId="30" xfId="0" applyFont="1" applyBorder="1" applyAlignment="1">
      <alignment horizontal="center" vertical="center" wrapText="1"/>
    </xf>
    <xf numFmtId="0" fontId="2" fillId="0" borderId="31" xfId="0" applyFont="1" applyBorder="1" applyAlignment="1">
      <alignment horizontal="center" vertical="center" wrapText="1"/>
    </xf>
    <xf numFmtId="0" fontId="7" fillId="0" borderId="0" xfId="0" applyFont="1" applyAlignment="1">
      <alignment horizontal="center" vertical="center"/>
    </xf>
    <xf numFmtId="0" fontId="13" fillId="0" borderId="0" xfId="0" applyFont="1" applyAlignment="1">
      <alignment horizontal="center" vertical="center"/>
    </xf>
    <xf numFmtId="0" fontId="7" fillId="0" borderId="0" xfId="0" applyFont="1" applyAlignment="1">
      <alignment horizontal="center"/>
    </xf>
    <xf numFmtId="0" fontId="10" fillId="0" borderId="0" xfId="0" applyFont="1" applyAlignment="1">
      <alignment horizontal="center" vertical="center"/>
    </xf>
    <xf numFmtId="0" fontId="12" fillId="0" borderId="0" xfId="0" applyFont="1" applyAlignment="1">
      <alignment horizontal="center"/>
    </xf>
    <xf numFmtId="0" fontId="15" fillId="9" borderId="8" xfId="0" applyFont="1" applyFill="1" applyBorder="1" applyAlignment="1">
      <alignment horizontal="center" vertical="center"/>
    </xf>
    <xf numFmtId="0" fontId="15" fillId="9" borderId="5" xfId="0" applyFont="1" applyFill="1" applyBorder="1" applyAlignment="1">
      <alignment horizontal="center" vertical="center"/>
    </xf>
    <xf numFmtId="0" fontId="17" fillId="0" borderId="0" xfId="0" applyFont="1" applyAlignment="1">
      <alignment horizontal="center"/>
    </xf>
    <xf numFmtId="0" fontId="17" fillId="0" borderId="0" xfId="0" applyFont="1" applyAlignment="1">
      <alignment horizontal="center" vertical="center"/>
    </xf>
    <xf numFmtId="0" fontId="41" fillId="12" borderId="1" xfId="0" applyFont="1" applyFill="1" applyBorder="1"/>
    <xf numFmtId="0" fontId="42" fillId="12" borderId="1" xfId="0" applyFont="1" applyFill="1" applyBorder="1"/>
    <xf numFmtId="0" fontId="42" fillId="12" borderId="10" xfId="0" applyFont="1" applyFill="1" applyBorder="1"/>
    <xf numFmtId="0" fontId="43" fillId="12" borderId="1" xfId="0" applyFont="1" applyFill="1" applyBorder="1"/>
    <xf numFmtId="0" fontId="45" fillId="12" borderId="2" xfId="0" applyFont="1" applyFill="1" applyBorder="1" applyAlignment="1">
      <alignment horizontal="center" vertical="center" wrapText="1"/>
    </xf>
    <xf numFmtId="0" fontId="45" fillId="12" borderId="14" xfId="0" applyFont="1" applyFill="1" applyBorder="1" applyAlignment="1">
      <alignment horizontal="center" vertical="center" wrapText="1"/>
    </xf>
    <xf numFmtId="0" fontId="45" fillId="12" borderId="10" xfId="0" applyFont="1" applyFill="1" applyBorder="1" applyAlignment="1">
      <alignment horizontal="center" vertical="center" wrapText="1"/>
    </xf>
    <xf numFmtId="0" fontId="44" fillId="12" borderId="1" xfId="0" applyFont="1" applyFill="1" applyBorder="1" applyAlignment="1">
      <alignment horizontal="center"/>
    </xf>
    <xf numFmtId="0" fontId="45" fillId="12" borderId="1" xfId="0" applyFont="1" applyFill="1" applyBorder="1" applyAlignment="1">
      <alignment horizontal="center"/>
    </xf>
    <xf numFmtId="0" fontId="45" fillId="12" borderId="13" xfId="0" applyFont="1" applyFill="1" applyBorder="1" applyAlignment="1">
      <alignment horizontal="center"/>
    </xf>
    <xf numFmtId="0" fontId="45" fillId="12" borderId="10" xfId="0" applyFont="1" applyFill="1" applyBorder="1" applyAlignment="1">
      <alignment horizontal="center"/>
    </xf>
    <xf numFmtId="0" fontId="46" fillId="12" borderId="1" xfId="0" applyFont="1" applyFill="1" applyBorder="1" applyAlignment="1">
      <alignment horizontal="center"/>
    </xf>
    <xf numFmtId="0" fontId="0" fillId="0" borderId="0" xfId="0" applyBorder="1"/>
    <xf numFmtId="0" fontId="26" fillId="11" borderId="0" xfId="0" applyFont="1" applyFill="1" applyBorder="1"/>
    <xf numFmtId="2" fontId="32" fillId="4" borderId="1" xfId="0" applyNumberFormat="1" applyFont="1" applyFill="1" applyBorder="1" applyAlignment="1">
      <alignment horizontal="center"/>
    </xf>
    <xf numFmtId="0" fontId="16" fillId="0" borderId="0" xfId="0" applyFont="1" applyAlignment="1">
      <alignment horizontal="center"/>
    </xf>
    <xf numFmtId="0" fontId="41" fillId="12" borderId="1" xfId="0" applyFont="1" applyFill="1" applyBorder="1" applyAlignment="1">
      <alignment horizontal="center"/>
    </xf>
    <xf numFmtId="0" fontId="41" fillId="12" borderId="2" xfId="0" applyFont="1" applyFill="1" applyBorder="1" applyAlignment="1">
      <alignment horizontal="center"/>
    </xf>
    <xf numFmtId="0" fontId="42" fillId="12" borderId="1" xfId="0" applyFont="1" applyFill="1" applyBorder="1" applyAlignment="1">
      <alignment horizontal="center"/>
    </xf>
    <xf numFmtId="0" fontId="42" fillId="12" borderId="9" xfId="0" applyFont="1" applyFill="1" applyBorder="1" applyAlignment="1">
      <alignment horizontal="center"/>
    </xf>
    <xf numFmtId="0" fontId="42" fillId="12" borderId="2" xfId="0" applyFont="1" applyFill="1" applyBorder="1" applyAlignment="1">
      <alignment horizontal="center"/>
    </xf>
    <xf numFmtId="0" fontId="42" fillId="12" borderId="13" xfId="0" applyFont="1" applyFill="1" applyBorder="1" applyAlignment="1">
      <alignment horizontal="center"/>
    </xf>
    <xf numFmtId="0" fontId="42" fillId="12" borderId="14" xfId="0" applyFont="1" applyFill="1" applyBorder="1" applyAlignment="1">
      <alignment horizontal="center"/>
    </xf>
    <xf numFmtId="0" fontId="42" fillId="12" borderId="10" xfId="0" applyFont="1" applyFill="1" applyBorder="1" applyAlignment="1">
      <alignment horizontal="center"/>
    </xf>
    <xf numFmtId="0" fontId="41" fillId="12" borderId="9" xfId="0" applyFont="1" applyFill="1" applyBorder="1"/>
    <xf numFmtId="0" fontId="42" fillId="12" borderId="1" xfId="0" applyFont="1" applyFill="1" applyBorder="1" applyAlignment="1">
      <alignment horizontal="right"/>
    </xf>
    <xf numFmtId="4" fontId="42" fillId="12" borderId="1" xfId="0" applyNumberFormat="1" applyFont="1" applyFill="1" applyBorder="1"/>
    <xf numFmtId="0" fontId="47" fillId="12" borderId="0" xfId="0" applyFont="1" applyFill="1"/>
    <xf numFmtId="0" fontId="40" fillId="12" borderId="0" xfId="0" applyFont="1" applyFill="1"/>
    <xf numFmtId="0" fontId="32" fillId="0" borderId="21" xfId="0" applyFont="1" applyBorder="1" applyAlignment="1">
      <alignment horizontal="left"/>
    </xf>
    <xf numFmtId="0" fontId="32" fillId="0" borderId="26" xfId="0" applyFont="1" applyBorder="1" applyAlignment="1">
      <alignment horizontal="left"/>
    </xf>
  </cellXfs>
  <cellStyles count="3">
    <cellStyle name="20% - Accent3" xfId="1" builtinId="38"/>
    <cellStyle name="60% - Accent3" xfId="2" builtinId="40"/>
    <cellStyle name="Normal" xfId="0" builtinId="0"/>
  </cellStyles>
  <dxfs count="0"/>
  <tableStyles count="0" defaultTableStyle="TableStyleMedium2" defaultPivotStyle="PivotStyleLight16"/>
  <colors>
    <mruColors>
      <color rgb="FF73D9BC"/>
      <color rgb="FFA4EBDE"/>
      <color rgb="FFDEA0D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microsoft.com/office/2017/10/relationships/person" Target="persons/person.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xdr:col>
      <xdr:colOff>0</xdr:colOff>
      <xdr:row>59</xdr:row>
      <xdr:rowOff>0</xdr:rowOff>
    </xdr:from>
    <xdr:to>
      <xdr:col>5</xdr:col>
      <xdr:colOff>200025</xdr:colOff>
      <xdr:row>73</xdr:row>
      <xdr:rowOff>142875</xdr:rowOff>
    </xdr:to>
    <xdr:sp macro="" textlink="">
      <xdr:nvSpPr>
        <xdr:cNvPr id="3" name="TextBox 4">
          <a:extLst>
            <a:ext uri="{FF2B5EF4-FFF2-40B4-BE49-F238E27FC236}">
              <a16:creationId xmlns:a16="http://schemas.microsoft.com/office/drawing/2014/main" id="{FB8C9FF9-2B6F-4B9D-98ED-07E601260CB8}"/>
            </a:ext>
          </a:extLst>
        </xdr:cNvPr>
        <xdr:cNvSpPr txBox="1"/>
      </xdr:nvSpPr>
      <xdr:spPr>
        <a:xfrm>
          <a:off x="1047750" y="12230100"/>
          <a:ext cx="10048875" cy="2809875"/>
        </a:xfrm>
        <a:prstGeom prst="rect">
          <a:avLst/>
        </a:prstGeom>
        <a:solidFill>
          <a:srgbClr val="FFF2CC"/>
        </a:solidFill>
        <a:ln w="9525" cmpd="sng">
          <a:solidFill>
            <a:srgbClr val="000000"/>
          </a:solidFill>
        </a:ln>
      </xdr:spPr>
      <xdr:txBody>
        <a:bodyPr wrap="square" lIns="91440" tIns="45720" rIns="91440" bIns="45720" rtlCol="0" anchor="t">
          <a:noAutofit/>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marL="0" indent="0" algn="l"/>
          <a:r>
            <a:rPr lang="en-US" sz="1100">
              <a:latin typeface="Calibri" panose="020F0502020204030204" pitchFamily="34" charset="0"/>
              <a:cs typeface="Calibri" panose="020F0502020204030204" pitchFamily="34" charset="0"/>
            </a:rPr>
            <a:t>DIVIDEND YIELD=      </a:t>
          </a:r>
          <a:r>
            <a:rPr lang="en-US" sz="1100" u="none">
              <a:latin typeface="Calibri" panose="020F0502020204030204" pitchFamily="34" charset="0"/>
              <a:cs typeface="Calibri" panose="020F0502020204030204" pitchFamily="34" charset="0"/>
            </a:rPr>
            <a:t>DIVIDEND PER SHARE</a:t>
          </a:r>
          <a:endParaRPr lang="en-US" sz="1100">
            <a:latin typeface="Calibri" panose="020F0502020204030204" pitchFamily="34" charset="0"/>
            <a:cs typeface="Calibri" panose="020F0502020204030204" pitchFamily="34" charset="0"/>
          </a:endParaRPr>
        </a:p>
        <a:p>
          <a:pPr marL="0" indent="0" algn="l"/>
          <a:r>
            <a:rPr lang="en-US" sz="1100">
              <a:latin typeface="Calibri" panose="020F0502020204030204" pitchFamily="34" charset="0"/>
              <a:cs typeface="Calibri" panose="020F0502020204030204" pitchFamily="34" charset="0"/>
            </a:rPr>
            <a:t>                                MARKET PRICE PER SHARE</a:t>
          </a:r>
        </a:p>
        <a:p>
          <a:pPr marL="0" indent="0" algn="l"/>
          <a:r>
            <a:rPr lang="en-US" sz="1100">
              <a:latin typeface="Calibri" panose="020F0502020204030204" pitchFamily="34" charset="0"/>
              <a:cs typeface="Calibri" panose="020F0502020204030204" pitchFamily="34" charset="0"/>
            </a:rPr>
            <a:t>    </a:t>
          </a:r>
        </a:p>
        <a:p>
          <a:pPr marL="0" indent="0" algn="l"/>
          <a:r>
            <a:rPr lang="en-US" sz="1100">
              <a:latin typeface="Calibri" panose="020F0502020204030204" pitchFamily="34" charset="0"/>
              <a:cs typeface="Calibri" panose="020F0502020204030204" pitchFamily="34" charset="0"/>
            </a:rPr>
            <a:t>DIVIDEND PAYOUT=     DIVIDEND PER EQUITY                            </a:t>
          </a:r>
        </a:p>
        <a:p>
          <a:pPr marL="0" indent="0" algn="l"/>
          <a:r>
            <a:rPr lang="en-US" sz="1100">
              <a:latin typeface="Calibri" panose="020F0502020204030204" pitchFamily="34" charset="0"/>
              <a:cs typeface="Calibri" panose="020F0502020204030204" pitchFamily="34" charset="0"/>
            </a:rPr>
            <a:t>                                          EARNINGS PER SHARE</a:t>
          </a:r>
        </a:p>
        <a:p>
          <a:pPr marL="0" indent="0" algn="l"/>
          <a:endParaRPr lang="en-US" sz="1100">
            <a:latin typeface="Calibri" panose="020F0502020204030204" pitchFamily="34" charset="0"/>
            <a:cs typeface="Calibri" panose="020F0502020204030204" pitchFamily="34" charset="0"/>
          </a:endParaRPr>
        </a:p>
        <a:p>
          <a:pPr marL="0" marR="0" indent="0" algn="l">
            <a:lnSpc>
              <a:spcPct val="100000"/>
            </a:lnSpc>
            <a:spcBef>
              <a:spcPts val="0"/>
            </a:spcBef>
            <a:spcAft>
              <a:spcPts val="0"/>
            </a:spcAft>
          </a:pPr>
          <a:r>
            <a:rPr lang="en-US" sz="1100">
              <a:latin typeface="Calibri" panose="020F0502020204030204" pitchFamily="34" charset="0"/>
              <a:cs typeface="Calibri" panose="020F0502020204030204" pitchFamily="34" charset="0"/>
            </a:rPr>
            <a:t>SALES GROWTH RATE=   CURRENT YEAR NET REVENUE- </a:t>
          </a:r>
          <a:r>
            <a:rPr lang="en-US" sz="1100" b="0" i="0" u="none" strike="noStrike">
              <a:solidFill>
                <a:srgbClr val="000000"/>
              </a:solidFill>
              <a:latin typeface="Calibri" panose="020F0502020204030204" pitchFamily="34" charset="0"/>
              <a:cs typeface="Calibri" panose="020F0502020204030204" pitchFamily="34" charset="0"/>
            </a:rPr>
            <a:t> PREVIOUS YEAR NET REVENUE      X100       </a:t>
          </a:r>
          <a:endParaRPr lang="en-US" sz="1100">
            <a:latin typeface="Calibri" panose="020F0502020204030204" pitchFamily="34" charset="0"/>
            <a:cs typeface="Calibri" panose="020F0502020204030204" pitchFamily="34" charset="0"/>
          </a:endParaRPr>
        </a:p>
        <a:p>
          <a:pPr marL="0" indent="0" algn="l"/>
          <a:r>
            <a:rPr lang="en-US" sz="1100">
              <a:latin typeface="Calibri" panose="020F0502020204030204" pitchFamily="34" charset="0"/>
              <a:cs typeface="Calibri" panose="020F0502020204030204" pitchFamily="34" charset="0"/>
            </a:rPr>
            <a:t>                                                                         PREVIOUS YEAR NET REVENUE</a:t>
          </a:r>
        </a:p>
        <a:p>
          <a:pPr marL="0" indent="0" algn="l"/>
          <a:endParaRPr lang="en-US" sz="1100">
            <a:latin typeface="Calibri" panose="020F0502020204030204" pitchFamily="34" charset="0"/>
            <a:cs typeface="Calibri" panose="020F0502020204030204" pitchFamily="34" charset="0"/>
          </a:endParaRPr>
        </a:p>
        <a:p>
          <a:pPr marL="0" marR="0" indent="0" algn="l">
            <a:lnSpc>
              <a:spcPct val="100000"/>
            </a:lnSpc>
            <a:spcBef>
              <a:spcPts val="0"/>
            </a:spcBef>
            <a:spcAft>
              <a:spcPts val="0"/>
            </a:spcAft>
          </a:pPr>
          <a:r>
            <a:rPr lang="en-US" sz="1100">
              <a:latin typeface="Calibri" panose="020F0502020204030204" pitchFamily="34" charset="0"/>
              <a:cs typeface="Calibri" panose="020F0502020204030204" pitchFamily="34" charset="0"/>
            </a:rPr>
            <a:t>FREE CASHFLOW TO EQUITY=  NET INCOME - </a:t>
          </a:r>
          <a:r>
            <a:rPr lang="en-US" sz="1100" b="0" i="0" u="none" strike="noStrike">
              <a:solidFill>
                <a:srgbClr val="000000"/>
              </a:solidFill>
              <a:latin typeface="Calibri" panose="020F0502020204030204" pitchFamily="34" charset="0"/>
              <a:cs typeface="Calibri" panose="020F0502020204030204" pitchFamily="34" charset="0"/>
            </a:rPr>
            <a:t>CAPITAL EXPENDITURE</a:t>
          </a:r>
          <a:r>
            <a:rPr lang="en-US" sz="1100">
              <a:latin typeface="Calibri" panose="020F0502020204030204" pitchFamily="34" charset="0"/>
              <a:cs typeface="Calibri" panose="020F0502020204030204" pitchFamily="34" charset="0"/>
            </a:rPr>
            <a:t> + DEPRECIATION&amp;AMORTIZATION + </a:t>
          </a:r>
          <a:r>
            <a:rPr lang="en-US" sz="1100" b="0" i="0" u="none" strike="noStrike">
              <a:solidFill>
                <a:srgbClr val="000000"/>
              </a:solidFill>
              <a:latin typeface="Calibri" panose="020F0502020204030204" pitchFamily="34" charset="0"/>
              <a:cs typeface="Calibri" panose="020F0502020204030204" pitchFamily="34" charset="0"/>
            </a:rPr>
            <a:t>CHANGE IN NON-CASH WORKING CAPITAL + NET BORROWINGS</a:t>
          </a:r>
          <a:r>
            <a:rPr lang="en-US" sz="1100">
              <a:latin typeface="Calibri" panose="020F0502020204030204" pitchFamily="34" charset="0"/>
              <a:cs typeface="Calibri" panose="020F0502020204030204" pitchFamily="34" charset="0"/>
            </a:rPr>
            <a:t>                                                              </a:t>
          </a:r>
        </a:p>
        <a:p>
          <a:pPr marL="0" marR="0" indent="0" algn="l">
            <a:lnSpc>
              <a:spcPct val="100000"/>
            </a:lnSpc>
            <a:spcBef>
              <a:spcPts val="0"/>
            </a:spcBef>
            <a:spcAft>
              <a:spcPts val="0"/>
            </a:spcAft>
          </a:pPr>
          <a:r>
            <a:rPr lang="en-US" sz="1100">
              <a:latin typeface="Calibri" panose="020F0502020204030204" pitchFamily="34" charset="0"/>
              <a:cs typeface="Calibri" panose="020F0502020204030204" pitchFamily="34" charset="0"/>
            </a:rPr>
            <a:t>                                                    (NET INCOME= EARNINGS AFTER TAX AND INTEREST)</a:t>
          </a:r>
        </a:p>
        <a:p>
          <a:pPr marL="0" marR="0" indent="0" algn="l">
            <a:lnSpc>
              <a:spcPct val="100000"/>
            </a:lnSpc>
            <a:spcBef>
              <a:spcPts val="0"/>
            </a:spcBef>
            <a:spcAft>
              <a:spcPts val="0"/>
            </a:spcAft>
          </a:pPr>
          <a:r>
            <a:rPr lang="en-US" sz="1100">
              <a:latin typeface="Calibri" panose="020F0502020204030204" pitchFamily="34" charset="0"/>
              <a:cs typeface="Calibri" panose="020F0502020204030204" pitchFamily="34" charset="0"/>
            </a:rPr>
            <a:t>                                                    (</a:t>
          </a:r>
          <a:r>
            <a:rPr lang="en-US" sz="1100" b="0" i="0" u="none" strike="noStrike">
              <a:solidFill>
                <a:srgbClr val="000000"/>
              </a:solidFill>
              <a:latin typeface="Calibri" panose="020F0502020204030204" pitchFamily="34" charset="0"/>
              <a:cs typeface="Calibri" panose="020F0502020204030204" pitchFamily="34" charset="0"/>
            </a:rPr>
            <a:t>CAPITAL EXPENDITURE=VALUE</a:t>
          </a:r>
          <a:r>
            <a:rPr lang="en-US" sz="1100">
              <a:latin typeface="Calibri" panose="020F0502020204030204" pitchFamily="34" charset="0"/>
              <a:cs typeface="Calibri" panose="020F0502020204030204" pitchFamily="34" charset="0"/>
            </a:rPr>
            <a:t> OF TANGIBLE ASSETS)</a:t>
          </a:r>
        </a:p>
        <a:p>
          <a:pPr marL="0" marR="0" indent="0" algn="l">
            <a:lnSpc>
              <a:spcPct val="100000"/>
            </a:lnSpc>
            <a:spcBef>
              <a:spcPts val="0"/>
            </a:spcBef>
            <a:spcAft>
              <a:spcPts val="0"/>
            </a:spcAft>
          </a:pPr>
          <a:r>
            <a:rPr lang="en-US" sz="1100">
              <a:latin typeface="Calibri" panose="020F0502020204030204" pitchFamily="34" charset="0"/>
              <a:cs typeface="Calibri" panose="020F0502020204030204" pitchFamily="34" charset="0"/>
            </a:rPr>
            <a:t>                                                    (CHANGE IN WORKING CAPITAL= CURRENT YEAR WORKING CAPITAL-PREVIOUS YEAR WORKING CAPITAL)</a:t>
          </a:r>
        </a:p>
        <a:p>
          <a:pPr marL="0" marR="0" indent="0" algn="l">
            <a:lnSpc>
              <a:spcPct val="100000"/>
            </a:lnSpc>
            <a:spcBef>
              <a:spcPts val="0"/>
            </a:spcBef>
            <a:spcAft>
              <a:spcPts val="0"/>
            </a:spcAft>
          </a:pPr>
          <a:r>
            <a:rPr lang="en-US" sz="1100">
              <a:latin typeface="Calibri" panose="020F0502020204030204" pitchFamily="34" charset="0"/>
              <a:cs typeface="Calibri" panose="020F0502020204030204" pitchFamily="34" charset="0"/>
            </a:rPr>
            <a:t>                                                    (WORKING CAPITAL=CURRENT ASSETS -CURRENT LIABILITIES)</a:t>
          </a:r>
        </a:p>
        <a:p>
          <a:pPr marL="0" marR="0" indent="0" algn="l">
            <a:lnSpc>
              <a:spcPct val="100000"/>
            </a:lnSpc>
            <a:spcBef>
              <a:spcPts val="0"/>
            </a:spcBef>
            <a:spcAft>
              <a:spcPts val="0"/>
            </a:spcAft>
          </a:pPr>
          <a:r>
            <a:rPr lang="en-US" sz="1100">
              <a:latin typeface="Calibri" panose="020F0502020204030204" pitchFamily="34" charset="0"/>
              <a:cs typeface="Calibri" panose="020F0502020204030204" pitchFamily="34" charset="0"/>
            </a:rPr>
            <a:t>                                                    (NET BORROWINGS=SHORT TERM BORROWINGS+LONG TERM BORROWINGS)                       </a:t>
          </a:r>
          <a:endParaRPr lang="en-US" sz="1100">
            <a:latin typeface="+mn-lt"/>
            <a:ea typeface="+mn-lt"/>
            <a:cs typeface="+mn-lt"/>
          </a:endParaRPr>
        </a:p>
        <a:p>
          <a:pPr marL="0" marR="0" indent="0" algn="l">
            <a:lnSpc>
              <a:spcPct val="100000"/>
            </a:lnSpc>
            <a:spcBef>
              <a:spcPts val="0"/>
            </a:spcBef>
            <a:spcAft>
              <a:spcPts val="0"/>
            </a:spcAft>
          </a:pPr>
          <a:r>
            <a:rPr lang="en-US" sz="1100">
              <a:latin typeface="+mn-lt"/>
              <a:ea typeface="+mn-lt"/>
              <a:cs typeface="+mn-lt"/>
            </a:rPr>
            <a:t>                             </a:t>
          </a:r>
        </a:p>
        <a:p>
          <a:pPr marL="0" indent="0" algn="l"/>
          <a:r>
            <a:rPr lang="en-US" sz="1100">
              <a:latin typeface="+mn-lt"/>
              <a:ea typeface="+mn-lt"/>
              <a:cs typeface="+mn-lt"/>
            </a:rPr>
            <a:t>                                           </a:t>
          </a:r>
        </a:p>
      </xdr:txBody>
    </xdr:sp>
    <xdr:clientData/>
  </xdr:twoCellAnchor>
  <xdr:twoCellAnchor>
    <xdr:from>
      <xdr:col>1</xdr:col>
      <xdr:colOff>742950</xdr:colOff>
      <xdr:row>59</xdr:row>
      <xdr:rowOff>85725</xdr:rowOff>
    </xdr:from>
    <xdr:to>
      <xdr:col>2</xdr:col>
      <xdr:colOff>1019175</xdr:colOff>
      <xdr:row>59</xdr:row>
      <xdr:rowOff>180975</xdr:rowOff>
    </xdr:to>
    <xdr:sp macro="" textlink="">
      <xdr:nvSpPr>
        <xdr:cNvPr id="6" name="Minus 5">
          <a:extLst>
            <a:ext uri="{FF2B5EF4-FFF2-40B4-BE49-F238E27FC236}">
              <a16:creationId xmlns:a16="http://schemas.microsoft.com/office/drawing/2014/main" id="{F6D38A6F-67CE-4B67-8D87-5F118B990AC6}"/>
            </a:ext>
            <a:ext uri="{147F2762-F138-4A5C-976F-8EAC2B608ADB}">
              <a16:predDERef xmlns:a16="http://schemas.microsoft.com/office/drawing/2014/main" pred="{FB8C9FF9-2B6F-4B9D-98ED-07E601260CB8}"/>
            </a:ext>
          </a:extLst>
        </xdr:cNvPr>
        <xdr:cNvSpPr/>
      </xdr:nvSpPr>
      <xdr:spPr>
        <a:xfrm>
          <a:off x="1790700" y="12315825"/>
          <a:ext cx="2171700" cy="95250"/>
        </a:xfrm>
        <a:prstGeom prst="mathMinus">
          <a:avLst/>
        </a:prstGeom>
        <a:solidFill>
          <a:srgbClr val="000000"/>
        </a:solidFill>
        <a:ln w="12700">
          <a:solidFill>
            <a:srgbClr val="000000"/>
          </a:solidFill>
          <a:prstDash val="solid"/>
        </a:ln>
        <a:effectLst/>
      </xdr:spPr>
      <xdr:style>
        <a:lnRef idx="2">
          <a:schemeClr val="accent1">
            <a:shade val="50000"/>
          </a:schemeClr>
        </a:lnRef>
        <a:fillRef idx="1">
          <a:schemeClr val="accent1"/>
        </a:fillRef>
        <a:effectRef idx="0">
          <a:schemeClr val="accent1"/>
        </a:effectRef>
        <a:fontRef idx="minor">
          <a:srgbClr val="FFFFFF"/>
        </a:fontRef>
      </xdr:style>
      <xdr:txBody>
        <a:bodyPr rtlCol="0" anchor="t"/>
        <a:lstStyle>
          <a:lvl1pPr marL="0" indent="0">
            <a:defRPr sz="1100">
              <a:solidFill>
                <a:srgbClr val="FFFFFF"/>
              </a:solidFill>
              <a:latin typeface="+mn-lt"/>
              <a:ea typeface="+mn-ea"/>
              <a:cs typeface="+mn-cs"/>
            </a:defRPr>
          </a:lvl1pPr>
          <a:lvl2pPr marL="457200" indent="0">
            <a:defRPr sz="1100">
              <a:solidFill>
                <a:srgbClr val="FFFFFF"/>
              </a:solidFill>
              <a:latin typeface="+mn-lt"/>
              <a:ea typeface="+mn-ea"/>
              <a:cs typeface="+mn-cs"/>
            </a:defRPr>
          </a:lvl2pPr>
          <a:lvl3pPr marL="914400" indent="0">
            <a:defRPr sz="1100">
              <a:solidFill>
                <a:srgbClr val="FFFFFF"/>
              </a:solidFill>
              <a:latin typeface="+mn-lt"/>
              <a:ea typeface="+mn-ea"/>
              <a:cs typeface="+mn-cs"/>
            </a:defRPr>
          </a:lvl3pPr>
          <a:lvl4pPr marL="1371600" indent="0">
            <a:defRPr sz="1100">
              <a:solidFill>
                <a:srgbClr val="FFFFFF"/>
              </a:solidFill>
              <a:latin typeface="+mn-lt"/>
              <a:ea typeface="+mn-ea"/>
              <a:cs typeface="+mn-cs"/>
            </a:defRPr>
          </a:lvl4pPr>
          <a:lvl5pPr marL="1828800" indent="0">
            <a:defRPr sz="1100">
              <a:solidFill>
                <a:srgbClr val="FFFFFF"/>
              </a:solidFill>
              <a:latin typeface="+mn-lt"/>
              <a:ea typeface="+mn-ea"/>
              <a:cs typeface="+mn-cs"/>
            </a:defRPr>
          </a:lvl5pPr>
          <a:lvl6pPr marL="2286000" indent="0">
            <a:defRPr sz="1100">
              <a:solidFill>
                <a:srgbClr val="FFFFFF"/>
              </a:solidFill>
              <a:latin typeface="+mn-lt"/>
              <a:ea typeface="+mn-ea"/>
              <a:cs typeface="+mn-cs"/>
            </a:defRPr>
          </a:lvl6pPr>
          <a:lvl7pPr marL="2743200" indent="0">
            <a:defRPr sz="1100">
              <a:solidFill>
                <a:srgbClr val="FFFFFF"/>
              </a:solidFill>
              <a:latin typeface="+mn-lt"/>
              <a:ea typeface="+mn-ea"/>
              <a:cs typeface="+mn-cs"/>
            </a:defRPr>
          </a:lvl7pPr>
          <a:lvl8pPr marL="3200400" indent="0">
            <a:defRPr sz="1100">
              <a:solidFill>
                <a:srgbClr val="FFFFFF"/>
              </a:solidFill>
              <a:latin typeface="+mn-lt"/>
              <a:ea typeface="+mn-ea"/>
              <a:cs typeface="+mn-cs"/>
            </a:defRPr>
          </a:lvl8pPr>
          <a:lvl9pPr marL="3657600" indent="0">
            <a:defRPr sz="1100">
              <a:solidFill>
                <a:srgbClr val="FFFFFF"/>
              </a:solidFill>
              <a:latin typeface="+mn-lt"/>
              <a:ea typeface="+mn-ea"/>
              <a:cs typeface="+mn-cs"/>
            </a:defRPr>
          </a:lvl9pPr>
        </a:lstStyle>
        <a:p>
          <a:pPr algn="l"/>
          <a:endParaRPr lang="en-US"/>
        </a:p>
      </xdr:txBody>
    </xdr:sp>
    <xdr:clientData/>
  </xdr:twoCellAnchor>
  <xdr:twoCellAnchor>
    <xdr:from>
      <xdr:col>1</xdr:col>
      <xdr:colOff>990600</xdr:colOff>
      <xdr:row>62</xdr:row>
      <xdr:rowOff>19050</xdr:rowOff>
    </xdr:from>
    <xdr:to>
      <xdr:col>2</xdr:col>
      <xdr:colOff>1104900</xdr:colOff>
      <xdr:row>62</xdr:row>
      <xdr:rowOff>152400</xdr:rowOff>
    </xdr:to>
    <xdr:sp macro="" textlink="">
      <xdr:nvSpPr>
        <xdr:cNvPr id="7" name="Minus 6">
          <a:extLst>
            <a:ext uri="{FF2B5EF4-FFF2-40B4-BE49-F238E27FC236}">
              <a16:creationId xmlns:a16="http://schemas.microsoft.com/office/drawing/2014/main" id="{A3D99AF4-76A4-48A8-9BE0-41410C53FC47}"/>
            </a:ext>
            <a:ext uri="{147F2762-F138-4A5C-976F-8EAC2B608ADB}">
              <a16:predDERef xmlns:a16="http://schemas.microsoft.com/office/drawing/2014/main" pred="{F6D38A6F-67CE-4B67-8D87-5F118B990AC6}"/>
            </a:ext>
          </a:extLst>
        </xdr:cNvPr>
        <xdr:cNvSpPr/>
      </xdr:nvSpPr>
      <xdr:spPr>
        <a:xfrm>
          <a:off x="2038350" y="12820650"/>
          <a:ext cx="2009775" cy="133350"/>
        </a:xfrm>
        <a:prstGeom prst="mathMinus">
          <a:avLst/>
        </a:prstGeom>
        <a:solidFill>
          <a:srgbClr val="000000"/>
        </a:solidFill>
        <a:ln w="12700">
          <a:solidFill>
            <a:srgbClr val="000000"/>
          </a:solidFill>
          <a:prstDash val="solid"/>
        </a:ln>
        <a:effectLst/>
      </xdr:spPr>
      <xdr:style>
        <a:lnRef idx="2">
          <a:schemeClr val="accent1">
            <a:shade val="50000"/>
          </a:schemeClr>
        </a:lnRef>
        <a:fillRef idx="1">
          <a:schemeClr val="accent1"/>
        </a:fillRef>
        <a:effectRef idx="0">
          <a:schemeClr val="accent1"/>
        </a:effectRef>
        <a:fontRef idx="minor">
          <a:srgbClr val="FFFFFF"/>
        </a:fontRef>
      </xdr:style>
      <xdr:txBody>
        <a:bodyPr rot="0" spcFirstLastPara="0" vert="horz" wrap="square" lIns="91440" tIns="45720" rIns="91440" bIns="45720" numCol="1" spcCol="0" rtlCol="0" fromWordArt="0" anchor="t" anchorCtr="0" forceAA="0" compatLnSpc="1">
          <a:prstTxWarp prst="textNoShape">
            <a:avLst/>
          </a:prstTxWarp>
          <a:noAutofit/>
        </a:bodyPr>
        <a:lstStyle>
          <a:lvl1pPr marL="0" indent="0">
            <a:defRPr sz="1100">
              <a:solidFill>
                <a:srgbClr val="FFFFFF"/>
              </a:solidFill>
              <a:latin typeface="+mn-lt"/>
              <a:ea typeface="+mn-ea"/>
              <a:cs typeface="+mn-cs"/>
            </a:defRPr>
          </a:lvl1pPr>
          <a:lvl2pPr marL="457200" indent="0">
            <a:defRPr sz="1100">
              <a:solidFill>
                <a:srgbClr val="FFFFFF"/>
              </a:solidFill>
              <a:latin typeface="+mn-lt"/>
              <a:ea typeface="+mn-ea"/>
              <a:cs typeface="+mn-cs"/>
            </a:defRPr>
          </a:lvl2pPr>
          <a:lvl3pPr marL="914400" indent="0">
            <a:defRPr sz="1100">
              <a:solidFill>
                <a:srgbClr val="FFFFFF"/>
              </a:solidFill>
              <a:latin typeface="+mn-lt"/>
              <a:ea typeface="+mn-ea"/>
              <a:cs typeface="+mn-cs"/>
            </a:defRPr>
          </a:lvl3pPr>
          <a:lvl4pPr marL="1371600" indent="0">
            <a:defRPr sz="1100">
              <a:solidFill>
                <a:srgbClr val="FFFFFF"/>
              </a:solidFill>
              <a:latin typeface="+mn-lt"/>
              <a:ea typeface="+mn-ea"/>
              <a:cs typeface="+mn-cs"/>
            </a:defRPr>
          </a:lvl4pPr>
          <a:lvl5pPr marL="1828800" indent="0">
            <a:defRPr sz="1100">
              <a:solidFill>
                <a:srgbClr val="FFFFFF"/>
              </a:solidFill>
              <a:latin typeface="+mn-lt"/>
              <a:ea typeface="+mn-ea"/>
              <a:cs typeface="+mn-cs"/>
            </a:defRPr>
          </a:lvl5pPr>
          <a:lvl6pPr marL="2286000" indent="0">
            <a:defRPr sz="1100">
              <a:solidFill>
                <a:srgbClr val="FFFFFF"/>
              </a:solidFill>
              <a:latin typeface="+mn-lt"/>
              <a:ea typeface="+mn-ea"/>
              <a:cs typeface="+mn-cs"/>
            </a:defRPr>
          </a:lvl6pPr>
          <a:lvl7pPr marL="2743200" indent="0">
            <a:defRPr sz="1100">
              <a:solidFill>
                <a:srgbClr val="FFFFFF"/>
              </a:solidFill>
              <a:latin typeface="+mn-lt"/>
              <a:ea typeface="+mn-ea"/>
              <a:cs typeface="+mn-cs"/>
            </a:defRPr>
          </a:lvl7pPr>
          <a:lvl8pPr marL="3200400" indent="0">
            <a:defRPr sz="1100">
              <a:solidFill>
                <a:srgbClr val="FFFFFF"/>
              </a:solidFill>
              <a:latin typeface="+mn-lt"/>
              <a:ea typeface="+mn-ea"/>
              <a:cs typeface="+mn-cs"/>
            </a:defRPr>
          </a:lvl8pPr>
          <a:lvl9pPr marL="3657600" indent="0">
            <a:defRPr sz="1100">
              <a:solidFill>
                <a:srgbClr val="FFFFFF"/>
              </a:solidFill>
              <a:latin typeface="+mn-lt"/>
              <a:ea typeface="+mn-ea"/>
              <a:cs typeface="+mn-cs"/>
            </a:defRPr>
          </a:lvl9pPr>
        </a:lstStyle>
        <a:p>
          <a:pPr algn="l"/>
          <a:endParaRPr lang="en-US"/>
        </a:p>
      </xdr:txBody>
    </xdr:sp>
    <xdr:clientData/>
  </xdr:twoCellAnchor>
  <xdr:twoCellAnchor>
    <xdr:from>
      <xdr:col>1</xdr:col>
      <xdr:colOff>809625</xdr:colOff>
      <xdr:row>64</xdr:row>
      <xdr:rowOff>152400</xdr:rowOff>
    </xdr:from>
    <xdr:to>
      <xdr:col>3</xdr:col>
      <xdr:colOff>1276350</xdr:colOff>
      <xdr:row>65</xdr:row>
      <xdr:rowOff>66675</xdr:rowOff>
    </xdr:to>
    <xdr:sp macro="" textlink="">
      <xdr:nvSpPr>
        <xdr:cNvPr id="8" name="Minus 7">
          <a:extLst>
            <a:ext uri="{FF2B5EF4-FFF2-40B4-BE49-F238E27FC236}">
              <a16:creationId xmlns:a16="http://schemas.microsoft.com/office/drawing/2014/main" id="{51C2DC93-4F12-4A3A-8786-9C10A70FBDAB}"/>
            </a:ext>
            <a:ext uri="{147F2762-F138-4A5C-976F-8EAC2B608ADB}">
              <a16:predDERef xmlns:a16="http://schemas.microsoft.com/office/drawing/2014/main" pred="{A3D99AF4-76A4-48A8-9BE0-41410C53FC47}"/>
            </a:ext>
          </a:extLst>
        </xdr:cNvPr>
        <xdr:cNvSpPr/>
      </xdr:nvSpPr>
      <xdr:spPr>
        <a:xfrm>
          <a:off x="1857375" y="13335000"/>
          <a:ext cx="4943475" cy="104775"/>
        </a:xfrm>
        <a:prstGeom prst="mathMinus">
          <a:avLst/>
        </a:prstGeom>
        <a:solidFill>
          <a:srgbClr val="000000"/>
        </a:solidFill>
        <a:ln w="12700">
          <a:solidFill>
            <a:srgbClr val="000000"/>
          </a:solidFill>
          <a:prstDash val="solid"/>
        </a:ln>
        <a:effectLst/>
      </xdr:spPr>
      <xdr:style>
        <a:lnRef idx="2">
          <a:schemeClr val="accent1">
            <a:shade val="50000"/>
          </a:schemeClr>
        </a:lnRef>
        <a:fillRef idx="1">
          <a:schemeClr val="accent1"/>
        </a:fillRef>
        <a:effectRef idx="0">
          <a:schemeClr val="accent1"/>
        </a:effectRef>
        <a:fontRef idx="minor">
          <a:srgbClr val="FFFFFF"/>
        </a:fontRef>
      </xdr:style>
      <xdr:txBody>
        <a:bodyPr rot="0" spcFirstLastPara="0" vert="horz" wrap="square" lIns="91440" tIns="45720" rIns="91440" bIns="45720" numCol="1" spcCol="0" rtlCol="0" fromWordArt="0" anchor="t" anchorCtr="0" forceAA="0" compatLnSpc="1">
          <a:prstTxWarp prst="textNoShape">
            <a:avLst/>
          </a:prstTxWarp>
          <a:noAutofit/>
        </a:bodyPr>
        <a:lstStyle>
          <a:lvl1pPr marL="0" indent="0">
            <a:defRPr sz="1100">
              <a:solidFill>
                <a:srgbClr val="FFFFFF"/>
              </a:solidFill>
              <a:latin typeface="+mn-lt"/>
              <a:ea typeface="+mn-ea"/>
              <a:cs typeface="+mn-cs"/>
            </a:defRPr>
          </a:lvl1pPr>
          <a:lvl2pPr marL="457200" indent="0">
            <a:defRPr sz="1100">
              <a:solidFill>
                <a:srgbClr val="FFFFFF"/>
              </a:solidFill>
              <a:latin typeface="+mn-lt"/>
              <a:ea typeface="+mn-ea"/>
              <a:cs typeface="+mn-cs"/>
            </a:defRPr>
          </a:lvl2pPr>
          <a:lvl3pPr marL="914400" indent="0">
            <a:defRPr sz="1100">
              <a:solidFill>
                <a:srgbClr val="FFFFFF"/>
              </a:solidFill>
              <a:latin typeface="+mn-lt"/>
              <a:ea typeface="+mn-ea"/>
              <a:cs typeface="+mn-cs"/>
            </a:defRPr>
          </a:lvl3pPr>
          <a:lvl4pPr marL="1371600" indent="0">
            <a:defRPr sz="1100">
              <a:solidFill>
                <a:srgbClr val="FFFFFF"/>
              </a:solidFill>
              <a:latin typeface="+mn-lt"/>
              <a:ea typeface="+mn-ea"/>
              <a:cs typeface="+mn-cs"/>
            </a:defRPr>
          </a:lvl4pPr>
          <a:lvl5pPr marL="1828800" indent="0">
            <a:defRPr sz="1100">
              <a:solidFill>
                <a:srgbClr val="FFFFFF"/>
              </a:solidFill>
              <a:latin typeface="+mn-lt"/>
              <a:ea typeface="+mn-ea"/>
              <a:cs typeface="+mn-cs"/>
            </a:defRPr>
          </a:lvl5pPr>
          <a:lvl6pPr marL="2286000" indent="0">
            <a:defRPr sz="1100">
              <a:solidFill>
                <a:srgbClr val="FFFFFF"/>
              </a:solidFill>
              <a:latin typeface="+mn-lt"/>
              <a:ea typeface="+mn-ea"/>
              <a:cs typeface="+mn-cs"/>
            </a:defRPr>
          </a:lvl6pPr>
          <a:lvl7pPr marL="2743200" indent="0">
            <a:defRPr sz="1100">
              <a:solidFill>
                <a:srgbClr val="FFFFFF"/>
              </a:solidFill>
              <a:latin typeface="+mn-lt"/>
              <a:ea typeface="+mn-ea"/>
              <a:cs typeface="+mn-cs"/>
            </a:defRPr>
          </a:lvl7pPr>
          <a:lvl8pPr marL="3200400" indent="0">
            <a:defRPr sz="1100">
              <a:solidFill>
                <a:srgbClr val="FFFFFF"/>
              </a:solidFill>
              <a:latin typeface="+mn-lt"/>
              <a:ea typeface="+mn-ea"/>
              <a:cs typeface="+mn-cs"/>
            </a:defRPr>
          </a:lvl8pPr>
          <a:lvl9pPr marL="3657600" indent="0">
            <a:defRPr sz="1100">
              <a:solidFill>
                <a:srgbClr val="FFFFFF"/>
              </a:solidFill>
              <a:latin typeface="+mn-lt"/>
              <a:ea typeface="+mn-ea"/>
              <a:cs typeface="+mn-cs"/>
            </a:defRPr>
          </a:lvl9pPr>
        </a:lstStyle>
        <a:p>
          <a:pPr marL="0" indent="0" algn="l"/>
          <a:endParaRPr lang="en-US" sz="1100">
            <a:solidFill>
              <a:srgbClr val="FFFFFF"/>
            </a:solidFill>
            <a:latin typeface="+mn-lt"/>
            <a:ea typeface="+mn-lt"/>
            <a:cs typeface="+mn-lt"/>
          </a:endParaRPr>
        </a:p>
      </xdr:txBody>
    </xdr:sp>
    <xdr:clientData/>
  </xdr:twoCellAnchor>
  <xdr:twoCellAnchor>
    <xdr:from>
      <xdr:col>5</xdr:col>
      <xdr:colOff>609600</xdr:colOff>
      <xdr:row>58</xdr:row>
      <xdr:rowOff>180975</xdr:rowOff>
    </xdr:from>
    <xdr:to>
      <xdr:col>7</xdr:col>
      <xdr:colOff>400050</xdr:colOff>
      <xdr:row>71</xdr:row>
      <xdr:rowOff>47625</xdr:rowOff>
    </xdr:to>
    <xdr:sp macro="" textlink="">
      <xdr:nvSpPr>
        <xdr:cNvPr id="4" name="TextBox 1">
          <a:extLst>
            <a:ext uri="{FF2B5EF4-FFF2-40B4-BE49-F238E27FC236}">
              <a16:creationId xmlns:a16="http://schemas.microsoft.com/office/drawing/2014/main" id="{E374FE5A-3350-45D7-BB8E-CE92FAD8CA20}"/>
            </a:ext>
            <a:ext uri="{147F2762-F138-4A5C-976F-8EAC2B608ADB}">
              <a16:predDERef xmlns:a16="http://schemas.microsoft.com/office/drawing/2014/main" pred="{51C2DC93-4F12-4A3A-8786-9C10A70FBDAB}"/>
            </a:ext>
          </a:extLst>
        </xdr:cNvPr>
        <xdr:cNvSpPr txBox="1"/>
      </xdr:nvSpPr>
      <xdr:spPr>
        <a:xfrm>
          <a:off x="11506200" y="12220575"/>
          <a:ext cx="4057650" cy="2343150"/>
        </a:xfrm>
        <a:prstGeom prst="rect">
          <a:avLst/>
        </a:prstGeom>
        <a:solidFill>
          <a:srgbClr val="FFF2CC"/>
        </a:solidFill>
        <a:ln w="9525" cmpd="sng">
          <a:solidFill>
            <a:srgbClr val="000000"/>
          </a:solidFill>
        </a:ln>
      </xdr:spPr>
      <xdr:txBody>
        <a:bodyPr vertOverflow="clip" horzOverflow="clip" wrap="square" lIns="91440" tIns="45720" rIns="91440" bIns="45720" rtlCol="0" anchor="t">
          <a:noAutofit/>
        </a:bodyPr>
        <a:lstStyle/>
        <a:p>
          <a:pPr marL="0" indent="0" algn="ctr"/>
          <a:r>
            <a:rPr lang="en-US" sz="1600" b="1">
              <a:latin typeface="+mn-lt"/>
              <a:ea typeface="+mn-lt"/>
              <a:cs typeface="+mn-lt"/>
            </a:rPr>
            <a:t>SOURCES</a:t>
          </a:r>
          <a:endParaRPr lang="en-US" sz="1100" b="0">
            <a:latin typeface="+mn-lt"/>
            <a:ea typeface="+mn-lt"/>
            <a:cs typeface="+mn-lt"/>
          </a:endParaRPr>
        </a:p>
        <a:p>
          <a:pPr marL="0" indent="0" algn="l"/>
          <a:r>
            <a:rPr lang="en-US" sz="1100" b="0">
              <a:latin typeface="+mn-lt"/>
              <a:ea typeface="+mn-lt"/>
              <a:cs typeface="+mn-lt"/>
            </a:rPr>
            <a:t>https://www.moneycontrol.com/financials/tatamotors/profit-lossVI/TM03#TM03</a:t>
          </a:r>
        </a:p>
        <a:p>
          <a:pPr marL="0" indent="0" algn="l"/>
          <a:endParaRPr lang="en-US" sz="1100" b="0">
            <a:latin typeface="+mn-lt"/>
            <a:ea typeface="+mn-lt"/>
            <a:cs typeface="+mn-lt"/>
          </a:endParaRPr>
        </a:p>
        <a:p>
          <a:pPr marL="0" indent="0" algn="l"/>
          <a:r>
            <a:rPr lang="en-US" sz="1100" b="0">
              <a:latin typeface="+mn-lt"/>
              <a:ea typeface="+mn-lt"/>
              <a:cs typeface="+mn-lt"/>
            </a:rPr>
            <a:t>https://www.moneycontrol.com/financials/tatamotors/balance-sheetVI/TM03#TM03</a:t>
          </a:r>
        </a:p>
        <a:p>
          <a:pPr marL="0" indent="0" algn="l"/>
          <a:endParaRPr lang="en-US" sz="1100" b="0">
            <a:latin typeface="+mn-lt"/>
            <a:ea typeface="+mn-lt"/>
            <a:cs typeface="+mn-lt"/>
          </a:endParaRPr>
        </a:p>
        <a:p>
          <a:pPr marL="0" indent="0" algn="l"/>
          <a:r>
            <a:rPr lang="en-US" sz="1100" b="0">
              <a:latin typeface="+mn-lt"/>
              <a:ea typeface="+mn-lt"/>
              <a:cs typeface="+mn-lt"/>
            </a:rPr>
            <a:t>https://www.investello.com/Analysis/Dashboard/TATAMOTORS</a:t>
          </a:r>
        </a:p>
        <a:p>
          <a:pPr marL="0" indent="0" algn="l"/>
          <a:endParaRPr lang="en-US" sz="1100" b="0">
            <a:latin typeface="+mn-lt"/>
            <a:ea typeface="+mn-lt"/>
            <a:cs typeface="+mn-lt"/>
          </a:endParaRPr>
        </a:p>
        <a:p>
          <a:pPr marL="0" indent="0" algn="l"/>
          <a:r>
            <a:rPr lang="en-US" sz="1100" b="0">
              <a:latin typeface="+mn-lt"/>
              <a:ea typeface="+mn-lt"/>
              <a:cs typeface="+mn-lt"/>
            </a:rPr>
            <a:t>https://www.capitalmarket.com/Company-Information/Financials/Profit-and-Loss/Tata-Motors-Ltd/560</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6</xdr:col>
      <xdr:colOff>600075</xdr:colOff>
      <xdr:row>10</xdr:row>
      <xdr:rowOff>171450</xdr:rowOff>
    </xdr:from>
    <xdr:to>
      <xdr:col>17</xdr:col>
      <xdr:colOff>352425</xdr:colOff>
      <xdr:row>24</xdr:row>
      <xdr:rowOff>9525</xdr:rowOff>
    </xdr:to>
    <xdr:sp macro="" textlink="">
      <xdr:nvSpPr>
        <xdr:cNvPr id="39" name="TextBox 1">
          <a:extLst>
            <a:ext uri="{FF2B5EF4-FFF2-40B4-BE49-F238E27FC236}">
              <a16:creationId xmlns:a16="http://schemas.microsoft.com/office/drawing/2014/main" id="{DB213F0A-27AF-47E2-809D-90A1AA44BC2B}"/>
            </a:ext>
          </a:extLst>
        </xdr:cNvPr>
        <xdr:cNvSpPr txBox="1"/>
      </xdr:nvSpPr>
      <xdr:spPr>
        <a:xfrm>
          <a:off x="6696075" y="2076450"/>
          <a:ext cx="6457950" cy="2505075"/>
        </a:xfrm>
        <a:prstGeom prst="rect">
          <a:avLst/>
        </a:prstGeom>
        <a:solidFill>
          <a:srgbClr val="AFF0E6"/>
        </a:solidFill>
        <a:ln w="9525" cmpd="sng">
          <a:solidFill>
            <a:schemeClr val="lt1">
              <a:shade val="50000"/>
            </a:schemeClr>
          </a:solidFill>
        </a:ln>
      </xdr:spPr>
      <xdr:txBody>
        <a:bodyPr vertOverflow="clip" horzOverflow="clip" wrap="square" lIns="91440" tIns="45720" rIns="91440" bIns="45720" rtlCol="0" anchor="t">
          <a:noAutofit/>
        </a:bodyPr>
        <a:lstStyle/>
        <a:p>
          <a:pPr marL="0" indent="0" algn="ctr"/>
          <a:r>
            <a:rPr lang="en-US" sz="2000">
              <a:latin typeface="Comic Sans MS" panose="030F0702030302020204" pitchFamily="66" charset="0"/>
            </a:rPr>
            <a:t>Formulas</a:t>
          </a:r>
          <a:endParaRPr lang="en-US" sz="1400">
            <a:latin typeface="+mn-lt"/>
            <a:ea typeface="+mn-lt"/>
            <a:cs typeface="+mn-lt"/>
          </a:endParaRPr>
        </a:p>
        <a:p>
          <a:pPr marL="0" indent="0" algn="l"/>
          <a:endParaRPr lang="en-US" sz="1400">
            <a:latin typeface="+mn-lt"/>
            <a:ea typeface="+mn-lt"/>
            <a:cs typeface="+mn-lt"/>
          </a:endParaRPr>
        </a:p>
        <a:p>
          <a:pPr marL="0" indent="0" algn="l"/>
          <a:r>
            <a:rPr lang="en-US" sz="1400">
              <a:latin typeface="+mn-lt"/>
              <a:ea typeface="+mn-lt"/>
              <a:cs typeface="+mn-lt"/>
            </a:rPr>
            <a:t>1)Dividend yield: Dividend per share/market price per share</a:t>
          </a:r>
        </a:p>
        <a:p>
          <a:pPr marL="0" indent="0" algn="l"/>
          <a:endParaRPr lang="en-US" sz="1400">
            <a:latin typeface="+mn-lt"/>
            <a:ea typeface="+mn-lt"/>
            <a:cs typeface="+mn-lt"/>
          </a:endParaRPr>
        </a:p>
        <a:p>
          <a:pPr marL="0" indent="0" algn="l"/>
          <a:r>
            <a:rPr lang="en-US" sz="1400">
              <a:latin typeface="+mn-lt"/>
              <a:ea typeface="+mn-lt"/>
              <a:cs typeface="+mn-lt"/>
            </a:rPr>
            <a:t>2)Dividend payout: Dividend per share/earning per share/earning per share*100</a:t>
          </a:r>
        </a:p>
        <a:p>
          <a:pPr marL="0" indent="0" algn="l"/>
          <a:endParaRPr lang="en-US" sz="1400">
            <a:latin typeface="+mn-lt"/>
            <a:ea typeface="+mn-lt"/>
            <a:cs typeface="+mn-lt"/>
          </a:endParaRPr>
        </a:p>
        <a:p>
          <a:pPr marL="0" indent="0" algn="l"/>
          <a:r>
            <a:rPr lang="en-US" sz="1400">
              <a:latin typeface="+mn-lt"/>
              <a:ea typeface="+mn-lt"/>
              <a:cs typeface="+mn-lt"/>
            </a:rPr>
            <a:t>3)Sales growth rate: (Current Years sales-Previous years sales)/previous years sale</a:t>
          </a:r>
        </a:p>
        <a:p>
          <a:pPr marL="0" indent="0" algn="l"/>
          <a:endParaRPr lang="en-US" sz="1400">
            <a:latin typeface="+mn-lt"/>
            <a:ea typeface="+mn-lt"/>
            <a:cs typeface="+mn-lt"/>
          </a:endParaRPr>
        </a:p>
        <a:p>
          <a:pPr marL="0" marR="0" indent="0" algn="l">
            <a:lnSpc>
              <a:spcPct val="100000"/>
            </a:lnSpc>
            <a:spcBef>
              <a:spcPts val="0"/>
            </a:spcBef>
            <a:spcAft>
              <a:spcPts val="0"/>
            </a:spcAft>
          </a:pPr>
          <a:r>
            <a:rPr lang="en-US" sz="1400">
              <a:latin typeface="+mn-lt"/>
              <a:ea typeface="+mn-lt"/>
              <a:cs typeface="+mn-lt"/>
            </a:rPr>
            <a:t>4)FCFE:</a:t>
          </a:r>
          <a:r>
            <a:rPr lang="en-US" sz="1400" b="0" i="0" u="none" strike="noStrike">
              <a:solidFill>
                <a:srgbClr val="000000"/>
              </a:solidFill>
              <a:latin typeface="Calibri" panose="020F0502020204030204" pitchFamily="34" charset="0"/>
              <a:cs typeface="Calibri" panose="020F0502020204030204" pitchFamily="34" charset="0"/>
            </a:rPr>
            <a:t>Cash from operations-Capital expenditure+Net debt issued</a:t>
          </a:r>
        </a:p>
      </xdr:txBody>
    </xdr:sp>
    <xdr:clientData/>
  </xdr:twoCellAnchor>
  <xdr:twoCellAnchor>
    <xdr:from>
      <xdr:col>1</xdr:col>
      <xdr:colOff>0</xdr:colOff>
      <xdr:row>0</xdr:row>
      <xdr:rowOff>19050</xdr:rowOff>
    </xdr:from>
    <xdr:to>
      <xdr:col>6</xdr:col>
      <xdr:colOff>600075</xdr:colOff>
      <xdr:row>5</xdr:row>
      <xdr:rowOff>171450</xdr:rowOff>
    </xdr:to>
    <xdr:sp macro="" textlink="">
      <xdr:nvSpPr>
        <xdr:cNvPr id="38" name="TextBox 2">
          <a:extLst>
            <a:ext uri="{FF2B5EF4-FFF2-40B4-BE49-F238E27FC236}">
              <a16:creationId xmlns:a16="http://schemas.microsoft.com/office/drawing/2014/main" id="{4A78F3BA-14A4-42CB-8471-F7410499A8BF}"/>
            </a:ext>
            <a:ext uri="{147F2762-F138-4A5C-976F-8EAC2B608ADB}">
              <a16:predDERef xmlns:a16="http://schemas.microsoft.com/office/drawing/2014/main" pred="{DB213F0A-27AF-47E2-809D-90A1AA44BC2B}"/>
            </a:ext>
          </a:extLst>
        </xdr:cNvPr>
        <xdr:cNvSpPr txBox="1"/>
      </xdr:nvSpPr>
      <xdr:spPr>
        <a:xfrm>
          <a:off x="609600" y="19050"/>
          <a:ext cx="6086475" cy="1104900"/>
        </a:xfrm>
        <a:prstGeom prst="rect">
          <a:avLst/>
        </a:prstGeom>
        <a:solidFill>
          <a:srgbClr val="AFF0E6"/>
        </a:solidFill>
        <a:ln w="9525" cmpd="sng">
          <a:solidFill>
            <a:schemeClr val="lt1">
              <a:shade val="50000"/>
            </a:schemeClr>
          </a:solidFill>
        </a:ln>
      </xdr:spPr>
      <xdr:txBody>
        <a:bodyPr vertOverflow="clip" horzOverflow="clip" wrap="square" lIns="91440" tIns="45720" rIns="91440" bIns="45720" rtlCol="0" anchor="t">
          <a:noAutofit/>
        </a:bodyPr>
        <a:lstStyle/>
        <a:p>
          <a:pPr marL="0" indent="0" algn="l"/>
          <a:r>
            <a:rPr lang="en-US" sz="1100">
              <a:latin typeface="Comic Sans MS" panose="030F0702030302020204" pitchFamily="66" charset="0"/>
            </a:rPr>
            <a:t>Mahindra &amp; Mahindra Limited is an Indian multinational automotive manufacturing corporation headquartered in Mumbai, Maharashtra, India. </a:t>
          </a:r>
        </a:p>
        <a:p>
          <a:pPr marL="0" indent="0" algn="l"/>
          <a:r>
            <a:rPr lang="en-US" sz="1100">
              <a:latin typeface="Comic Sans MS" panose="030F0702030302020204" pitchFamily="66" charset="0"/>
            </a:rPr>
            <a:t>It was established in 1945 as Muhammad &amp; Mahindra and later renamed as Mahindra and Mahindra.</a:t>
          </a:r>
        </a:p>
        <a:p>
          <a:pPr marL="0" indent="0" algn="l"/>
          <a:r>
            <a:rPr lang="en-US" sz="1100">
              <a:latin typeface="Comic Sans MS" panose="030F0702030302020204" pitchFamily="66" charset="0"/>
            </a:rPr>
            <a:t> It is one of the largest vehicle manufacturers by production in India.</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285750</xdr:colOff>
      <xdr:row>55</xdr:row>
      <xdr:rowOff>180975</xdr:rowOff>
    </xdr:from>
    <xdr:to>
      <xdr:col>4</xdr:col>
      <xdr:colOff>1133475</xdr:colOff>
      <xdr:row>58</xdr:row>
      <xdr:rowOff>180975</xdr:rowOff>
    </xdr:to>
    <xdr:sp macro="" textlink="">
      <xdr:nvSpPr>
        <xdr:cNvPr id="2" name="TextBox 1">
          <a:extLst>
            <a:ext uri="{FF2B5EF4-FFF2-40B4-BE49-F238E27FC236}">
              <a16:creationId xmlns:a16="http://schemas.microsoft.com/office/drawing/2014/main" id="{26C11BB1-EB76-4FBE-8CF4-5C62853B5DC9}"/>
            </a:ext>
          </a:extLst>
        </xdr:cNvPr>
        <xdr:cNvSpPr txBox="1"/>
      </xdr:nvSpPr>
      <xdr:spPr>
        <a:xfrm>
          <a:off x="895350" y="11182350"/>
          <a:ext cx="5153025" cy="571500"/>
        </a:xfrm>
        <a:prstGeom prst="rect">
          <a:avLst/>
        </a:prstGeom>
        <a:solidFill>
          <a:srgbClr val="DBDBDB"/>
        </a:solidFill>
        <a:ln w="12700" cmpd="sng">
          <a:solidFill>
            <a:srgbClr val="787878"/>
          </a:solidFill>
          <a:prstDash val="solid"/>
        </a:ln>
        <a:effectLst/>
      </xdr:spPr>
      <xdr:style>
        <a:lnRef idx="0">
          <a:scrgbClr r="0" g="0" b="0"/>
        </a:lnRef>
        <a:fillRef idx="0">
          <a:scrgbClr r="0" g="0" b="0"/>
        </a:fillRef>
        <a:effectRef idx="0">
          <a:scrgbClr r="0" g="0" b="0"/>
        </a:effectRef>
        <a:fontRef idx="major">
          <a:srgbClr val="FFFFFF"/>
        </a:fontRef>
      </xdr:style>
      <xdr:txBody>
        <a:bodyPr vertOverflow="clip" horzOverflow="clip" wrap="square" lIns="91440" tIns="45720" rIns="91440" bIns="45720" rtlCol="0" anchor="t">
          <a:noAutofit/>
        </a:bodyPr>
        <a:lstStyle/>
        <a:p>
          <a:pPr marL="0" indent="0" algn="l"/>
          <a:r>
            <a:rPr lang="en-US" sz="1100">
              <a:solidFill>
                <a:srgbClr val="000000"/>
              </a:solidFill>
              <a:latin typeface="+mj-lt"/>
              <a:ea typeface="+mj-lt"/>
              <a:cs typeface="+mj-lt"/>
            </a:rPr>
            <a:t>There was no buyback of shares by Mahindra in the past 10 years</a:t>
          </a:r>
        </a:p>
        <a:p>
          <a:pPr marL="0" indent="0" algn="l"/>
          <a:endParaRPr lang="en-US" sz="1100">
            <a:solidFill>
              <a:srgbClr val="FFFFFF"/>
            </a:solidFill>
            <a:latin typeface="+mj-lt"/>
            <a:ea typeface="+mj-lt"/>
            <a:cs typeface="+mj-lt"/>
          </a:endParaRPr>
        </a:p>
      </xdr:txBody>
    </xdr:sp>
    <xdr:clientData/>
  </xdr:twoCellAnchor>
  <xdr:twoCellAnchor>
    <xdr:from>
      <xdr:col>7</xdr:col>
      <xdr:colOff>180975</xdr:colOff>
      <xdr:row>64</xdr:row>
      <xdr:rowOff>0</xdr:rowOff>
    </xdr:from>
    <xdr:to>
      <xdr:col>11</xdr:col>
      <xdr:colOff>590550</xdr:colOff>
      <xdr:row>72</xdr:row>
      <xdr:rowOff>19050</xdr:rowOff>
    </xdr:to>
    <xdr:sp macro="" textlink="">
      <xdr:nvSpPr>
        <xdr:cNvPr id="4" name="TextBox 2">
          <a:extLst>
            <a:ext uri="{FF2B5EF4-FFF2-40B4-BE49-F238E27FC236}">
              <a16:creationId xmlns:a16="http://schemas.microsoft.com/office/drawing/2014/main" id="{8B9937D8-5050-46F1-9B0D-4542DB3F2C57}"/>
            </a:ext>
            <a:ext uri="{147F2762-F138-4A5C-976F-8EAC2B608ADB}">
              <a16:predDERef xmlns:a16="http://schemas.microsoft.com/office/drawing/2014/main" pred="{26C11BB1-EB76-4FBE-8CF4-5C62853B5DC9}"/>
            </a:ext>
          </a:extLst>
        </xdr:cNvPr>
        <xdr:cNvSpPr txBox="1"/>
      </xdr:nvSpPr>
      <xdr:spPr>
        <a:xfrm>
          <a:off x="8401050" y="12782550"/>
          <a:ext cx="2847975" cy="1543050"/>
        </a:xfrm>
        <a:prstGeom prst="rect">
          <a:avLst/>
        </a:prstGeom>
        <a:solidFill>
          <a:srgbClr val="FFF2CC"/>
        </a:solidFill>
        <a:ln w="9525" cmpd="sng">
          <a:solidFill>
            <a:schemeClr val="lt1">
              <a:shade val="50000"/>
            </a:schemeClr>
          </a:solidFill>
        </a:ln>
      </xdr:spPr>
      <xdr:txBody>
        <a:bodyPr vertOverflow="clip" horzOverflow="clip" wrap="square" lIns="91440" tIns="45720" rIns="91440" bIns="45720" rtlCol="0" anchor="t">
          <a:noAutofit/>
        </a:bodyPr>
        <a:lstStyle/>
        <a:p>
          <a:pPr marL="0" indent="0" algn="l"/>
          <a:r>
            <a:rPr lang="en-US" sz="1100">
              <a:latin typeface="+mn-lt"/>
              <a:ea typeface="+mn-lt"/>
              <a:cs typeface="+mn-lt"/>
            </a:rPr>
            <a:t>1)Net Debt Issued: Proceeds from long term debt-Repayment of long term debt</a:t>
          </a:r>
        </a:p>
        <a:p>
          <a:pPr marL="0" indent="0" algn="l"/>
          <a:r>
            <a:rPr lang="en-US" sz="1100">
              <a:latin typeface="+mn-lt"/>
              <a:ea typeface="+mn-lt"/>
              <a:cs typeface="+mn-lt"/>
            </a:rPr>
            <a:t>2)LTD: long term debt</a:t>
          </a:r>
        </a:p>
        <a:p>
          <a:pPr marL="0" indent="0" algn="l"/>
          <a:r>
            <a:rPr lang="en-US" sz="1100">
              <a:latin typeface="+mn-lt"/>
              <a:ea typeface="+mn-lt"/>
              <a:cs typeface="+mn-lt"/>
            </a:rPr>
            <a:t>3)FCFE : Cash from operations-Capital expenditure+Net debt issued</a:t>
          </a:r>
        </a:p>
        <a:p>
          <a:pPr marL="0" indent="0" algn="l"/>
          <a:r>
            <a:rPr lang="en-US" sz="1100">
              <a:latin typeface="+mn-lt"/>
              <a:ea typeface="+mn-lt"/>
              <a:cs typeface="+mn-lt"/>
            </a:rPr>
            <a:t>4)All values are in terms of crores</a:t>
          </a:r>
        </a:p>
        <a:p>
          <a:pPr marL="0" indent="0" algn="l"/>
          <a:endParaRPr lang="en-US" sz="1100">
            <a:latin typeface="+mn-lt"/>
            <a:ea typeface="+mn-lt"/>
            <a:cs typeface="+mn-lt"/>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523875</xdr:colOff>
      <xdr:row>0</xdr:row>
      <xdr:rowOff>85725</xdr:rowOff>
    </xdr:from>
    <xdr:to>
      <xdr:col>14</xdr:col>
      <xdr:colOff>438150</xdr:colOff>
      <xdr:row>22</xdr:row>
      <xdr:rowOff>9525</xdr:rowOff>
    </xdr:to>
    <xdr:sp macro="" textlink="">
      <xdr:nvSpPr>
        <xdr:cNvPr id="6" name="TextBox 1">
          <a:extLst>
            <a:ext uri="{FF2B5EF4-FFF2-40B4-BE49-F238E27FC236}">
              <a16:creationId xmlns:a16="http://schemas.microsoft.com/office/drawing/2014/main" id="{2CDDEEAB-8973-44DB-A66B-24154F3BC204}"/>
            </a:ext>
          </a:extLst>
        </xdr:cNvPr>
        <xdr:cNvSpPr txBox="1"/>
      </xdr:nvSpPr>
      <xdr:spPr>
        <a:xfrm>
          <a:off x="523875" y="85725"/>
          <a:ext cx="8448675" cy="4114800"/>
        </a:xfrm>
        <a:prstGeom prst="rect">
          <a:avLst/>
        </a:prstGeom>
        <a:solidFill>
          <a:schemeClr val="lt1"/>
        </a:solidFill>
        <a:ln w="9525" cmpd="sng">
          <a:solidFill>
            <a:schemeClr val="lt1">
              <a:shade val="50000"/>
            </a:schemeClr>
          </a:solidFill>
        </a:ln>
      </xdr:spPr>
      <xdr:txBody>
        <a:bodyPr vertOverflow="clip" horzOverflow="clip" wrap="square" lIns="91440" tIns="45720" rIns="91440" bIns="45720" rtlCol="0" anchor="ctr">
          <a:noAutofit/>
        </a:bodyPr>
        <a:lstStyle/>
        <a:p>
          <a:pPr marL="0" indent="0" algn="l"/>
          <a:endParaRPr lang="en-US" sz="1100" u="none">
            <a:latin typeface="+mn-lt"/>
            <a:ea typeface="+mn-lt"/>
            <a:cs typeface="+mn-lt"/>
          </a:endParaRPr>
        </a:p>
        <a:p>
          <a:pPr marL="0" indent="0" algn="ctr"/>
          <a:r>
            <a:rPr lang="en-US" sz="1600" u="none">
              <a:latin typeface="Comic Sans MS" panose="030F0702030302020204" pitchFamily="66" charset="0"/>
            </a:rPr>
            <a:t>   Automobile Industry in India</a:t>
          </a:r>
        </a:p>
        <a:p>
          <a:pPr marL="0" indent="0" algn="l"/>
          <a:endParaRPr lang="en-US" sz="1100" u="none">
            <a:latin typeface="+mn-lt"/>
            <a:ea typeface="+mn-lt"/>
            <a:cs typeface="+mn-lt"/>
          </a:endParaRPr>
        </a:p>
        <a:p>
          <a:pPr marL="0" indent="0" algn="l"/>
          <a:r>
            <a:rPr lang="en-US" sz="1100" u="none">
              <a:latin typeface="Comic Sans MS" panose="030F0702030302020204" pitchFamily="66" charset="0"/>
            </a:rPr>
            <a:t>Driving the most luxurious car has been made possible by the stiff competition in the automobile industry in India, with overseas players gathering the same momentum as the domestic participants. </a:t>
          </a:r>
        </a:p>
        <a:p>
          <a:pPr marL="0" indent="0" algn="l"/>
          <a:endParaRPr lang="en-US" sz="1100" u="none">
            <a:latin typeface="Comic Sans MS" panose="030F0702030302020204" pitchFamily="66" charset="0"/>
          </a:endParaRPr>
        </a:p>
        <a:p>
          <a:pPr marL="0" indent="0" algn="l"/>
          <a:r>
            <a:rPr lang="en-US" sz="1100" u="none">
              <a:latin typeface="Comic Sans MS" panose="030F0702030302020204" pitchFamily="66" charset="0"/>
            </a:rPr>
            <a:t>Every other day, we have been hearing about some new launches, some low-cost cars - all customized in a manner such that the common man is not left behind. The CAGR of the Indian automotive industry’s sales between FY 2009 and FY 2020 comes around 8%. The vehicle registrations fell by 29% in the financial year 2020-2021 from 295.8 million registered vehicles to 221.85 million in 2020.</a:t>
          </a:r>
        </a:p>
        <a:p>
          <a:pPr marL="0" indent="0" algn="l"/>
          <a:endParaRPr lang="en-US" sz="1100" u="none">
            <a:latin typeface="Comic Sans MS" panose="030F0702030302020204" pitchFamily="66" charset="0"/>
          </a:endParaRPr>
        </a:p>
        <a:p>
          <a:pPr marL="0" indent="0" algn="l"/>
          <a:r>
            <a:rPr lang="en-US" sz="1100" u="none">
              <a:latin typeface="Comic Sans MS" panose="030F0702030302020204" pitchFamily="66" charset="0"/>
            </a:rPr>
            <a:t>The automobile industry in India was the fifth largest in the world in 2020. Several Indian automobile manufacturers have spread their operations globally as well, asking for more investments in the Indian automobile sector by the MNCs.</a:t>
          </a:r>
        </a:p>
        <a:p>
          <a:pPr marL="0" indent="0" algn="l"/>
          <a:endParaRPr lang="en-US" sz="1100" u="none">
            <a:latin typeface="Comic Sans MS" panose="030F0702030302020204" pitchFamily="66" charset="0"/>
          </a:endParaRPr>
        </a:p>
        <a:p>
          <a:pPr marL="0" indent="0" algn="l"/>
          <a:endParaRPr lang="en-US" sz="1100" u="none">
            <a:latin typeface="Comic Sans MS" panose="030F0702030302020204" pitchFamily="66" charset="0"/>
          </a:endParaRPr>
        </a:p>
        <a:p>
          <a:pPr marL="0" marR="0" indent="0" algn="l">
            <a:lnSpc>
              <a:spcPct val="100000"/>
            </a:lnSpc>
            <a:spcBef>
              <a:spcPts val="0"/>
            </a:spcBef>
            <a:spcAft>
              <a:spcPts val="0"/>
            </a:spcAft>
          </a:pPr>
          <a:r>
            <a:rPr lang="en-US" sz="1100" b="0" i="0" u="none" strike="noStrike">
              <a:solidFill>
                <a:srgbClr val="000000"/>
              </a:solidFill>
              <a:latin typeface="Comic Sans MS" panose="030F0702030302020204" pitchFamily="66" charset="0"/>
            </a:rPr>
            <a:t>  </a:t>
          </a:r>
          <a:r>
            <a:rPr lang="en-US" sz="1100" b="1" i="0" u="none" strike="noStrike">
              <a:solidFill>
                <a:srgbClr val="000000"/>
              </a:solidFill>
              <a:latin typeface="Comic Sans MS" panose="030F0702030302020204" pitchFamily="66" charset="0"/>
            </a:rPr>
            <a:t>CONCLUSIONS</a:t>
          </a:r>
          <a:endParaRPr lang="en-US" sz="1100" b="0" i="0" u="none" strike="noStrike">
            <a:solidFill>
              <a:srgbClr val="000000"/>
            </a:solidFill>
            <a:latin typeface="Comic Sans MS" panose="030F0702030302020204" pitchFamily="66" charset="0"/>
          </a:endParaRPr>
        </a:p>
        <a:p>
          <a:pPr marL="0" marR="0" indent="0" algn="l">
            <a:lnSpc>
              <a:spcPct val="100000"/>
            </a:lnSpc>
            <a:spcBef>
              <a:spcPts val="0"/>
            </a:spcBef>
            <a:spcAft>
              <a:spcPts val="0"/>
            </a:spcAft>
          </a:pPr>
          <a:r>
            <a:rPr lang="en-US" sz="1100" b="0" i="0" u="none" strike="noStrike">
              <a:solidFill>
                <a:srgbClr val="000000"/>
              </a:solidFill>
              <a:latin typeface="Comic Sans MS" panose="030F0702030302020204" pitchFamily="66" charset="0"/>
            </a:rPr>
            <a:t>1)Toyota Motors is giving the highest dividend yield</a:t>
          </a:r>
        </a:p>
        <a:p>
          <a:pPr marL="0" marR="0" indent="0" algn="l">
            <a:lnSpc>
              <a:spcPct val="100000"/>
            </a:lnSpc>
            <a:spcBef>
              <a:spcPts val="0"/>
            </a:spcBef>
            <a:spcAft>
              <a:spcPts val="0"/>
            </a:spcAft>
          </a:pPr>
          <a:r>
            <a:rPr lang="en-US" sz="1100" b="0" i="0" u="none" strike="noStrike">
              <a:solidFill>
                <a:srgbClr val="000000"/>
              </a:solidFill>
              <a:latin typeface="Comic Sans MS" panose="030F0702030302020204" pitchFamily="66" charset="0"/>
            </a:rPr>
            <a:t>2)A good dividend payout ratio is 40% but most of the years none of the companies are even crossing 25%</a:t>
          </a:r>
        </a:p>
        <a:p>
          <a:pPr marL="0" marR="0" indent="0" algn="l">
            <a:lnSpc>
              <a:spcPct val="100000"/>
            </a:lnSpc>
            <a:spcBef>
              <a:spcPts val="0"/>
            </a:spcBef>
            <a:spcAft>
              <a:spcPts val="0"/>
            </a:spcAft>
          </a:pPr>
          <a:r>
            <a:rPr lang="en-US" sz="1100" b="0" i="0" u="none" strike="noStrike">
              <a:solidFill>
                <a:srgbClr val="000000"/>
              </a:solidFill>
              <a:latin typeface="Comic Sans MS" panose="030F0702030302020204" pitchFamily="66" charset="0"/>
            </a:rPr>
            <a:t>3)No company had buyback in the last 10 years </a:t>
          </a:r>
          <a:endParaRPr lang="en-US" sz="1100" b="0" i="0" u="none" strike="noStrike">
            <a:solidFill>
              <a:srgbClr val="000000"/>
            </a:solidFill>
            <a:latin typeface="Calibri" panose="020F0502020204030204" pitchFamily="34" charset="0"/>
            <a:cs typeface="Calibri" panose="020F0502020204030204" pitchFamily="34" charset="0"/>
          </a:endParaRPr>
        </a:p>
        <a:p>
          <a:pPr marL="0" marR="0" indent="0" algn="l">
            <a:lnSpc>
              <a:spcPct val="100000"/>
            </a:lnSpc>
            <a:spcBef>
              <a:spcPts val="0"/>
            </a:spcBef>
            <a:spcAft>
              <a:spcPts val="0"/>
            </a:spcAft>
          </a:pPr>
          <a:endParaRPr lang="en-US" sz="1100" b="0" i="0" u="none" strike="noStrike">
            <a:solidFill>
              <a:srgbClr val="000000"/>
            </a:solidFill>
            <a:latin typeface="Calibri" panose="020F0502020204030204" pitchFamily="34" charset="0"/>
            <a:cs typeface="Calibri" panose="020F0502020204030204" pitchFamily="34" charset="0"/>
          </a:endParaRPr>
        </a:p>
        <a:p>
          <a:pPr marL="0" marR="0" indent="0" algn="l">
            <a:lnSpc>
              <a:spcPct val="100000"/>
            </a:lnSpc>
            <a:spcBef>
              <a:spcPts val="0"/>
            </a:spcBef>
            <a:spcAft>
              <a:spcPts val="0"/>
            </a:spcAft>
          </a:pPr>
          <a:endParaRPr lang="en-US" sz="1100" b="0" i="0" u="none" strike="noStrike">
            <a:solidFill>
              <a:srgbClr val="000000"/>
            </a:solidFill>
            <a:latin typeface="Calibri" panose="020F0502020204030204" pitchFamily="34" charset="0"/>
            <a:cs typeface="Calibri" panose="020F0502020204030204" pitchFamily="34" charset="0"/>
          </a:endParaRPr>
        </a:p>
      </xdr:txBody>
    </xdr:sp>
    <xdr:clientData/>
  </xdr:twoCellAnchor>
</xdr:wsDr>
</file>

<file path=xl/persons/person.xml><?xml version="1.0" encoding="utf-8"?>
<personList xmlns="http://schemas.microsoft.com/office/spreadsheetml/2018/threadedcomments" xmlns:x="http://schemas.openxmlformats.org/spreadsheetml/2006/main">
  <person displayName="Guest User" id="{1C460A27-4AB1-40C9-86CF-73E1DA896D2B}" userId="S::urn:spo:anon#48e922bf897462d23f718b66479c9dd5275c49ba5895cc3a1760c56dedd97874::"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B80" dT="2022-01-02T13:41:36.38" personId="{1C460A27-4AB1-40C9-86CF-73E1DA896D2B}" id="{AFBA4F27-34A9-4A01-B5D8-4887A99B0C91}">
    <text>https://www.macrotrends.net/stocks/charts/TM/toyota/book-value-per-share</text>
  </threadedComment>
  <threadedComment ref="C80" dT="2022-01-02T13:40:40.10" personId="{1C460A27-4AB1-40C9-86CF-73E1DA896D2B}" id="{6FE47B29-9428-4B3E-AB34-8E7D434F04FB}">
    <text xml:space="preserve">https://www.macrotrends.net/stocks/charts/TM/toyota/eps-earnings-per-share-diluted
</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3" Type="http://schemas.microsoft.com/office/2017/10/relationships/threadedComment" Target="../threadedComments/threadedComment1.xml"/><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9EE0CD-EEE7-4A99-B8B0-3A2BFCEF54B1}">
  <dimension ref="B2:D7"/>
  <sheetViews>
    <sheetView workbookViewId="0"/>
  </sheetViews>
  <sheetFormatPr defaultRowHeight="15"/>
  <cols>
    <col min="2" max="2" width="17.42578125" bestFit="1" customWidth="1"/>
    <col min="4" max="4" width="24.140625" bestFit="1" customWidth="1"/>
  </cols>
  <sheetData>
    <row r="2" spans="2:4">
      <c r="B2" s="53" t="s">
        <v>0</v>
      </c>
      <c r="C2" s="53" t="s">
        <v>1</v>
      </c>
      <c r="D2" s="53" t="s">
        <v>2</v>
      </c>
    </row>
    <row r="3" spans="2:4">
      <c r="B3" s="54" t="s">
        <v>3</v>
      </c>
      <c r="C3" s="54">
        <v>1</v>
      </c>
      <c r="D3" s="54" t="s">
        <v>4</v>
      </c>
    </row>
    <row r="4" spans="2:4">
      <c r="B4" s="54" t="s">
        <v>5</v>
      </c>
      <c r="C4" s="54">
        <v>2</v>
      </c>
      <c r="D4" s="54" t="s">
        <v>6</v>
      </c>
    </row>
    <row r="5" spans="2:4">
      <c r="B5" s="54" t="s">
        <v>7</v>
      </c>
      <c r="C5" s="54">
        <v>3</v>
      </c>
      <c r="D5" s="54" t="s">
        <v>8</v>
      </c>
    </row>
    <row r="6" spans="2:4">
      <c r="B6" s="54" t="s">
        <v>9</v>
      </c>
      <c r="C6" s="54">
        <v>4</v>
      </c>
      <c r="D6" s="54" t="s">
        <v>10</v>
      </c>
    </row>
    <row r="7" spans="2:4">
      <c r="B7" s="54" t="s">
        <v>11</v>
      </c>
      <c r="C7" s="54">
        <v>5</v>
      </c>
      <c r="D7" s="54" t="s">
        <v>12</v>
      </c>
    </row>
  </sheetData>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6495C5-AFDE-4A7F-BA5B-81EB21F00D0D}">
  <dimension ref="A1:E15"/>
  <sheetViews>
    <sheetView workbookViewId="0">
      <selection activeCell="C15" sqref="C15"/>
    </sheetView>
  </sheetViews>
  <sheetFormatPr defaultRowHeight="15"/>
  <cols>
    <col min="2" max="2" width="30.85546875" bestFit="1" customWidth="1"/>
    <col min="3" max="3" width="28" bestFit="1" customWidth="1"/>
    <col min="4" max="4" width="38.28515625" bestFit="1" customWidth="1"/>
    <col min="5" max="5" width="26.5703125" bestFit="1" customWidth="1"/>
  </cols>
  <sheetData>
    <row r="1" spans="1:5" ht="18.75">
      <c r="A1" s="120" t="s">
        <v>12</v>
      </c>
      <c r="B1" s="120"/>
      <c r="C1" s="120"/>
      <c r="D1" s="120"/>
      <c r="E1" s="120"/>
    </row>
    <row r="3" spans="1:5">
      <c r="A3" s="134" t="s">
        <v>233</v>
      </c>
      <c r="B3" s="134" t="s">
        <v>234</v>
      </c>
      <c r="C3" s="134" t="s">
        <v>137</v>
      </c>
      <c r="D3" s="134" t="s">
        <v>235</v>
      </c>
      <c r="E3" s="134" t="s">
        <v>236</v>
      </c>
    </row>
    <row r="4" spans="1:5">
      <c r="A4" s="135">
        <v>2011</v>
      </c>
      <c r="B4" s="136">
        <v>0.10297954139777564</v>
      </c>
      <c r="C4" s="137">
        <v>5.2910016246031999E-3</v>
      </c>
      <c r="D4" s="131" t="s">
        <v>237</v>
      </c>
      <c r="E4" s="138">
        <v>25.03823886</v>
      </c>
    </row>
    <row r="5" spans="1:5">
      <c r="A5" s="135">
        <f>A4+1</f>
        <v>2012</v>
      </c>
      <c r="B5" s="136">
        <v>0.10297954139777564</v>
      </c>
      <c r="C5" s="135">
        <v>5.572641243742571E-3</v>
      </c>
      <c r="D5" s="132"/>
      <c r="E5" s="138">
        <v>-3.922776646</v>
      </c>
    </row>
    <row r="6" spans="1:5">
      <c r="A6" s="135">
        <f t="shared" ref="A6:A13" si="0">A5+1</f>
        <v>2013</v>
      </c>
      <c r="B6" s="136">
        <v>0.10984484415762735</v>
      </c>
      <c r="C6" s="135">
        <v>4.8036888518477724E-3</v>
      </c>
      <c r="D6" s="132"/>
      <c r="E6" s="138">
        <v>22.482422700000001</v>
      </c>
    </row>
    <row r="7" spans="1:5">
      <c r="A7" s="135">
        <f t="shared" si="0"/>
        <v>2014</v>
      </c>
      <c r="B7" s="136">
        <v>0.16476726623644103</v>
      </c>
      <c r="C7" s="135">
        <v>7.5497351807087831E-3</v>
      </c>
      <c r="D7" s="132"/>
      <c r="E7" s="138">
        <v>0.258557816</v>
      </c>
    </row>
    <row r="8" spans="1:5">
      <c r="A8" s="135">
        <f t="shared" si="0"/>
        <v>2015</v>
      </c>
      <c r="B8" s="136">
        <v>0.34326513799258546</v>
      </c>
      <c r="C8" s="135">
        <v>1.3998854068832122E-2</v>
      </c>
      <c r="D8" s="132"/>
      <c r="E8" s="138">
        <v>14.347642130000001</v>
      </c>
    </row>
    <row r="9" spans="1:5">
      <c r="A9" s="135">
        <f t="shared" si="0"/>
        <v>2016</v>
      </c>
      <c r="B9" s="136">
        <v>0.48057119318961961</v>
      </c>
      <c r="C9" s="135">
        <v>1.6482684751015123E-2</v>
      </c>
      <c r="D9" s="132"/>
      <c r="E9" s="138">
        <v>15.14381245</v>
      </c>
    </row>
    <row r="10" spans="1:5">
      <c r="A10" s="135">
        <f t="shared" si="0"/>
        <v>2017</v>
      </c>
      <c r="B10" s="136">
        <v>1.0297954139777565</v>
      </c>
      <c r="C10" s="135">
        <v>3.0717336385849676E-2</v>
      </c>
      <c r="D10" s="132"/>
      <c r="E10" s="138">
        <v>18.24304244</v>
      </c>
    </row>
    <row r="11" spans="1:5">
      <c r="A11" s="135">
        <f t="shared" si="0"/>
        <v>2018</v>
      </c>
      <c r="B11" s="136">
        <v>1.0984484415762736</v>
      </c>
      <c r="C11" s="135">
        <v>3.1185550264639341E-2</v>
      </c>
      <c r="D11" s="132"/>
      <c r="E11" s="138">
        <v>17.23808992</v>
      </c>
    </row>
    <row r="12" spans="1:5">
      <c r="A12" s="135">
        <f t="shared" si="0"/>
        <v>2019</v>
      </c>
      <c r="B12" s="136">
        <v>1.0984484415762736</v>
      </c>
      <c r="C12" s="135">
        <v>3.2211573656577723E-2</v>
      </c>
      <c r="D12" s="132"/>
      <c r="E12" s="138">
        <v>7.8452710349999997</v>
      </c>
    </row>
    <row r="13" spans="1:5">
      <c r="A13" s="135">
        <f t="shared" si="0"/>
        <v>2020</v>
      </c>
      <c r="B13" s="136">
        <v>0.82383633118220512</v>
      </c>
      <c r="C13" s="135">
        <v>3.2075835352289396E-2</v>
      </c>
      <c r="D13" s="133"/>
      <c r="E13" s="138">
        <v>-12.10144582</v>
      </c>
    </row>
    <row r="14" spans="1:5" ht="20.25">
      <c r="E14" s="140"/>
    </row>
    <row r="15" spans="1:5">
      <c r="E15" s="139"/>
    </row>
  </sheetData>
  <mergeCells count="2">
    <mergeCell ref="D4:D13"/>
    <mergeCell ref="A1:E1"/>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B75598-8035-474B-BB3B-5E54ED4304BF}">
  <dimension ref="A1:V76"/>
  <sheetViews>
    <sheetView topLeftCell="A31" workbookViewId="0">
      <selection activeCell="D72" sqref="D72"/>
    </sheetView>
  </sheetViews>
  <sheetFormatPr defaultRowHeight="15"/>
  <cols>
    <col min="1" max="1" width="12.85546875" customWidth="1"/>
    <col min="2" max="2" width="50.28515625" customWidth="1"/>
    <col min="3" max="3" width="39.42578125" customWidth="1"/>
    <col min="4" max="4" width="36.42578125" customWidth="1"/>
    <col min="5" max="5" width="31.140625" customWidth="1"/>
    <col min="6" max="6" width="31.28515625" customWidth="1"/>
    <col min="7" max="7" width="43.85546875" customWidth="1"/>
    <col min="8" max="8" width="38.28515625" customWidth="1"/>
    <col min="9" max="9" width="22.42578125" customWidth="1"/>
    <col min="10" max="10" width="15.140625" bestFit="1" customWidth="1"/>
  </cols>
  <sheetData>
    <row r="1" spans="1:4" ht="27">
      <c r="A1" s="46" t="s">
        <v>238</v>
      </c>
      <c r="B1" s="47"/>
      <c r="C1" s="2"/>
    </row>
    <row r="3" spans="1:4" ht="24.75">
      <c r="A3" s="45" t="s">
        <v>239</v>
      </c>
      <c r="B3" s="45"/>
    </row>
    <row r="5" spans="1:4" ht="15.75">
      <c r="A5" s="143" t="s">
        <v>233</v>
      </c>
      <c r="B5" s="143" t="s">
        <v>240</v>
      </c>
      <c r="C5" s="144" t="s">
        <v>241</v>
      </c>
      <c r="D5" s="143" t="s">
        <v>234</v>
      </c>
    </row>
    <row r="6" spans="1:4" ht="15.75">
      <c r="A6" s="145">
        <v>2011</v>
      </c>
      <c r="B6" s="146">
        <v>7.5</v>
      </c>
      <c r="C6" s="147">
        <v>7283</v>
      </c>
      <c r="D6" s="148">
        <f>(B6/$C$6)*100</f>
        <v>0.10297954139777564</v>
      </c>
    </row>
    <row r="7" spans="1:4" ht="15.75">
      <c r="A7" s="145">
        <f>A6+1</f>
        <v>2012</v>
      </c>
      <c r="B7" s="146">
        <v>7.5</v>
      </c>
      <c r="C7" s="149"/>
      <c r="D7" s="148">
        <f t="shared" ref="D7:D15" si="0">(B7/$C$6)*100</f>
        <v>0.10297954139777564</v>
      </c>
    </row>
    <row r="8" spans="1:4" ht="15.75">
      <c r="A8" s="145">
        <f t="shared" ref="A8:A15" si="1">A7+1</f>
        <v>2013</v>
      </c>
      <c r="B8" s="146">
        <v>8</v>
      </c>
      <c r="C8" s="149"/>
      <c r="D8" s="148">
        <f t="shared" si="0"/>
        <v>0.10984484415762735</v>
      </c>
    </row>
    <row r="9" spans="1:4" ht="15.75">
      <c r="A9" s="145">
        <f t="shared" si="1"/>
        <v>2014</v>
      </c>
      <c r="B9" s="146">
        <v>12</v>
      </c>
      <c r="C9" s="149"/>
      <c r="D9" s="148">
        <f t="shared" si="0"/>
        <v>0.16476726623644103</v>
      </c>
    </row>
    <row r="10" spans="1:4" ht="15.75">
      <c r="A10" s="145">
        <f t="shared" si="1"/>
        <v>2015</v>
      </c>
      <c r="B10" s="146">
        <v>25</v>
      </c>
      <c r="C10" s="149"/>
      <c r="D10" s="148">
        <f t="shared" si="0"/>
        <v>0.34326513799258546</v>
      </c>
    </row>
    <row r="11" spans="1:4" ht="15.75">
      <c r="A11" s="145">
        <f t="shared" si="1"/>
        <v>2016</v>
      </c>
      <c r="B11" s="146">
        <v>35</v>
      </c>
      <c r="C11" s="149"/>
      <c r="D11" s="148">
        <f t="shared" si="0"/>
        <v>0.48057119318961961</v>
      </c>
    </row>
    <row r="12" spans="1:4" ht="15.75">
      <c r="A12" s="145">
        <f t="shared" si="1"/>
        <v>2017</v>
      </c>
      <c r="B12" s="146">
        <v>75</v>
      </c>
      <c r="C12" s="149"/>
      <c r="D12" s="148">
        <f t="shared" si="0"/>
        <v>1.0297954139777565</v>
      </c>
    </row>
    <row r="13" spans="1:4" ht="15.75">
      <c r="A13" s="145">
        <f t="shared" si="1"/>
        <v>2018</v>
      </c>
      <c r="B13" s="146">
        <v>80</v>
      </c>
      <c r="C13" s="149"/>
      <c r="D13" s="148">
        <f t="shared" si="0"/>
        <v>1.0984484415762736</v>
      </c>
    </row>
    <row r="14" spans="1:4" ht="15.75">
      <c r="A14" s="145">
        <f t="shared" si="1"/>
        <v>2019</v>
      </c>
      <c r="B14" s="146">
        <v>80</v>
      </c>
      <c r="C14" s="149"/>
      <c r="D14" s="148">
        <f t="shared" si="0"/>
        <v>1.0984484415762736</v>
      </c>
    </row>
    <row r="15" spans="1:4" ht="15.75">
      <c r="A15" s="145">
        <f t="shared" si="1"/>
        <v>2020</v>
      </c>
      <c r="B15" s="146">
        <v>60</v>
      </c>
      <c r="C15" s="150"/>
      <c r="D15" s="148">
        <f t="shared" si="0"/>
        <v>0.82383633118220512</v>
      </c>
    </row>
    <row r="18" spans="1:6" ht="24.75">
      <c r="A18" s="45" t="s">
        <v>242</v>
      </c>
      <c r="B18" s="45"/>
    </row>
    <row r="20" spans="1:6" ht="15.75">
      <c r="A20" s="127" t="s">
        <v>233</v>
      </c>
      <c r="B20" s="127" t="s">
        <v>243</v>
      </c>
      <c r="C20" s="127" t="s">
        <v>244</v>
      </c>
      <c r="D20" s="127" t="s">
        <v>245</v>
      </c>
      <c r="E20" s="151" t="s">
        <v>246</v>
      </c>
      <c r="F20" s="127" t="s">
        <v>137</v>
      </c>
    </row>
    <row r="21" spans="1:6" ht="15.75">
      <c r="A21" s="128">
        <v>2011</v>
      </c>
      <c r="B21" s="128">
        <v>7.5</v>
      </c>
      <c r="C21" s="128">
        <v>40102.1</v>
      </c>
      <c r="D21" s="128">
        <v>282907035</v>
      </c>
      <c r="E21" s="128">
        <f>B21*D21</f>
        <v>2121802762.5</v>
      </c>
      <c r="F21" s="129">
        <f>E21/(C21*10000000)</f>
        <v>5.2910016246031999E-3</v>
      </c>
    </row>
    <row r="22" spans="1:6" ht="15.75">
      <c r="A22" s="128">
        <f t="shared" ref="A22:A29" si="2">A21+1</f>
        <v>2012</v>
      </c>
      <c r="B22" s="128">
        <v>7.5</v>
      </c>
      <c r="C22" s="128">
        <v>38614.1</v>
      </c>
      <c r="D22" s="128">
        <v>286910035</v>
      </c>
      <c r="E22" s="128">
        <f t="shared" ref="E22:E30" si="3">B22*D22</f>
        <v>2151825262.5</v>
      </c>
      <c r="F22" s="128">
        <f t="shared" ref="F22:F30" si="4">E22/(C22*10000000)</f>
        <v>5.572641243742571E-3</v>
      </c>
    </row>
    <row r="23" spans="1:6" ht="15.75">
      <c r="A23" s="128">
        <f t="shared" si="2"/>
        <v>2013</v>
      </c>
      <c r="B23" s="128">
        <v>8</v>
      </c>
      <c r="C23" s="128">
        <v>48114.7</v>
      </c>
      <c r="D23" s="128">
        <v>288910060</v>
      </c>
      <c r="E23" s="128">
        <f t="shared" si="3"/>
        <v>2311280480</v>
      </c>
      <c r="F23" s="128">
        <f t="shared" si="4"/>
        <v>4.8036888518477724E-3</v>
      </c>
    </row>
    <row r="24" spans="1:6" ht="15.75">
      <c r="A24" s="128">
        <f t="shared" si="2"/>
        <v>2014</v>
      </c>
      <c r="B24" s="128">
        <v>12</v>
      </c>
      <c r="C24" s="128">
        <v>47822.8</v>
      </c>
      <c r="D24" s="128">
        <v>300874563</v>
      </c>
      <c r="E24" s="128">
        <f t="shared" si="3"/>
        <v>3610494756</v>
      </c>
      <c r="F24" s="128">
        <f t="shared" si="4"/>
        <v>7.5497351807087831E-3</v>
      </c>
    </row>
    <row r="25" spans="1:6" ht="15.75">
      <c r="A25" s="128">
        <f t="shared" si="2"/>
        <v>2015</v>
      </c>
      <c r="B25" s="128">
        <v>25</v>
      </c>
      <c r="C25" s="128">
        <v>53768.5</v>
      </c>
      <c r="D25" s="128">
        <v>301078954</v>
      </c>
      <c r="E25" s="128">
        <f t="shared" si="3"/>
        <v>7526973850</v>
      </c>
      <c r="F25" s="128">
        <f t="shared" si="4"/>
        <v>1.3998854068832122E-2</v>
      </c>
    </row>
    <row r="26" spans="1:6" ht="15.75">
      <c r="A26" s="128">
        <f t="shared" si="2"/>
        <v>2016</v>
      </c>
      <c r="B26" s="128">
        <v>35</v>
      </c>
      <c r="C26" s="128">
        <v>63957.7</v>
      </c>
      <c r="D26" s="128">
        <v>301198459</v>
      </c>
      <c r="E26" s="128">
        <f t="shared" si="3"/>
        <v>10541946065</v>
      </c>
      <c r="F26" s="128">
        <f t="shared" si="4"/>
        <v>1.6482684751015123E-2</v>
      </c>
    </row>
    <row r="27" spans="1:6" ht="15.75">
      <c r="A27" s="128">
        <f t="shared" si="2"/>
        <v>2017</v>
      </c>
      <c r="B27" s="128">
        <v>75</v>
      </c>
      <c r="C27" s="152">
        <v>73502.2</v>
      </c>
      <c r="D27" s="128">
        <v>301038907</v>
      </c>
      <c r="E27" s="128">
        <f t="shared" si="3"/>
        <v>22577918025</v>
      </c>
      <c r="F27" s="128">
        <f t="shared" si="4"/>
        <v>3.0717336385849676E-2</v>
      </c>
    </row>
    <row r="28" spans="1:6" ht="15.75">
      <c r="A28" s="128">
        <f t="shared" si="2"/>
        <v>2018</v>
      </c>
      <c r="B28" s="128">
        <v>80</v>
      </c>
      <c r="C28" s="152">
        <v>77218.3</v>
      </c>
      <c r="D28" s="128">
        <v>301011897</v>
      </c>
      <c r="E28" s="128">
        <f t="shared" si="3"/>
        <v>24080951760</v>
      </c>
      <c r="F28" s="128">
        <f t="shared" si="4"/>
        <v>3.1185550264639341E-2</v>
      </c>
    </row>
    <row r="29" spans="1:6" ht="15.75">
      <c r="A29" s="128">
        <f t="shared" si="2"/>
        <v>2019</v>
      </c>
      <c r="B29" s="128">
        <v>80</v>
      </c>
      <c r="C29" s="152">
        <v>75006.2</v>
      </c>
      <c r="D29" s="128">
        <v>302008467</v>
      </c>
      <c r="E29" s="128">
        <f t="shared" si="3"/>
        <v>24160677360</v>
      </c>
      <c r="F29" s="128">
        <f t="shared" si="4"/>
        <v>3.2211573656577723E-2</v>
      </c>
    </row>
    <row r="30" spans="1:6" ht="15.75">
      <c r="A30" s="128">
        <v>2020</v>
      </c>
      <c r="B30" s="128">
        <v>60</v>
      </c>
      <c r="C30" s="128">
        <v>56506.1</v>
      </c>
      <c r="D30" s="128">
        <v>302080060</v>
      </c>
      <c r="E30" s="128">
        <f t="shared" si="3"/>
        <v>18124803600</v>
      </c>
      <c r="F30" s="128">
        <f t="shared" si="4"/>
        <v>3.2075835352289396E-2</v>
      </c>
    </row>
    <row r="33" spans="1:3" ht="24.75" customHeight="1">
      <c r="A33" s="44" t="s">
        <v>247</v>
      </c>
      <c r="B33" s="44"/>
    </row>
    <row r="35" spans="1:3" ht="15.75">
      <c r="A35" s="127" t="s">
        <v>233</v>
      </c>
      <c r="B35" s="127" t="s">
        <v>248</v>
      </c>
      <c r="C35" s="127" t="s">
        <v>236</v>
      </c>
    </row>
    <row r="36" spans="1:3" ht="15.75">
      <c r="A36" s="128">
        <v>2011</v>
      </c>
      <c r="B36" s="130">
        <v>37040.089999999997</v>
      </c>
      <c r="C36" s="130">
        <v>25.03823886</v>
      </c>
    </row>
    <row r="37" spans="1:3" ht="15.75">
      <c r="A37" s="128">
        <f>A36+1</f>
        <v>2012</v>
      </c>
      <c r="B37" s="130">
        <v>35587.089999999997</v>
      </c>
      <c r="C37" s="130">
        <v>-3.922776646</v>
      </c>
    </row>
    <row r="38" spans="1:3" ht="15.75">
      <c r="A38" s="128">
        <f t="shared" ref="A38:A47" si="5">A37+1</f>
        <v>2013</v>
      </c>
      <c r="B38" s="130">
        <v>43587.93</v>
      </c>
      <c r="C38" s="130">
        <v>22.482422700000001</v>
      </c>
    </row>
    <row r="39" spans="1:3" ht="15.75">
      <c r="A39" s="128">
        <f t="shared" si="5"/>
        <v>2014</v>
      </c>
      <c r="B39" s="130">
        <v>43700.63</v>
      </c>
      <c r="C39" s="130">
        <v>0.258557816</v>
      </c>
    </row>
    <row r="40" spans="1:3" ht="15.75">
      <c r="A40" s="128">
        <f t="shared" si="5"/>
        <v>2015</v>
      </c>
      <c r="B40" s="130">
        <v>49970.64</v>
      </c>
      <c r="C40" s="130">
        <v>14.347642130000001</v>
      </c>
    </row>
    <row r="41" spans="1:3" ht="15.75">
      <c r="A41" s="128">
        <f t="shared" si="5"/>
        <v>2016</v>
      </c>
      <c r="B41" s="130">
        <v>57538.1</v>
      </c>
      <c r="C41" s="130">
        <v>15.14381245</v>
      </c>
    </row>
    <row r="42" spans="1:3" ht="15.75">
      <c r="A42" s="128">
        <f t="shared" si="5"/>
        <v>2017</v>
      </c>
      <c r="B42" s="130">
        <v>68034.8</v>
      </c>
      <c r="C42" s="130">
        <v>18.24304244</v>
      </c>
    </row>
    <row r="43" spans="1:3" ht="15.75">
      <c r="A43" s="128">
        <f t="shared" si="5"/>
        <v>2018</v>
      </c>
      <c r="B43" s="130">
        <v>79762.7</v>
      </c>
      <c r="C43" s="130">
        <v>17.23808992</v>
      </c>
    </row>
    <row r="44" spans="1:3" ht="15.75">
      <c r="A44" s="128">
        <f t="shared" si="5"/>
        <v>2019</v>
      </c>
      <c r="B44" s="130">
        <v>86020.3</v>
      </c>
      <c r="C44" s="130">
        <v>7.8452710349999997</v>
      </c>
    </row>
    <row r="45" spans="1:3" ht="15.75">
      <c r="A45" s="128">
        <f t="shared" si="5"/>
        <v>2020</v>
      </c>
      <c r="B45" s="130">
        <v>75610.600000000006</v>
      </c>
      <c r="C45" s="130">
        <v>-12.10144582</v>
      </c>
    </row>
    <row r="46" spans="1:3" ht="15.75">
      <c r="A46" s="128">
        <f t="shared" si="5"/>
        <v>2021</v>
      </c>
      <c r="B46" s="130">
        <v>70332.5</v>
      </c>
      <c r="C46" s="130">
        <v>-6.9806349900000004</v>
      </c>
    </row>
    <row r="50" spans="1:10" ht="26.25">
      <c r="B50" s="49" t="s">
        <v>249</v>
      </c>
      <c r="C50" s="48"/>
    </row>
    <row r="53" spans="1:10" ht="24.75">
      <c r="A53" s="44" t="s">
        <v>250</v>
      </c>
      <c r="B53" s="44"/>
      <c r="C53" s="50"/>
    </row>
    <row r="55" spans="1:10" ht="20.25">
      <c r="A55" s="127" t="s">
        <v>233</v>
      </c>
      <c r="B55" s="127" t="s">
        <v>251</v>
      </c>
      <c r="C55" s="127" t="s">
        <v>252</v>
      </c>
      <c r="D55" s="127" t="s">
        <v>253</v>
      </c>
      <c r="E55" s="127" t="s">
        <v>254</v>
      </c>
      <c r="F55" s="127" t="s">
        <v>255</v>
      </c>
      <c r="G55" s="127" t="s">
        <v>256</v>
      </c>
      <c r="H55" s="127" t="s">
        <v>257</v>
      </c>
      <c r="I55" s="127" t="s">
        <v>150</v>
      </c>
      <c r="J55" s="51"/>
    </row>
    <row r="56" spans="1:10" ht="20.25">
      <c r="A56" s="128">
        <v>2010</v>
      </c>
      <c r="B56" s="128">
        <v>11416</v>
      </c>
      <c r="C56" s="128">
        <f>-11756.87/10</f>
        <v>-1175.6870000000001</v>
      </c>
      <c r="D56" s="128">
        <f>-12567.04/10</f>
        <v>-1256.7040000000002</v>
      </c>
      <c r="E56" s="128">
        <f>D56-C56</f>
        <v>-81.017000000000053</v>
      </c>
      <c r="F56" s="128">
        <v>1335</v>
      </c>
      <c r="G56" s="128">
        <v>1200</v>
      </c>
      <c r="H56" s="128">
        <v>40102.1</v>
      </c>
      <c r="I56" s="128">
        <f>H56+D56+E56+F56</f>
        <v>40099.379000000001</v>
      </c>
      <c r="J56" s="52"/>
    </row>
    <row r="57" spans="1:10" ht="20.25">
      <c r="A57" s="128">
        <v>2011</v>
      </c>
      <c r="B57" s="128">
        <v>11927</v>
      </c>
      <c r="C57" s="128">
        <f>-12432.45/10</f>
        <v>-1243.2450000000001</v>
      </c>
      <c r="D57" s="128">
        <f>-13212.87/10</f>
        <v>-1321.287</v>
      </c>
      <c r="E57" s="128">
        <f t="shared" ref="E57:E66" si="6">D57-C57</f>
        <v>-78.041999999999916</v>
      </c>
      <c r="F57" s="128">
        <v>1567</v>
      </c>
      <c r="G57" s="128">
        <v>1430</v>
      </c>
      <c r="H57" s="128">
        <v>38614.1</v>
      </c>
      <c r="I57" s="128">
        <f>H57+D57+E57+F57</f>
        <v>38781.771000000001</v>
      </c>
      <c r="J57" s="52"/>
    </row>
    <row r="58" spans="1:10" ht="20.25">
      <c r="A58" s="128">
        <f>A57+1</f>
        <v>2012</v>
      </c>
      <c r="B58" s="128">
        <v>14478</v>
      </c>
      <c r="C58" s="128">
        <f>-14785.04/10</f>
        <v>-1478.5040000000001</v>
      </c>
      <c r="D58" s="128">
        <f>-15687.34/10</f>
        <v>-1568.7339999999999</v>
      </c>
      <c r="E58" s="128">
        <f t="shared" si="6"/>
        <v>-90.229999999999791</v>
      </c>
      <c r="F58" s="128">
        <v>1880</v>
      </c>
      <c r="G58" s="128">
        <v>2045</v>
      </c>
      <c r="H58" s="128">
        <v>48114.7</v>
      </c>
      <c r="I58" s="128">
        <f>H58+D58+E58+F58</f>
        <v>48335.735999999997</v>
      </c>
      <c r="J58" s="52"/>
    </row>
    <row r="59" spans="1:10" ht="20.25">
      <c r="A59" s="128">
        <f t="shared" ref="A59:A66" si="7">A58+1</f>
        <v>2013</v>
      </c>
      <c r="B59" s="128">
        <v>19524</v>
      </c>
      <c r="C59" s="128">
        <f>-11743.65/10</f>
        <v>-1174.365</v>
      </c>
      <c r="D59" s="128">
        <f>-12429.05/10</f>
        <v>-1242.905</v>
      </c>
      <c r="E59" s="128">
        <f t="shared" si="6"/>
        <v>-68.539999999999964</v>
      </c>
      <c r="F59" s="128">
        <v>2030</v>
      </c>
      <c r="G59" s="128">
        <v>2020</v>
      </c>
      <c r="H59" s="128">
        <v>47822.8</v>
      </c>
      <c r="I59" s="128">
        <f>H59+D59+E59+F59</f>
        <v>48541.355000000003</v>
      </c>
      <c r="J59" s="52"/>
    </row>
    <row r="60" spans="1:10" ht="20.25">
      <c r="A60" s="128">
        <f t="shared" si="7"/>
        <v>2014</v>
      </c>
      <c r="B60" s="128">
        <v>21098</v>
      </c>
      <c r="C60" s="152">
        <f>-12765.08/10</f>
        <v>-1276.508</v>
      </c>
      <c r="D60" s="128">
        <f>-14598.34/10</f>
        <v>-1459.8340000000001</v>
      </c>
      <c r="E60" s="128">
        <f>D60-C60</f>
        <v>-183.32600000000002</v>
      </c>
      <c r="F60" s="128">
        <v>2170</v>
      </c>
      <c r="G60" s="128">
        <v>1980</v>
      </c>
      <c r="H60" s="128">
        <v>53768.5</v>
      </c>
      <c r="I60" s="128">
        <f>H60+D60+E60+F60</f>
        <v>54295.34</v>
      </c>
      <c r="J60" s="52"/>
    </row>
    <row r="61" spans="1:10" ht="20.25">
      <c r="A61" s="128">
        <f t="shared" si="7"/>
        <v>2015</v>
      </c>
      <c r="B61" s="128">
        <v>24819</v>
      </c>
      <c r="C61" s="128">
        <f>-13398.51/10</f>
        <v>-1339.8510000000001</v>
      </c>
      <c r="D61" s="128">
        <f>-12738.45/10</f>
        <v>-1273.845</v>
      </c>
      <c r="E61" s="128">
        <f t="shared" si="6"/>
        <v>66.006000000000085</v>
      </c>
      <c r="F61" s="128">
        <v>2270</v>
      </c>
      <c r="G61" s="128">
        <v>2160</v>
      </c>
      <c r="H61" s="128">
        <v>63957.7</v>
      </c>
      <c r="I61" s="128">
        <f>H61+D61+E61+F61</f>
        <v>65019.860999999997</v>
      </c>
      <c r="J61" s="52"/>
    </row>
    <row r="62" spans="1:10" ht="20.25">
      <c r="A62" s="128">
        <f t="shared" si="7"/>
        <v>2016</v>
      </c>
      <c r="B62" s="128">
        <v>24312</v>
      </c>
      <c r="C62" s="128">
        <f>-14873.67/10</f>
        <v>-1487.367</v>
      </c>
      <c r="D62" s="128">
        <f>-17467.09/10</f>
        <v>-1746.7090000000001</v>
      </c>
      <c r="E62" s="128">
        <f t="shared" si="6"/>
        <v>-259.3420000000001</v>
      </c>
      <c r="F62" s="128">
        <v>2400</v>
      </c>
      <c r="G62" s="128">
        <v>2230</v>
      </c>
      <c r="H62" s="128">
        <v>73502.2</v>
      </c>
      <c r="I62" s="128">
        <f>H62+D62+E62+F62</f>
        <v>73896.14899999999</v>
      </c>
      <c r="J62" s="52"/>
    </row>
    <row r="63" spans="1:10" ht="20.25">
      <c r="A63" s="128">
        <f t="shared" si="7"/>
        <v>2017</v>
      </c>
      <c r="B63" s="128">
        <v>26039</v>
      </c>
      <c r="C63" s="128">
        <f>-15238.56/10</f>
        <v>-1523.856</v>
      </c>
      <c r="D63" s="153">
        <f>-17938.38/10</f>
        <v>-1793.8380000000002</v>
      </c>
      <c r="E63" s="128">
        <f t="shared" si="6"/>
        <v>-269.9820000000002</v>
      </c>
      <c r="F63" s="128">
        <v>2700</v>
      </c>
      <c r="G63" s="128">
        <v>2460</v>
      </c>
      <c r="H63" s="128">
        <v>77218.3</v>
      </c>
      <c r="I63" s="128">
        <f>H63+D63+E63+F63</f>
        <v>77854.48</v>
      </c>
      <c r="J63" s="52"/>
    </row>
    <row r="64" spans="1:10" ht="20.25">
      <c r="A64" s="128">
        <f t="shared" si="7"/>
        <v>2018</v>
      </c>
      <c r="B64" s="128">
        <v>27598</v>
      </c>
      <c r="C64" s="128">
        <f>-17427.09/10</f>
        <v>-1742.7090000000001</v>
      </c>
      <c r="D64" s="128">
        <f>-20326.53/10</f>
        <v>-2032.6529999999998</v>
      </c>
      <c r="E64" s="128">
        <f t="shared" si="6"/>
        <v>-289.94399999999973</v>
      </c>
      <c r="F64" s="128">
        <v>3180</v>
      </c>
      <c r="G64" s="128">
        <v>2800</v>
      </c>
      <c r="H64" s="128">
        <v>75006.2</v>
      </c>
      <c r="I64" s="128">
        <f>H64+D64+E64+F64</f>
        <v>75863.602999999988</v>
      </c>
      <c r="J64" s="52"/>
    </row>
    <row r="65" spans="1:22" ht="20.25">
      <c r="A65" s="128">
        <f t="shared" si="7"/>
        <v>2019</v>
      </c>
      <c r="B65" s="128">
        <v>30208</v>
      </c>
      <c r="C65" s="128">
        <f>-18562.49/10</f>
        <v>-1856.2490000000003</v>
      </c>
      <c r="D65" s="128">
        <f>-21535.43/10</f>
        <v>-2153.5430000000001</v>
      </c>
      <c r="E65" s="128">
        <f t="shared" si="6"/>
        <v>-297.29399999999987</v>
      </c>
      <c r="F65" s="128">
        <v>3730</v>
      </c>
      <c r="G65" s="128">
        <v>3400</v>
      </c>
      <c r="H65" s="128">
        <v>56506.1</v>
      </c>
      <c r="I65" s="128">
        <f>H65+D65+E65+F65</f>
        <v>57785.262999999999</v>
      </c>
      <c r="J65" s="52"/>
    </row>
    <row r="66" spans="1:22" ht="20.25">
      <c r="A66" s="128">
        <f t="shared" si="7"/>
        <v>2020</v>
      </c>
      <c r="B66" s="128">
        <v>35284</v>
      </c>
      <c r="C66" s="128">
        <f>-21052.28/10</f>
        <v>-2105.2280000000001</v>
      </c>
      <c r="D66" s="128">
        <f>-25763.04/10</f>
        <v>-2576.3040000000001</v>
      </c>
      <c r="E66" s="128">
        <f t="shared" si="6"/>
        <v>-471.07600000000002</v>
      </c>
      <c r="F66" s="128">
        <v>3850</v>
      </c>
      <c r="G66" s="128">
        <v>3300</v>
      </c>
      <c r="H66" s="128">
        <v>57040.09</v>
      </c>
      <c r="I66" s="128">
        <f>H66+D66+E66+F66</f>
        <v>57842.709999999992</v>
      </c>
      <c r="J66" s="52"/>
    </row>
    <row r="70" spans="1:22" ht="19.5">
      <c r="B70" s="154" t="s">
        <v>258</v>
      </c>
      <c r="C70" s="154"/>
      <c r="D70" s="154"/>
      <c r="E70" s="154"/>
      <c r="F70" s="154"/>
      <c r="G70" s="154"/>
      <c r="H70" s="154"/>
      <c r="I70" s="154"/>
      <c r="J70" s="154"/>
      <c r="K70" s="154"/>
      <c r="L70" s="154"/>
      <c r="M70" s="154"/>
      <c r="N70" s="154"/>
      <c r="O70" s="154"/>
      <c r="P70" s="154"/>
      <c r="Q70" s="154"/>
      <c r="R70" s="155"/>
      <c r="S70" s="155"/>
      <c r="T70" s="155"/>
      <c r="U70" s="155"/>
      <c r="V70" s="155"/>
    </row>
    <row r="71" spans="1:22" ht="19.5">
      <c r="B71" s="154"/>
      <c r="C71" s="154"/>
      <c r="D71" s="154"/>
      <c r="E71" s="154"/>
      <c r="F71" s="154"/>
      <c r="G71" s="154"/>
      <c r="H71" s="154"/>
      <c r="I71" s="154"/>
      <c r="J71" s="154"/>
      <c r="K71" s="154"/>
      <c r="L71" s="154"/>
      <c r="M71" s="154"/>
      <c r="N71" s="154"/>
      <c r="O71" s="154"/>
      <c r="P71" s="154"/>
      <c r="Q71" s="154"/>
      <c r="R71" s="155"/>
      <c r="S71" s="155"/>
      <c r="T71" s="155"/>
      <c r="U71" s="155"/>
      <c r="V71" s="155"/>
    </row>
    <row r="72" spans="1:22" ht="19.5">
      <c r="B72" s="154" t="s">
        <v>259</v>
      </c>
      <c r="C72" s="154"/>
      <c r="D72" s="154"/>
      <c r="E72" s="154"/>
      <c r="F72" s="154"/>
      <c r="G72" s="154"/>
      <c r="H72" s="154"/>
      <c r="I72" s="154"/>
      <c r="J72" s="154"/>
      <c r="K72" s="154"/>
      <c r="L72" s="154"/>
      <c r="M72" s="154"/>
      <c r="N72" s="154"/>
      <c r="O72" s="154"/>
      <c r="P72" s="154"/>
      <c r="Q72" s="154"/>
      <c r="R72" s="155"/>
      <c r="S72" s="155"/>
      <c r="T72" s="155"/>
      <c r="U72" s="155"/>
      <c r="V72" s="155"/>
    </row>
    <row r="73" spans="1:22" ht="19.5">
      <c r="B73" s="154"/>
      <c r="C73" s="154"/>
      <c r="D73" s="154"/>
      <c r="E73" s="154"/>
      <c r="F73" s="154"/>
      <c r="G73" s="154"/>
      <c r="H73" s="154"/>
      <c r="I73" s="154"/>
      <c r="J73" s="154"/>
      <c r="K73" s="154"/>
      <c r="L73" s="154"/>
      <c r="M73" s="154"/>
      <c r="N73" s="154"/>
      <c r="O73" s="154"/>
      <c r="P73" s="154"/>
      <c r="Q73" s="154"/>
      <c r="R73" s="155"/>
      <c r="S73" s="155"/>
      <c r="T73" s="155"/>
      <c r="U73" s="155"/>
      <c r="V73" s="155"/>
    </row>
    <row r="74" spans="1:22" ht="19.5">
      <c r="B74" s="154" t="s">
        <v>260</v>
      </c>
      <c r="C74" s="154"/>
      <c r="D74" s="154"/>
      <c r="E74" s="154"/>
      <c r="F74" s="154"/>
      <c r="G74" s="154"/>
      <c r="H74" s="154"/>
      <c r="I74" s="154"/>
      <c r="J74" s="154"/>
      <c r="K74" s="154"/>
      <c r="L74" s="154"/>
      <c r="M74" s="154"/>
      <c r="N74" s="154"/>
      <c r="O74" s="154"/>
      <c r="P74" s="154"/>
      <c r="Q74" s="154"/>
      <c r="R74" s="155"/>
      <c r="S74" s="155"/>
      <c r="T74" s="155"/>
      <c r="U74" s="155"/>
      <c r="V74" s="155"/>
    </row>
    <row r="75" spans="1:22" ht="19.5">
      <c r="B75" s="154"/>
      <c r="C75" s="154"/>
      <c r="D75" s="154"/>
      <c r="E75" s="154"/>
      <c r="F75" s="154"/>
      <c r="G75" s="154"/>
      <c r="H75" s="154"/>
      <c r="I75" s="154"/>
      <c r="J75" s="154"/>
      <c r="K75" s="154"/>
      <c r="L75" s="154"/>
      <c r="M75" s="154"/>
      <c r="N75" s="154"/>
      <c r="O75" s="154"/>
      <c r="P75" s="154"/>
      <c r="Q75" s="154"/>
      <c r="R75" s="155"/>
      <c r="S75" s="155"/>
      <c r="T75" s="155"/>
      <c r="U75" s="155"/>
      <c r="V75" s="155"/>
    </row>
    <row r="76" spans="1:22" ht="19.5">
      <c r="B76" s="154" t="s">
        <v>261</v>
      </c>
      <c r="C76" s="154"/>
      <c r="D76" s="154"/>
      <c r="E76" s="154"/>
      <c r="F76" s="154"/>
      <c r="G76" s="154"/>
      <c r="H76" s="154"/>
      <c r="I76" s="154"/>
      <c r="J76" s="154"/>
      <c r="K76" s="154"/>
      <c r="L76" s="154"/>
      <c r="M76" s="154"/>
      <c r="N76" s="154"/>
      <c r="O76" s="154"/>
      <c r="P76" s="154"/>
      <c r="Q76" s="154"/>
      <c r="R76" s="155"/>
      <c r="S76" s="155"/>
      <c r="T76" s="155"/>
      <c r="U76" s="155"/>
      <c r="V76" s="155"/>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1F70A4-D299-40BF-A7CB-73194A2F44CF}">
  <dimension ref="B18"/>
  <sheetViews>
    <sheetView topLeftCell="A2" workbookViewId="0">
      <selection activeCell="Q10" sqref="Q10"/>
    </sheetView>
  </sheetViews>
  <sheetFormatPr defaultRowHeight="15"/>
  <sheetData>
    <row r="18" spans="2:2">
      <c r="B18" t="s">
        <v>262</v>
      </c>
    </row>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51CCAE-5355-4D5B-A23D-68A1FE6A672D}">
  <dimension ref="B2:C12"/>
  <sheetViews>
    <sheetView workbookViewId="0"/>
  </sheetViews>
  <sheetFormatPr defaultRowHeight="15"/>
  <cols>
    <col min="2" max="2" width="22.42578125" customWidth="1"/>
    <col min="3" max="3" width="100" bestFit="1" customWidth="1"/>
  </cols>
  <sheetData>
    <row r="2" spans="2:3" ht="22.5">
      <c r="B2" s="91" t="s">
        <v>13</v>
      </c>
      <c r="C2" s="91" t="s">
        <v>14</v>
      </c>
    </row>
    <row r="3" spans="2:3">
      <c r="B3" s="75"/>
      <c r="C3" s="75"/>
    </row>
    <row r="4" spans="2:3">
      <c r="B4" s="75" t="s">
        <v>15</v>
      </c>
      <c r="C4" s="75" t="s">
        <v>16</v>
      </c>
    </row>
    <row r="5" spans="2:3">
      <c r="B5" s="75"/>
      <c r="C5" s="75"/>
    </row>
    <row r="6" spans="2:3">
      <c r="B6" s="75" t="s">
        <v>17</v>
      </c>
      <c r="C6" s="75" t="s">
        <v>18</v>
      </c>
    </row>
    <row r="7" spans="2:3">
      <c r="B7" s="75"/>
      <c r="C7" s="75"/>
    </row>
    <row r="8" spans="2:3">
      <c r="B8" s="75" t="s">
        <v>19</v>
      </c>
      <c r="C8" s="75" t="s">
        <v>20</v>
      </c>
    </row>
    <row r="9" spans="2:3">
      <c r="B9" s="75"/>
      <c r="C9" s="75"/>
    </row>
    <row r="10" spans="2:3">
      <c r="B10" s="75" t="s">
        <v>21</v>
      </c>
      <c r="C10" s="75" t="s">
        <v>22</v>
      </c>
    </row>
    <row r="11" spans="2:3">
      <c r="B11" s="75"/>
      <c r="C11" s="75"/>
    </row>
    <row r="12" spans="2:3">
      <c r="B12" s="75" t="s">
        <v>23</v>
      </c>
      <c r="C12" s="75" t="s">
        <v>24</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EA4CB-6673-4A38-89B6-313CB114DD2A}">
  <dimension ref="A1:K19"/>
  <sheetViews>
    <sheetView workbookViewId="0">
      <selection activeCell="J4" sqref="J4"/>
    </sheetView>
  </sheetViews>
  <sheetFormatPr defaultRowHeight="15"/>
  <cols>
    <col min="1" max="1" width="5.140625" bestFit="1" customWidth="1"/>
    <col min="2" max="2" width="14" customWidth="1"/>
    <col min="3" max="3" width="16" customWidth="1"/>
    <col min="4" max="4" width="12.85546875" bestFit="1" customWidth="1"/>
    <col min="5" max="5" width="24.85546875" bestFit="1" customWidth="1"/>
    <col min="6" max="6" width="10.140625" bestFit="1" customWidth="1"/>
    <col min="8" max="8" width="16.140625" bestFit="1" customWidth="1"/>
    <col min="9" max="9" width="13.85546875" customWidth="1"/>
    <col min="10" max="10" width="26.7109375" bestFit="1" customWidth="1"/>
    <col min="11" max="11" width="19.140625" bestFit="1" customWidth="1"/>
  </cols>
  <sheetData>
    <row r="1" spans="1:11" ht="31.5">
      <c r="A1" s="113" t="s">
        <v>25</v>
      </c>
      <c r="B1" s="113"/>
      <c r="C1" s="113"/>
      <c r="D1" s="113"/>
      <c r="E1" s="113"/>
      <c r="F1" s="113"/>
      <c r="G1" s="113"/>
      <c r="H1" s="113"/>
      <c r="I1" s="113"/>
      <c r="J1" s="113"/>
      <c r="K1" s="113"/>
    </row>
    <row r="2" spans="1:11">
      <c r="A2" s="75"/>
      <c r="B2" s="75"/>
      <c r="C2" s="75"/>
      <c r="D2" s="75"/>
      <c r="E2" s="75"/>
      <c r="F2" s="75"/>
      <c r="G2" s="75"/>
      <c r="H2" s="75"/>
      <c r="I2" s="75"/>
      <c r="J2" s="75"/>
      <c r="K2" s="75"/>
    </row>
    <row r="3" spans="1:11">
      <c r="A3" s="76" t="s">
        <v>26</v>
      </c>
      <c r="B3" s="77" t="s">
        <v>27</v>
      </c>
      <c r="C3" s="77" t="s">
        <v>28</v>
      </c>
      <c r="D3" s="77" t="s">
        <v>29</v>
      </c>
      <c r="E3" s="77" t="s">
        <v>30</v>
      </c>
      <c r="F3" s="77" t="s">
        <v>31</v>
      </c>
      <c r="G3" s="77" t="s">
        <v>32</v>
      </c>
      <c r="H3" s="77" t="s">
        <v>33</v>
      </c>
      <c r="I3" s="77" t="s">
        <v>34</v>
      </c>
      <c r="J3" s="77" t="s">
        <v>35</v>
      </c>
      <c r="K3" s="78" t="s">
        <v>36</v>
      </c>
    </row>
    <row r="4" spans="1:11" ht="28.5">
      <c r="A4" s="79">
        <v>2021</v>
      </c>
      <c r="B4" s="81">
        <v>3.9290000000000002E-3</v>
      </c>
      <c r="C4" s="82">
        <v>0.11</v>
      </c>
      <c r="D4" s="81">
        <v>2.0723E-3</v>
      </c>
      <c r="E4" s="80">
        <v>7.5139064009999998</v>
      </c>
      <c r="F4" s="80" t="s">
        <v>37</v>
      </c>
      <c r="G4" s="80" t="s">
        <v>38</v>
      </c>
      <c r="H4" s="80" t="s">
        <v>39</v>
      </c>
      <c r="I4" s="83" t="s">
        <v>40</v>
      </c>
      <c r="J4" s="156" t="s">
        <v>41</v>
      </c>
      <c r="K4" s="84" t="s">
        <v>42</v>
      </c>
    </row>
    <row r="5" spans="1:11" ht="28.5">
      <c r="A5" s="79">
        <v>2020</v>
      </c>
      <c r="B5" s="81">
        <v>1.31E-3</v>
      </c>
      <c r="C5" s="82">
        <v>0.06</v>
      </c>
      <c r="D5" s="81">
        <v>-7.2179999999999998E-4</v>
      </c>
      <c r="E5" s="80">
        <v>4.9519497469999996</v>
      </c>
      <c r="F5" s="80" t="s">
        <v>37</v>
      </c>
      <c r="G5" s="80" t="s">
        <v>43</v>
      </c>
      <c r="H5" s="80" t="s">
        <v>44</v>
      </c>
      <c r="I5" s="83" t="s">
        <v>45</v>
      </c>
      <c r="J5" s="156" t="s">
        <v>46</v>
      </c>
      <c r="K5" s="84" t="s">
        <v>47</v>
      </c>
    </row>
    <row r="6" spans="1:11" ht="28.5">
      <c r="A6" s="79">
        <v>2019</v>
      </c>
      <c r="B6" s="81">
        <v>1.31E-3</v>
      </c>
      <c r="C6" s="82">
        <v>0.06</v>
      </c>
      <c r="D6" s="81">
        <v>2.3779000000000001E-3</v>
      </c>
      <c r="E6" s="80">
        <v>-3.159161364</v>
      </c>
      <c r="F6" s="80" t="s">
        <v>37</v>
      </c>
      <c r="G6" s="80" t="s">
        <v>43</v>
      </c>
      <c r="H6" s="80" t="s">
        <v>48</v>
      </c>
      <c r="I6" s="83" t="s">
        <v>49</v>
      </c>
      <c r="J6" s="156" t="s">
        <v>50</v>
      </c>
      <c r="K6" s="84" t="s">
        <v>47</v>
      </c>
    </row>
    <row r="7" spans="1:11" ht="28.5">
      <c r="A7" s="79">
        <v>2018</v>
      </c>
      <c r="B7" s="81">
        <v>1.0480000000000001E-3</v>
      </c>
      <c r="C7" s="82">
        <v>7.0000000000000007E-2</v>
      </c>
      <c r="D7" s="81">
        <v>2.2051000000000002E-3</v>
      </c>
      <c r="E7" s="80">
        <v>2.8890520479999999</v>
      </c>
      <c r="F7" s="80" t="s">
        <v>37</v>
      </c>
      <c r="G7" s="80" t="s">
        <v>51</v>
      </c>
      <c r="H7" s="80" t="s">
        <v>52</v>
      </c>
      <c r="I7" s="83" t="s">
        <v>53</v>
      </c>
      <c r="J7" s="156" t="s">
        <v>54</v>
      </c>
      <c r="K7" s="84" t="s">
        <v>47</v>
      </c>
    </row>
    <row r="8" spans="1:11" ht="28.5">
      <c r="A8" s="79">
        <v>2017</v>
      </c>
      <c r="B8" s="81">
        <v>7.8600000000000002E-4</v>
      </c>
      <c r="C8" s="82">
        <v>0.11</v>
      </c>
      <c r="D8" s="81">
        <v>2.0774999999999999E-3</v>
      </c>
      <c r="E8" s="80">
        <v>1.945178659</v>
      </c>
      <c r="F8" s="80" t="s">
        <v>37</v>
      </c>
      <c r="G8" s="80" t="s">
        <v>55</v>
      </c>
      <c r="H8" s="80" t="s">
        <v>56</v>
      </c>
      <c r="I8" s="83" t="s">
        <v>57</v>
      </c>
      <c r="J8" s="156" t="s">
        <v>58</v>
      </c>
      <c r="K8" s="84" t="s">
        <v>47</v>
      </c>
    </row>
    <row r="9" spans="1:11" ht="42.75">
      <c r="A9" s="79">
        <v>2016</v>
      </c>
      <c r="B9" s="81">
        <v>6.29E-4</v>
      </c>
      <c r="C9" s="82">
        <v>0.16</v>
      </c>
      <c r="D9" s="81">
        <v>-1.6557E-3</v>
      </c>
      <c r="E9" s="80">
        <v>1.3421559590000001</v>
      </c>
      <c r="F9" s="80" t="s">
        <v>37</v>
      </c>
      <c r="G9" s="80" t="s">
        <v>59</v>
      </c>
      <c r="H9" s="80" t="s">
        <v>60</v>
      </c>
      <c r="I9" s="83" t="s">
        <v>61</v>
      </c>
      <c r="J9" s="156" t="s">
        <v>62</v>
      </c>
      <c r="K9" s="85" t="s">
        <v>63</v>
      </c>
    </row>
    <row r="10" spans="1:11" ht="42.75">
      <c r="A10" s="79">
        <v>2015</v>
      </c>
      <c r="B10" s="81">
        <v>6.29E-4</v>
      </c>
      <c r="C10" s="82">
        <v>0.19</v>
      </c>
      <c r="D10" s="81">
        <v>-3.6743000000000001E-3</v>
      </c>
      <c r="E10" s="80">
        <v>-0.54497443199999995</v>
      </c>
      <c r="F10" s="80" t="s">
        <v>37</v>
      </c>
      <c r="G10" s="80" t="s">
        <v>59</v>
      </c>
      <c r="H10" s="80" t="s">
        <v>64</v>
      </c>
      <c r="I10" s="83" t="s">
        <v>65</v>
      </c>
      <c r="J10" s="156" t="s">
        <v>66</v>
      </c>
      <c r="K10" s="85" t="s">
        <v>67</v>
      </c>
    </row>
    <row r="11" spans="1:11" ht="28.5">
      <c r="A11" s="79">
        <v>2014</v>
      </c>
      <c r="B11" s="81">
        <v>3.1399999999999999E-4</v>
      </c>
      <c r="C11" s="82">
        <v>0.03</v>
      </c>
      <c r="D11" s="80"/>
      <c r="E11" s="80">
        <v>0</v>
      </c>
      <c r="F11" s="80" t="s">
        <v>37</v>
      </c>
      <c r="G11" s="80" t="s">
        <v>68</v>
      </c>
      <c r="H11" s="80" t="s">
        <v>69</v>
      </c>
      <c r="I11" s="83" t="s">
        <v>70</v>
      </c>
      <c r="J11" s="156" t="s">
        <v>71</v>
      </c>
      <c r="K11" s="84" t="s">
        <v>72</v>
      </c>
    </row>
    <row r="12" spans="1:11" ht="42.75">
      <c r="A12" s="79">
        <v>2013</v>
      </c>
      <c r="B12" s="81">
        <v>6.29E-4</v>
      </c>
      <c r="C12" s="80"/>
      <c r="D12" s="81">
        <v>-0.01</v>
      </c>
      <c r="E12" s="80">
        <v>0</v>
      </c>
      <c r="F12" s="80" t="s">
        <v>37</v>
      </c>
      <c r="G12" s="80" t="s">
        <v>59</v>
      </c>
      <c r="H12" s="80" t="s">
        <v>73</v>
      </c>
      <c r="I12" s="80" t="s">
        <v>74</v>
      </c>
      <c r="J12" s="156" t="s">
        <v>75</v>
      </c>
      <c r="K12" s="85" t="s">
        <v>76</v>
      </c>
    </row>
    <row r="13" spans="1:11" ht="42.75">
      <c r="A13" s="79">
        <v>2012</v>
      </c>
      <c r="B13" s="81">
        <v>6.29E-4</v>
      </c>
      <c r="C13" s="82">
        <v>0.21</v>
      </c>
      <c r="D13" s="81">
        <v>-1.2679999999999999E-4</v>
      </c>
      <c r="E13" s="80">
        <v>-0.41653391499999998</v>
      </c>
      <c r="F13" s="80" t="s">
        <v>37</v>
      </c>
      <c r="G13" s="80" t="s">
        <v>59</v>
      </c>
      <c r="H13" s="80" t="s">
        <v>77</v>
      </c>
      <c r="I13" s="83" t="s">
        <v>78</v>
      </c>
      <c r="J13" s="156" t="s">
        <v>79</v>
      </c>
      <c r="K13" s="85" t="s">
        <v>80</v>
      </c>
    </row>
    <row r="14" spans="1:11" ht="42.75">
      <c r="A14" s="86">
        <v>2011</v>
      </c>
      <c r="B14" s="88">
        <v>0</v>
      </c>
      <c r="C14" s="89">
        <v>0</v>
      </c>
      <c r="D14" s="88">
        <v>2.3375000000000002E-3</v>
      </c>
      <c r="E14" s="87">
        <v>0.97898543599999999</v>
      </c>
      <c r="F14" s="87" t="s">
        <v>37</v>
      </c>
      <c r="G14" s="87" t="s">
        <v>81</v>
      </c>
      <c r="H14" s="87" t="s">
        <v>82</v>
      </c>
      <c r="I14" s="83" t="s">
        <v>83</v>
      </c>
      <c r="J14" s="157" t="s">
        <v>84</v>
      </c>
      <c r="K14" s="85" t="s">
        <v>85</v>
      </c>
    </row>
    <row r="15" spans="1:11">
      <c r="A15" s="75">
        <v>2010</v>
      </c>
      <c r="B15" s="75"/>
      <c r="C15" s="75"/>
      <c r="D15" s="75"/>
      <c r="E15" s="75"/>
      <c r="F15" s="75"/>
      <c r="G15" s="75"/>
      <c r="H15" s="75" t="s">
        <v>86</v>
      </c>
      <c r="I15" s="75"/>
      <c r="J15" s="75"/>
      <c r="K15" s="75"/>
    </row>
    <row r="16" spans="1:11">
      <c r="A16" s="75"/>
      <c r="B16" s="75"/>
      <c r="C16" s="75"/>
      <c r="D16" s="75"/>
      <c r="E16" s="75"/>
      <c r="F16" s="75"/>
      <c r="G16" s="75"/>
      <c r="H16" s="75"/>
      <c r="I16" s="75"/>
      <c r="J16" s="75"/>
      <c r="K16" s="75"/>
    </row>
    <row r="17" spans="1:11" ht="15.75">
      <c r="A17" s="75"/>
      <c r="B17" s="75"/>
      <c r="C17" s="75"/>
      <c r="D17" s="75"/>
      <c r="E17" s="90" t="s">
        <v>87</v>
      </c>
      <c r="F17" s="90" t="s">
        <v>88</v>
      </c>
      <c r="G17" s="75"/>
      <c r="H17" s="75"/>
      <c r="I17" s="75"/>
      <c r="J17" s="75"/>
      <c r="K17" s="75"/>
    </row>
    <row r="18" spans="1:11">
      <c r="A18" s="75"/>
      <c r="B18" s="75"/>
      <c r="C18" s="75"/>
      <c r="D18" s="75"/>
      <c r="E18" s="75"/>
      <c r="F18" s="75"/>
      <c r="G18" s="75"/>
      <c r="H18" s="75"/>
      <c r="I18" s="75"/>
      <c r="J18" s="75"/>
      <c r="K18" s="75"/>
    </row>
    <row r="19" spans="1:11">
      <c r="A19" s="75"/>
      <c r="B19" s="75"/>
      <c r="C19" s="75"/>
      <c r="D19" s="75"/>
      <c r="E19" s="75"/>
      <c r="F19" s="75"/>
      <c r="G19" s="75"/>
      <c r="H19" s="75"/>
      <c r="I19" s="75"/>
      <c r="J19" s="75"/>
      <c r="K19" s="75"/>
    </row>
  </sheetData>
  <mergeCells count="1">
    <mergeCell ref="A1:K1"/>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691AB5-44F2-41E0-B4FF-16CE97225861}">
  <dimension ref="A1:F9"/>
  <sheetViews>
    <sheetView workbookViewId="0"/>
  </sheetViews>
  <sheetFormatPr defaultRowHeight="15"/>
  <cols>
    <col min="1" max="1" width="23.28515625" customWidth="1"/>
  </cols>
  <sheetData>
    <row r="1" spans="1:6">
      <c r="A1" s="75" t="s">
        <v>15</v>
      </c>
      <c r="B1" s="115" t="s">
        <v>16</v>
      </c>
      <c r="C1" s="115"/>
      <c r="D1" s="115"/>
      <c r="E1" s="115"/>
    </row>
    <row r="2" spans="1:6">
      <c r="A2" s="75"/>
      <c r="B2" s="75"/>
    </row>
    <row r="3" spans="1:6">
      <c r="A3" s="75" t="s">
        <v>17</v>
      </c>
      <c r="B3" s="115" t="s">
        <v>18</v>
      </c>
      <c r="C3" s="115"/>
      <c r="D3" s="115"/>
      <c r="E3" s="115"/>
      <c r="F3" s="115"/>
    </row>
    <row r="4" spans="1:6">
      <c r="A4" s="75"/>
      <c r="B4" s="75"/>
    </row>
    <row r="5" spans="1:6">
      <c r="A5" s="75" t="s">
        <v>19</v>
      </c>
      <c r="B5" s="75" t="s">
        <v>20</v>
      </c>
    </row>
    <row r="6" spans="1:6">
      <c r="A6" s="75"/>
      <c r="B6" s="75"/>
    </row>
    <row r="7" spans="1:6">
      <c r="A7" s="75" t="s">
        <v>21</v>
      </c>
      <c r="B7" s="115" t="s">
        <v>89</v>
      </c>
      <c r="C7" s="115"/>
      <c r="D7" s="115"/>
      <c r="E7" s="115"/>
    </row>
    <row r="8" spans="1:6">
      <c r="A8" s="75"/>
      <c r="B8" s="75"/>
    </row>
    <row r="9" spans="1:6">
      <c r="A9" s="75" t="s">
        <v>23</v>
      </c>
      <c r="B9" s="115" t="s">
        <v>24</v>
      </c>
      <c r="C9" s="115"/>
      <c r="D9" s="115"/>
      <c r="E9" s="115"/>
      <c r="F9" s="115"/>
    </row>
  </sheetData>
  <mergeCells count="4">
    <mergeCell ref="B7:E7"/>
    <mergeCell ref="B1:E1"/>
    <mergeCell ref="B3:F3"/>
    <mergeCell ref="B9:F9"/>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FB813D-D17F-4D47-93B5-97293CE5B631}">
  <dimension ref="A1:L91"/>
  <sheetViews>
    <sheetView topLeftCell="A78" workbookViewId="0">
      <selection activeCell="A76" sqref="A76"/>
    </sheetView>
  </sheetViews>
  <sheetFormatPr defaultRowHeight="15"/>
  <cols>
    <col min="1" max="1" width="19.5703125" bestFit="1" customWidth="1"/>
    <col min="2" max="2" width="19.85546875" customWidth="1"/>
    <col min="3" max="3" width="17.85546875" customWidth="1"/>
    <col min="4" max="4" width="23.140625" customWidth="1"/>
    <col min="5" max="5" width="16" bestFit="1" customWidth="1"/>
    <col min="8" max="8" width="10.85546875" customWidth="1"/>
    <col min="10" max="10" width="15.7109375" customWidth="1"/>
  </cols>
  <sheetData>
    <row r="1" spans="1:4">
      <c r="A1" t="s">
        <v>6</v>
      </c>
    </row>
    <row r="3" spans="1:4">
      <c r="A3" t="s">
        <v>90</v>
      </c>
    </row>
    <row r="5" spans="1:4" ht="15.75">
      <c r="A5" s="57" t="s">
        <v>91</v>
      </c>
      <c r="B5" s="57" t="s">
        <v>32</v>
      </c>
      <c r="C5" s="57" t="s">
        <v>92</v>
      </c>
      <c r="D5" s="55"/>
    </row>
    <row r="6" spans="1:4" ht="15.75">
      <c r="A6" s="60">
        <v>44525</v>
      </c>
      <c r="B6" s="58">
        <v>120</v>
      </c>
      <c r="C6" s="59">
        <v>0.12280000000000001</v>
      </c>
      <c r="D6" s="56"/>
    </row>
    <row r="7" spans="1:4" ht="15.75">
      <c r="A7" s="60">
        <v>44344</v>
      </c>
      <c r="B7" s="58">
        <v>135</v>
      </c>
      <c r="C7" s="59">
        <v>0.14180000000000001</v>
      </c>
      <c r="D7" s="56"/>
    </row>
    <row r="8" spans="1:4" ht="15.75">
      <c r="A8" s="60">
        <v>44162</v>
      </c>
      <c r="B8" s="58">
        <v>100</v>
      </c>
      <c r="C8" s="59">
        <v>0.15670000000000001</v>
      </c>
      <c r="D8" s="56"/>
    </row>
    <row r="9" spans="1:4" ht="15.75">
      <c r="A9" s="60">
        <v>44162</v>
      </c>
      <c r="B9" s="58">
        <v>5</v>
      </c>
      <c r="C9" s="59">
        <v>0.15670000000000001</v>
      </c>
      <c r="D9" s="56"/>
    </row>
    <row r="10" spans="1:4" ht="15.75">
      <c r="A10" s="60">
        <v>43979</v>
      </c>
      <c r="B10" s="58">
        <v>120</v>
      </c>
      <c r="C10" s="59">
        <v>0.1565</v>
      </c>
      <c r="D10" s="56"/>
    </row>
    <row r="11" spans="1:4" ht="15.75">
      <c r="A11" s="60">
        <v>43796</v>
      </c>
      <c r="B11" s="58">
        <v>100</v>
      </c>
      <c r="C11" s="59">
        <v>0.14810000000000001</v>
      </c>
      <c r="D11" s="56"/>
    </row>
    <row r="12" spans="1:4" ht="15.75">
      <c r="A12" s="60">
        <v>43609</v>
      </c>
      <c r="B12" s="58">
        <v>120</v>
      </c>
      <c r="C12" s="59">
        <v>0.16270000000000001</v>
      </c>
      <c r="D12" s="56"/>
    </row>
    <row r="13" spans="1:4" ht="15.75">
      <c r="A13" s="60">
        <v>43431</v>
      </c>
      <c r="B13" s="58">
        <v>100</v>
      </c>
      <c r="C13" s="59">
        <v>0.1545</v>
      </c>
      <c r="D13" s="56"/>
    </row>
    <row r="14" spans="1:4" ht="15.75">
      <c r="A14" s="60">
        <v>43245</v>
      </c>
      <c r="B14" s="58">
        <v>120</v>
      </c>
      <c r="C14" s="59">
        <v>0.15959999999999999</v>
      </c>
      <c r="D14" s="56"/>
    </row>
    <row r="15" spans="1:4" ht="15.75">
      <c r="A15" s="60">
        <v>43066</v>
      </c>
      <c r="B15" s="58">
        <v>100</v>
      </c>
      <c r="C15" s="59">
        <v>0.15409999999999999</v>
      </c>
      <c r="D15" s="56"/>
    </row>
    <row r="16" spans="1:4" ht="15.75">
      <c r="A16" s="60">
        <v>42880</v>
      </c>
      <c r="B16" s="58">
        <v>110</v>
      </c>
      <c r="C16" s="59">
        <v>0.16889999999999999</v>
      </c>
      <c r="D16" s="56"/>
    </row>
    <row r="17" spans="1:4" ht="15.75">
      <c r="A17" s="60">
        <v>42703</v>
      </c>
      <c r="B17" s="58">
        <v>100</v>
      </c>
      <c r="C17" s="59">
        <v>0.17460000000000001</v>
      </c>
      <c r="D17" s="56"/>
    </row>
    <row r="18" spans="1:4" ht="15.75">
      <c r="A18" s="60">
        <v>42523</v>
      </c>
      <c r="B18" s="58">
        <v>110</v>
      </c>
      <c r="C18" s="59">
        <v>0.16869999999999999</v>
      </c>
      <c r="D18" s="56"/>
    </row>
    <row r="19" spans="1:4" ht="15.75">
      <c r="A19" s="60">
        <v>42335</v>
      </c>
      <c r="B19" s="58">
        <v>100</v>
      </c>
      <c r="C19" s="59">
        <v>0.15640000000000001</v>
      </c>
      <c r="D19" s="56"/>
    </row>
    <row r="20" spans="1:4" ht="15.75">
      <c r="A20" s="60">
        <v>42172</v>
      </c>
      <c r="B20" s="58">
        <v>125</v>
      </c>
      <c r="C20" s="59">
        <v>0.1162</v>
      </c>
      <c r="D20" s="56"/>
    </row>
    <row r="21" spans="1:4" ht="15.75">
      <c r="A21" s="60">
        <v>41970</v>
      </c>
      <c r="B21" s="58">
        <v>75</v>
      </c>
      <c r="C21" s="59">
        <v>0.1336</v>
      </c>
      <c r="D21" s="56"/>
    </row>
    <row r="22" spans="1:4" ht="15.75">
      <c r="A22" s="60">
        <v>41808</v>
      </c>
      <c r="B22" s="58">
        <v>100</v>
      </c>
      <c r="C22" s="59">
        <v>0.14680000000000001</v>
      </c>
      <c r="D22" s="56"/>
    </row>
    <row r="23" spans="1:4" ht="15.75">
      <c r="A23" s="60">
        <v>41605</v>
      </c>
      <c r="B23" s="58">
        <v>65</v>
      </c>
      <c r="C23" s="59">
        <v>9.6600000000000005E-2</v>
      </c>
      <c r="D23" s="56"/>
    </row>
    <row r="24" spans="1:4" ht="15.75">
      <c r="A24" s="60">
        <v>41442</v>
      </c>
      <c r="B24" s="58">
        <v>60</v>
      </c>
      <c r="C24" s="59">
        <v>9.1600000000000001E-2</v>
      </c>
      <c r="D24" s="56"/>
    </row>
    <row r="25" spans="1:4" ht="15.75">
      <c r="A25" s="60">
        <v>41240</v>
      </c>
      <c r="B25" s="58">
        <v>30</v>
      </c>
      <c r="C25" s="59">
        <v>9.4200000000000006E-2</v>
      </c>
      <c r="D25" s="56"/>
    </row>
    <row r="26" spans="1:4" ht="15.75">
      <c r="A26" s="60">
        <v>41078</v>
      </c>
      <c r="B26" s="58">
        <v>30</v>
      </c>
      <c r="C26" s="59">
        <v>6.9400000000000003E-2</v>
      </c>
      <c r="D26" s="56"/>
    </row>
    <row r="27" spans="1:4" ht="15.75">
      <c r="A27" s="60">
        <v>40877</v>
      </c>
      <c r="B27" s="58">
        <v>20</v>
      </c>
      <c r="C27" s="59">
        <v>9.4E-2</v>
      </c>
      <c r="D27" s="56"/>
    </row>
    <row r="28" spans="1:4" ht="15.75">
      <c r="A28" s="60">
        <v>40714</v>
      </c>
      <c r="B28" s="58">
        <v>30</v>
      </c>
      <c r="C28" s="58">
        <v>7.59</v>
      </c>
      <c r="D28" s="56"/>
    </row>
    <row r="32" spans="1:4">
      <c r="A32" t="s">
        <v>93</v>
      </c>
    </row>
    <row r="34" spans="1:12">
      <c r="A34" s="69" t="s">
        <v>94</v>
      </c>
      <c r="B34" s="69" t="s">
        <v>95</v>
      </c>
      <c r="C34" s="69" t="s">
        <v>96</v>
      </c>
    </row>
    <row r="35" spans="1:12">
      <c r="A35" s="64">
        <v>44536</v>
      </c>
      <c r="B35" s="65">
        <v>7.2559999999999999E-2</v>
      </c>
      <c r="C35" s="66">
        <v>2.0979000000000001</v>
      </c>
      <c r="E35" s="61"/>
      <c r="F35" s="61"/>
      <c r="H35" s="62"/>
      <c r="I35" s="62"/>
      <c r="J35" s="62"/>
      <c r="K35" s="61"/>
      <c r="L35" s="63"/>
    </row>
    <row r="36" spans="1:12">
      <c r="A36" s="67">
        <v>44354</v>
      </c>
      <c r="B36" s="68"/>
      <c r="C36" s="66">
        <v>2.4499</v>
      </c>
      <c r="E36" s="61"/>
      <c r="F36" s="61"/>
      <c r="H36" s="62"/>
      <c r="I36" s="62"/>
      <c r="J36" s="62"/>
      <c r="K36" s="61"/>
      <c r="L36" s="63"/>
    </row>
    <row r="37" spans="1:12">
      <c r="A37" s="64">
        <v>44172</v>
      </c>
      <c r="B37" s="65">
        <v>5.534E-2</v>
      </c>
      <c r="C37" s="66">
        <v>2.0150000000000001</v>
      </c>
      <c r="E37" s="61"/>
      <c r="F37" s="61"/>
      <c r="H37" s="62"/>
      <c r="I37" s="62"/>
      <c r="J37" s="62"/>
      <c r="K37" s="61"/>
      <c r="L37" s="63"/>
    </row>
    <row r="38" spans="1:12">
      <c r="A38" s="67">
        <v>43990</v>
      </c>
      <c r="B38" s="68"/>
      <c r="C38" s="66">
        <v>2.2250999999999999</v>
      </c>
      <c r="E38" s="61"/>
      <c r="F38" s="61"/>
      <c r="H38" s="62"/>
      <c r="I38" s="62"/>
      <c r="J38" s="62"/>
      <c r="K38" s="61"/>
      <c r="L38" s="63"/>
    </row>
    <row r="39" spans="1:12">
      <c r="A39" s="64">
        <v>43808</v>
      </c>
      <c r="B39" s="65">
        <v>1.7850000000000001E-2</v>
      </c>
      <c r="C39" s="66">
        <v>1.8299000000000001</v>
      </c>
      <c r="E39" s="61"/>
      <c r="F39" s="61"/>
      <c r="H39" s="62"/>
      <c r="I39" s="62"/>
      <c r="J39" s="62"/>
      <c r="K39" s="61"/>
      <c r="L39" s="63"/>
    </row>
    <row r="40" spans="1:12">
      <c r="A40" s="67">
        <v>43620</v>
      </c>
      <c r="B40" s="68"/>
      <c r="C40" s="66">
        <v>2.1878000000000002</v>
      </c>
      <c r="E40" s="61"/>
      <c r="F40" s="61"/>
      <c r="H40" s="62"/>
      <c r="I40" s="62"/>
      <c r="J40" s="62"/>
      <c r="K40" s="61"/>
      <c r="L40" s="63"/>
    </row>
    <row r="41" spans="1:12">
      <c r="A41" s="64">
        <v>43441</v>
      </c>
      <c r="B41" s="65">
        <v>4.8710000000000003E-2</v>
      </c>
      <c r="C41" s="66">
        <v>1.7585</v>
      </c>
      <c r="E41" s="61"/>
      <c r="F41" s="61"/>
      <c r="H41" s="62"/>
      <c r="I41" s="62"/>
      <c r="J41" s="62"/>
      <c r="K41" s="61"/>
      <c r="L41" s="63"/>
    </row>
    <row r="42" spans="1:12">
      <c r="A42" s="67">
        <v>43255</v>
      </c>
      <c r="B42" s="68"/>
      <c r="C42" s="66">
        <v>2.1888000000000001</v>
      </c>
      <c r="E42" s="61"/>
      <c r="F42" s="61"/>
      <c r="H42" s="62"/>
      <c r="I42" s="62"/>
      <c r="J42" s="62"/>
      <c r="K42" s="61"/>
      <c r="L42" s="63"/>
    </row>
    <row r="43" spans="1:12">
      <c r="A43" s="64">
        <v>43076</v>
      </c>
      <c r="B43" s="65">
        <v>-5.9800000000000001E-3</v>
      </c>
      <c r="C43" s="66">
        <v>1.7975000000000001</v>
      </c>
      <c r="E43" s="61"/>
      <c r="F43" s="61"/>
      <c r="H43" s="62"/>
      <c r="I43" s="62"/>
      <c r="J43" s="62"/>
      <c r="K43" s="61"/>
      <c r="L43" s="63"/>
    </row>
    <row r="44" spans="1:12">
      <c r="A44" s="67">
        <v>42891</v>
      </c>
      <c r="B44" s="68"/>
      <c r="C44" s="66">
        <v>1.9664999999999999</v>
      </c>
      <c r="E44" s="61"/>
      <c r="F44" s="61"/>
      <c r="H44" s="62"/>
      <c r="I44" s="62"/>
      <c r="J44" s="62"/>
      <c r="K44" s="61"/>
      <c r="L44" s="63"/>
    </row>
    <row r="45" spans="1:12">
      <c r="A45" s="64">
        <v>42713</v>
      </c>
      <c r="B45" s="65">
        <v>4.0300000000000002E-2</v>
      </c>
      <c r="C45" s="66">
        <v>1.7715000000000001</v>
      </c>
      <c r="E45" s="61"/>
      <c r="F45" s="61"/>
      <c r="H45" s="62"/>
      <c r="I45" s="62"/>
      <c r="J45" s="62"/>
      <c r="K45" s="61"/>
      <c r="L45" s="63"/>
    </row>
    <row r="46" spans="1:12">
      <c r="A46" s="67">
        <v>42534</v>
      </c>
      <c r="B46" s="68"/>
      <c r="C46" s="66">
        <v>2.0150999999999999</v>
      </c>
      <c r="E46" s="61"/>
      <c r="F46" s="61"/>
      <c r="H46" s="62"/>
      <c r="I46" s="62"/>
      <c r="J46" s="62"/>
      <c r="K46" s="61"/>
      <c r="L46" s="63"/>
    </row>
    <row r="47" spans="1:12">
      <c r="A47" s="64">
        <v>42345</v>
      </c>
      <c r="B47" s="65">
        <v>0.13084000000000001</v>
      </c>
      <c r="C47" s="66">
        <v>1.6279999999999999</v>
      </c>
      <c r="E47" s="61"/>
      <c r="F47" s="61"/>
      <c r="H47" s="62"/>
      <c r="I47" s="62"/>
      <c r="J47" s="62"/>
      <c r="K47" s="61"/>
      <c r="L47" s="63"/>
    </row>
    <row r="48" spans="1:12">
      <c r="A48" s="67">
        <v>42184</v>
      </c>
      <c r="B48" s="68"/>
      <c r="C48" s="66">
        <v>2.0118999999999998</v>
      </c>
      <c r="E48" s="61"/>
      <c r="F48" s="61"/>
      <c r="H48" s="62"/>
      <c r="I48" s="62"/>
      <c r="J48" s="62"/>
      <c r="K48" s="61"/>
      <c r="L48" s="63"/>
    </row>
    <row r="49" spans="1:12">
      <c r="A49" s="64">
        <v>41981</v>
      </c>
      <c r="B49" s="65">
        <v>0.26940999999999998</v>
      </c>
      <c r="C49" s="66">
        <v>1.2632000000000001</v>
      </c>
      <c r="E49" s="61"/>
      <c r="F49" s="61"/>
      <c r="H49" s="62"/>
      <c r="I49" s="62"/>
      <c r="J49" s="62"/>
      <c r="K49" s="61"/>
      <c r="L49" s="63"/>
    </row>
    <row r="50" spans="1:12">
      <c r="A50" s="67">
        <v>41820</v>
      </c>
      <c r="B50" s="68"/>
      <c r="C50" s="66">
        <v>1.9556</v>
      </c>
      <c r="E50" s="61"/>
      <c r="F50" s="61"/>
      <c r="H50" s="62"/>
      <c r="I50" s="62"/>
      <c r="J50" s="62"/>
      <c r="K50" s="61"/>
      <c r="L50" s="63"/>
    </row>
    <row r="51" spans="1:12">
      <c r="A51" s="64">
        <v>41617</v>
      </c>
      <c r="B51" s="65">
        <v>0.70547000000000004</v>
      </c>
      <c r="C51" s="66">
        <v>1.2729999999999999</v>
      </c>
      <c r="E51" s="61"/>
      <c r="F51" s="61"/>
      <c r="H51" s="62"/>
      <c r="I51" s="62"/>
      <c r="J51" s="62"/>
      <c r="K51" s="61"/>
      <c r="L51" s="63"/>
    </row>
    <row r="52" spans="1:12">
      <c r="A52" s="67">
        <v>41452</v>
      </c>
      <c r="B52" s="68"/>
      <c r="C52" s="66">
        <v>1.2625999999999999</v>
      </c>
      <c r="E52" s="61"/>
      <c r="F52" s="61"/>
      <c r="H52" s="62"/>
      <c r="I52" s="62"/>
      <c r="J52" s="62"/>
      <c r="K52" s="61"/>
      <c r="L52" s="63"/>
    </row>
    <row r="53" spans="1:12">
      <c r="A53" s="64">
        <v>41250</v>
      </c>
      <c r="B53" s="65">
        <v>0.18093000000000001</v>
      </c>
      <c r="C53" s="66">
        <v>0.72960000000000003</v>
      </c>
      <c r="E53" s="61"/>
      <c r="F53" s="61"/>
      <c r="H53" s="62"/>
      <c r="I53" s="62"/>
      <c r="J53" s="62"/>
      <c r="K53" s="61"/>
      <c r="L53" s="63"/>
    </row>
    <row r="54" spans="1:12">
      <c r="A54" s="67">
        <v>41088</v>
      </c>
      <c r="B54" s="68"/>
      <c r="C54" s="66">
        <v>0.75719999999999998</v>
      </c>
      <c r="E54" s="61"/>
      <c r="F54" s="61"/>
      <c r="H54" s="62"/>
      <c r="I54" s="62"/>
      <c r="J54" s="62"/>
      <c r="K54" s="61"/>
      <c r="L54" s="63"/>
    </row>
    <row r="55" spans="1:12">
      <c r="A55" s="64">
        <v>40889</v>
      </c>
      <c r="B55" s="65">
        <v>0.22044</v>
      </c>
      <c r="C55" s="66">
        <v>0.51200000000000001</v>
      </c>
      <c r="E55" s="61"/>
      <c r="F55" s="61"/>
      <c r="H55" s="62"/>
      <c r="I55" s="62"/>
      <c r="J55" s="62"/>
      <c r="K55" s="61"/>
      <c r="L55" s="63"/>
    </row>
    <row r="56" spans="1:12">
      <c r="A56" s="67">
        <v>40724</v>
      </c>
      <c r="B56" s="68"/>
      <c r="C56" s="66">
        <v>0.747</v>
      </c>
      <c r="E56" s="61"/>
      <c r="F56" s="61"/>
      <c r="H56" s="62"/>
      <c r="I56" s="62"/>
      <c r="J56" s="62"/>
    </row>
    <row r="59" spans="1:12">
      <c r="A59" t="s">
        <v>97</v>
      </c>
      <c r="G59" s="71"/>
    </row>
    <row r="60" spans="1:12">
      <c r="G60" s="70"/>
    </row>
    <row r="61" spans="1:12">
      <c r="A61" s="74" t="s">
        <v>98</v>
      </c>
      <c r="B61" s="69" t="s">
        <v>99</v>
      </c>
      <c r="C61" s="69" t="s">
        <v>100</v>
      </c>
      <c r="D61" s="69" t="s">
        <v>101</v>
      </c>
      <c r="G61" s="70"/>
    </row>
    <row r="62" spans="1:12">
      <c r="A62" s="72" t="s">
        <v>102</v>
      </c>
      <c r="B62" s="73">
        <v>275356</v>
      </c>
      <c r="C62" s="73">
        <v>255817</v>
      </c>
      <c r="D62" s="15">
        <f>((C62-B62)/C62)*100</f>
        <v>-7.6378817670444104</v>
      </c>
      <c r="G62" s="70"/>
      <c r="I62" s="70"/>
    </row>
    <row r="63" spans="1:12">
      <c r="A63" s="72" t="s">
        <v>103</v>
      </c>
      <c r="B63" s="73">
        <v>272031</v>
      </c>
      <c r="C63" s="73">
        <v>275356</v>
      </c>
      <c r="D63" s="15">
        <f t="shared" ref="D63:D72" si="0">((C63-B63)/C63)*100</f>
        <v>1.2075277095832304</v>
      </c>
      <c r="G63" s="70"/>
      <c r="I63" s="70"/>
    </row>
    <row r="64" spans="1:12">
      <c r="A64" s="72" t="s">
        <v>104</v>
      </c>
      <c r="B64" s="73">
        <v>264416</v>
      </c>
      <c r="C64" s="73">
        <v>272031</v>
      </c>
      <c r="D64" s="15">
        <f t="shared" si="0"/>
        <v>2.7993133135561754</v>
      </c>
      <c r="G64" s="70"/>
      <c r="I64" s="70"/>
    </row>
    <row r="65" spans="1:9">
      <c r="A65" s="72" t="s">
        <v>105</v>
      </c>
      <c r="B65" s="73">
        <v>256654</v>
      </c>
      <c r="C65" s="73">
        <v>264416</v>
      </c>
      <c r="D65" s="15">
        <f t="shared" si="0"/>
        <v>2.9355258380733393</v>
      </c>
      <c r="G65" s="70"/>
      <c r="I65" s="70"/>
    </row>
    <row r="66" spans="1:9">
      <c r="A66" s="72" t="s">
        <v>106</v>
      </c>
      <c r="B66" s="73">
        <v>235746</v>
      </c>
      <c r="C66" s="73">
        <v>256654</v>
      </c>
      <c r="D66" s="15">
        <f t="shared" si="0"/>
        <v>8.1463760549221913</v>
      </c>
      <c r="G66" s="70"/>
      <c r="I66" s="70"/>
    </row>
    <row r="67" spans="1:9">
      <c r="A67" s="72" t="s">
        <v>107</v>
      </c>
      <c r="B67" s="73">
        <v>247834</v>
      </c>
      <c r="C67" s="73">
        <v>235746</v>
      </c>
      <c r="D67" s="15">
        <f t="shared" si="0"/>
        <v>-5.1275525353558491</v>
      </c>
      <c r="G67" s="70"/>
      <c r="I67" s="70"/>
    </row>
    <row r="68" spans="1:9">
      <c r="A68" s="72" t="s">
        <v>108</v>
      </c>
      <c r="B68" s="73">
        <v>256919</v>
      </c>
      <c r="C68" s="73">
        <v>247834</v>
      </c>
      <c r="D68" s="15">
        <f t="shared" si="0"/>
        <v>-3.6657601459041129</v>
      </c>
      <c r="G68" s="70"/>
      <c r="I68" s="70"/>
    </row>
    <row r="69" spans="1:9">
      <c r="A69" s="72" t="s">
        <v>109</v>
      </c>
      <c r="B69" s="73">
        <v>234601</v>
      </c>
      <c r="C69" s="73">
        <v>256919</v>
      </c>
      <c r="D69" s="15">
        <f t="shared" si="0"/>
        <v>8.6867845507728116</v>
      </c>
      <c r="G69" s="70"/>
      <c r="I69" s="70"/>
    </row>
    <row r="70" spans="1:9">
      <c r="A70" s="72" t="s">
        <v>110</v>
      </c>
      <c r="B70" s="73">
        <v>226106</v>
      </c>
      <c r="C70" s="73">
        <v>234601</v>
      </c>
      <c r="D70" s="15">
        <f t="shared" si="0"/>
        <v>3.621041683539286</v>
      </c>
      <c r="I70" s="70"/>
    </row>
    <row r="71" spans="1:9">
      <c r="A71" s="72" t="s">
        <v>111</v>
      </c>
      <c r="B71" s="73">
        <v>228427</v>
      </c>
      <c r="C71" s="73">
        <v>226106</v>
      </c>
      <c r="D71" s="15">
        <f t="shared" si="0"/>
        <v>-1.0265096901453301</v>
      </c>
      <c r="I71" s="70"/>
    </row>
    <row r="72" spans="1:9">
      <c r="A72" s="72" t="s">
        <v>112</v>
      </c>
      <c r="B72" s="73">
        <v>203687</v>
      </c>
      <c r="C72" s="73">
        <v>228427</v>
      </c>
      <c r="D72" s="15">
        <f t="shared" si="0"/>
        <v>10.830593581319196</v>
      </c>
      <c r="I72" s="70"/>
    </row>
    <row r="75" spans="1:9">
      <c r="A75" t="s">
        <v>113</v>
      </c>
    </row>
    <row r="76" spans="1:9">
      <c r="A76" s="114" t="s">
        <v>114</v>
      </c>
      <c r="B76" s="114"/>
    </row>
    <row r="78" spans="1:9">
      <c r="A78" s="114" t="s">
        <v>115</v>
      </c>
      <c r="B78" s="114"/>
      <c r="F78" s="110"/>
    </row>
    <row r="79" spans="1:9">
      <c r="A79" s="15"/>
      <c r="B79" s="15"/>
      <c r="F79" s="111"/>
    </row>
    <row r="80" spans="1:9">
      <c r="A80" s="69" t="s">
        <v>98</v>
      </c>
      <c r="B80" s="69" t="s">
        <v>116</v>
      </c>
      <c r="C80" s="69" t="s">
        <v>117</v>
      </c>
      <c r="D80" s="69" t="s">
        <v>118</v>
      </c>
      <c r="F80" s="111"/>
    </row>
    <row r="81" spans="1:6">
      <c r="A81" s="106">
        <v>2021</v>
      </c>
      <c r="B81" s="107">
        <v>6109.11</v>
      </c>
      <c r="C81" s="108">
        <v>14.86</v>
      </c>
      <c r="D81" s="109">
        <f>'toyota motors'!B81/'toyota motors'!C81</f>
        <v>411.11103633916554</v>
      </c>
      <c r="F81" s="111"/>
    </row>
    <row r="82" spans="1:6">
      <c r="A82" s="106">
        <v>2020</v>
      </c>
      <c r="B82" s="107">
        <v>13206.4</v>
      </c>
      <c r="C82" s="108">
        <v>13.42</v>
      </c>
      <c r="D82" s="109">
        <f>'toyota motors'!B82/'toyota motors'!C82</f>
        <v>984.08345752608045</v>
      </c>
      <c r="F82" s="111"/>
    </row>
    <row r="83" spans="1:6">
      <c r="A83" s="106">
        <v>2019</v>
      </c>
      <c r="B83" s="107">
        <v>13303.99</v>
      </c>
      <c r="C83" s="108">
        <v>11.61</v>
      </c>
      <c r="D83" s="109">
        <f>'toyota motors'!B83/'toyota motors'!C83</f>
        <v>1145.9078380706287</v>
      </c>
      <c r="F83" s="111"/>
    </row>
    <row r="84" spans="1:6">
      <c r="A84" s="106">
        <v>2018</v>
      </c>
      <c r="B84" s="107">
        <v>17049.55</v>
      </c>
      <c r="C84" s="108">
        <v>14.99</v>
      </c>
      <c r="D84" s="109">
        <f>'toyota motors'!B84/'toyota motors'!C84</f>
        <v>1137.3949299533022</v>
      </c>
      <c r="F84" s="111"/>
    </row>
    <row r="85" spans="1:6">
      <c r="A85" s="106">
        <v>2017</v>
      </c>
      <c r="B85" s="107">
        <v>10716.54</v>
      </c>
      <c r="C85" s="108">
        <v>11.15</v>
      </c>
      <c r="D85" s="109">
        <f>'toyota motors'!B85/'toyota motors'!C85</f>
        <v>961.12466367713012</v>
      </c>
      <c r="F85" s="111"/>
    </row>
    <row r="86" spans="1:6">
      <c r="A86" s="106">
        <v>2016</v>
      </c>
      <c r="B86" s="107">
        <v>12910.78</v>
      </c>
      <c r="C86" s="108">
        <v>12.31</v>
      </c>
      <c r="D86" s="109">
        <f>'toyota motors'!B86/'toyota motors'!C86</f>
        <v>1048.8042242079609</v>
      </c>
      <c r="F86" s="111"/>
    </row>
    <row r="87" spans="1:6">
      <c r="A87" s="106">
        <v>2015</v>
      </c>
      <c r="B87" s="107">
        <v>10675.71</v>
      </c>
      <c r="C87" s="108">
        <v>12.52</v>
      </c>
      <c r="D87" s="109">
        <f>'toyota motors'!B87/'toyota motors'!C87</f>
        <v>852.69249201277955</v>
      </c>
      <c r="F87" s="111"/>
    </row>
    <row r="88" spans="1:6">
      <c r="A88" s="106">
        <v>2014</v>
      </c>
      <c r="B88" s="107">
        <v>17508.740000000002</v>
      </c>
      <c r="C88" s="108">
        <v>11.5</v>
      </c>
      <c r="D88" s="109">
        <f>'toyota motors'!B88/'toyota motors'!C88</f>
        <v>1522.4991304347827</v>
      </c>
      <c r="F88" s="111"/>
    </row>
    <row r="89" spans="1:6">
      <c r="A89" s="106">
        <v>2013</v>
      </c>
      <c r="B89" s="107">
        <v>11163</v>
      </c>
      <c r="C89" s="108">
        <v>6.46</v>
      </c>
      <c r="D89" s="109">
        <f>'toyota motors'!B89/'toyota motors'!C89</f>
        <v>1728.0185758513933</v>
      </c>
    </row>
    <row r="90" spans="1:6">
      <c r="A90" s="106">
        <v>2012</v>
      </c>
      <c r="B90" s="107">
        <v>4725</v>
      </c>
      <c r="C90" s="108">
        <v>2.2000000000000002</v>
      </c>
      <c r="D90" s="109">
        <f>'toyota motors'!B90/'toyota motors'!C90</f>
        <v>2147.7272727272725</v>
      </c>
    </row>
    <row r="91" spans="1:6">
      <c r="A91" s="106">
        <v>2011</v>
      </c>
      <c r="B91" s="107">
        <v>10474</v>
      </c>
      <c r="C91" s="108">
        <v>3.14</v>
      </c>
      <c r="D91" s="109">
        <f>'toyota motors'!B91/'toyota motors'!C91</f>
        <v>3335.6687898089172</v>
      </c>
    </row>
  </sheetData>
  <mergeCells count="2">
    <mergeCell ref="A76:B76"/>
    <mergeCell ref="A78:B78"/>
  </mergeCells>
  <pageMargins left="0.7" right="0.7" top="0.75" bottom="0.75" header="0.3" footer="0.3"/>
  <legacy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50FDDC-0E0E-4754-B98B-D1993C363267}">
  <dimension ref="A1:F13"/>
  <sheetViews>
    <sheetView workbookViewId="0">
      <selection sqref="A1:F1"/>
    </sheetView>
  </sheetViews>
  <sheetFormatPr defaultRowHeight="15"/>
  <cols>
    <col min="1" max="1" width="11.42578125" bestFit="1" customWidth="1"/>
    <col min="2" max="2" width="13.7109375" bestFit="1" customWidth="1"/>
    <col min="3" max="3" width="16" bestFit="1" customWidth="1"/>
    <col min="4" max="4" width="16.42578125" bestFit="1" customWidth="1"/>
    <col min="5" max="5" width="21.7109375" bestFit="1" customWidth="1"/>
    <col min="6" max="6" width="32" bestFit="1" customWidth="1"/>
  </cols>
  <sheetData>
    <row r="1" spans="1:6" ht="18.75">
      <c r="A1" s="118" t="s">
        <v>8</v>
      </c>
      <c r="B1" s="118"/>
      <c r="C1" s="118"/>
      <c r="D1" s="118"/>
      <c r="E1" s="118"/>
      <c r="F1" s="118"/>
    </row>
    <row r="3" spans="1:6">
      <c r="A3" s="6" t="s">
        <v>26</v>
      </c>
      <c r="B3" s="6" t="s">
        <v>119</v>
      </c>
      <c r="C3" s="6" t="s">
        <v>28</v>
      </c>
      <c r="D3" s="6" t="s">
        <v>120</v>
      </c>
      <c r="E3" s="103" t="s">
        <v>121</v>
      </c>
      <c r="F3" s="6" t="s">
        <v>122</v>
      </c>
    </row>
    <row r="4" spans="1:6">
      <c r="A4" s="7" t="s">
        <v>123</v>
      </c>
      <c r="B4" s="19">
        <v>1.2930755802676668</v>
      </c>
      <c r="C4" s="18">
        <v>1.0256410256410258</v>
      </c>
      <c r="D4" s="18">
        <v>15.259713928383922</v>
      </c>
      <c r="E4" s="116" t="s">
        <v>124</v>
      </c>
      <c r="F4" s="17">
        <v>1678.1900000000005</v>
      </c>
    </row>
    <row r="5" spans="1:6">
      <c r="A5" s="7" t="s">
        <v>125</v>
      </c>
      <c r="B5" s="19">
        <v>0.53704250691442224</v>
      </c>
      <c r="C5" s="18">
        <v>2.150537634408602</v>
      </c>
      <c r="D5" s="18">
        <v>-17.835920111692534</v>
      </c>
      <c r="E5" s="116"/>
      <c r="F5" s="17">
        <v>1595.3100000000013</v>
      </c>
    </row>
    <row r="6" spans="1:6">
      <c r="A6" s="7" t="s">
        <v>126</v>
      </c>
      <c r="B6" s="19">
        <v>0.40791352233326539</v>
      </c>
      <c r="C6" s="18">
        <v>1.941747572815534</v>
      </c>
      <c r="D6" s="18">
        <v>-23.586551653887135</v>
      </c>
      <c r="E6" s="116"/>
      <c r="F6" s="17">
        <v>3698.0300000000007</v>
      </c>
    </row>
    <row r="7" spans="1:6">
      <c r="A7" s="7" t="s">
        <v>127</v>
      </c>
      <c r="B7" s="19">
        <v>0</v>
      </c>
      <c r="C7" s="18">
        <v>0</v>
      </c>
      <c r="D7" s="18">
        <v>5.849918173166162</v>
      </c>
      <c r="E7" s="116"/>
      <c r="F7" s="17">
        <v>5945.5499999999993</v>
      </c>
    </row>
    <row r="8" spans="1:6">
      <c r="A8" s="7" t="s">
        <v>128</v>
      </c>
      <c r="B8" s="19">
        <v>4.2372881355932208E-2</v>
      </c>
      <c r="C8" s="18">
        <v>-1.1111111111111112</v>
      </c>
      <c r="D8" s="18">
        <v>17.984954235800558</v>
      </c>
      <c r="E8" s="116"/>
      <c r="F8" s="17">
        <v>3905.9599999999991</v>
      </c>
    </row>
    <row r="9" spans="1:6">
      <c r="A9" s="7" t="s">
        <v>129</v>
      </c>
      <c r="B9" s="19">
        <v>0</v>
      </c>
      <c r="C9" s="18">
        <v>0</v>
      </c>
      <c r="D9" s="18">
        <v>2.3502676442465242</v>
      </c>
      <c r="E9" s="116"/>
      <c r="F9" s="17">
        <v>-386.22999999999956</v>
      </c>
    </row>
    <row r="10" spans="1:6">
      <c r="A10" s="7" t="s">
        <v>130</v>
      </c>
      <c r="B10" s="19">
        <v>0</v>
      </c>
      <c r="C10" s="18">
        <v>0</v>
      </c>
      <c r="D10" s="18">
        <v>32.533983131759534</v>
      </c>
      <c r="E10" s="116"/>
      <c r="F10" s="17">
        <v>-335.70999999999731</v>
      </c>
    </row>
    <row r="11" spans="1:6">
      <c r="A11" s="7" t="s">
        <v>131</v>
      </c>
      <c r="B11" s="19">
        <v>0</v>
      </c>
      <c r="C11" s="18">
        <v>0</v>
      </c>
      <c r="D11" s="18">
        <v>19.713828350978961</v>
      </c>
      <c r="E11" s="116"/>
      <c r="F11" s="17">
        <v>3870.869999999999</v>
      </c>
    </row>
    <row r="12" spans="1:6">
      <c r="A12" s="7" t="s">
        <v>132</v>
      </c>
      <c r="B12" s="19">
        <v>0</v>
      </c>
      <c r="C12" s="18">
        <v>0</v>
      </c>
      <c r="D12" s="18">
        <v>-36.761672528185905</v>
      </c>
      <c r="E12" s="116"/>
      <c r="F12" s="17">
        <v>-5087.2700000000004</v>
      </c>
    </row>
    <row r="13" spans="1:6">
      <c r="A13" s="7" t="s">
        <v>133</v>
      </c>
      <c r="B13" s="19">
        <v>0</v>
      </c>
      <c r="C13" s="18">
        <v>0</v>
      </c>
      <c r="D13" s="18">
        <v>7.0681298889567463</v>
      </c>
      <c r="E13" s="117"/>
      <c r="F13" s="17">
        <v>2078.4799999999996</v>
      </c>
    </row>
  </sheetData>
  <mergeCells count="2">
    <mergeCell ref="E4:E13"/>
    <mergeCell ref="A1:F1"/>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DD3E61-D380-434E-BC5B-45A9A2F3E2EC}">
  <dimension ref="A1:I57"/>
  <sheetViews>
    <sheetView workbookViewId="0">
      <selection activeCell="D34" sqref="D34"/>
    </sheetView>
  </sheetViews>
  <sheetFormatPr defaultRowHeight="15"/>
  <cols>
    <col min="1" max="1" width="15.7109375" bestFit="1" customWidth="1"/>
    <col min="2" max="2" width="28.42578125" bestFit="1" customWidth="1"/>
    <col min="3" max="3" width="38.7109375" bestFit="1" customWidth="1"/>
    <col min="4" max="4" width="41" bestFit="1" customWidth="1"/>
    <col min="5" max="5" width="39.5703125" bestFit="1" customWidth="1"/>
    <col min="6" max="6" width="35.7109375" customWidth="1"/>
    <col min="7" max="7" width="28.28515625" bestFit="1" customWidth="1"/>
    <col min="8" max="8" width="26.85546875" customWidth="1"/>
    <col min="9" max="9" width="32" bestFit="1" customWidth="1"/>
  </cols>
  <sheetData>
    <row r="1" spans="1:8" ht="23.25">
      <c r="A1" s="119" t="s">
        <v>8</v>
      </c>
      <c r="B1" s="119"/>
      <c r="C1" s="119"/>
      <c r="D1" s="119"/>
    </row>
    <row r="2" spans="1:8" ht="20.25">
      <c r="A2" s="9"/>
      <c r="B2" s="9"/>
      <c r="C2" s="9"/>
      <c r="D2" s="9"/>
    </row>
    <row r="3" spans="1:8" ht="18.75">
      <c r="A3" s="120" t="s">
        <v>134</v>
      </c>
      <c r="B3" s="120"/>
      <c r="C3" s="120"/>
      <c r="D3" s="120"/>
    </row>
    <row r="4" spans="1:8">
      <c r="A4" s="1"/>
    </row>
    <row r="5" spans="1:8">
      <c r="A5" s="6" t="s">
        <v>26</v>
      </c>
      <c r="B5" s="6" t="s">
        <v>135</v>
      </c>
      <c r="C5" s="6" t="s">
        <v>136</v>
      </c>
      <c r="D5" s="6" t="s">
        <v>119</v>
      </c>
    </row>
    <row r="6" spans="1:8">
      <c r="A6" s="7" t="s">
        <v>123</v>
      </c>
      <c r="B6" s="7">
        <v>4</v>
      </c>
      <c r="C6" s="7">
        <v>309.33999999999997</v>
      </c>
      <c r="D6" s="19">
        <f>(B6/C6)*100</f>
        <v>1.2930755802676668</v>
      </c>
      <c r="E6" s="3"/>
      <c r="F6" s="15"/>
    </row>
    <row r="7" spans="1:8">
      <c r="A7" s="7" t="s">
        <v>125</v>
      </c>
      <c r="B7" s="7">
        <v>2</v>
      </c>
      <c r="C7" s="7">
        <v>372.41</v>
      </c>
      <c r="D7" s="19">
        <f t="shared" ref="D7:D15" si="0">(B7/C7)*100</f>
        <v>0.53704250691442224</v>
      </c>
      <c r="E7" s="3"/>
    </row>
    <row r="8" spans="1:8">
      <c r="A8" s="7" t="s">
        <v>126</v>
      </c>
      <c r="B8" s="7">
        <v>2</v>
      </c>
      <c r="C8" s="7">
        <v>490.3</v>
      </c>
      <c r="D8" s="19">
        <f t="shared" si="0"/>
        <v>0.40791352233326539</v>
      </c>
      <c r="E8" s="3"/>
    </row>
    <row r="9" spans="1:8">
      <c r="A9" s="7" t="s">
        <v>127</v>
      </c>
      <c r="B9" s="7">
        <v>0</v>
      </c>
      <c r="C9" s="7">
        <v>391.3</v>
      </c>
      <c r="D9" s="19">
        <f t="shared" si="0"/>
        <v>0</v>
      </c>
      <c r="E9" s="5"/>
    </row>
    <row r="10" spans="1:8">
      <c r="A10" s="7" t="s">
        <v>128</v>
      </c>
      <c r="B10" s="7">
        <v>0.2</v>
      </c>
      <c r="C10" s="7">
        <v>472</v>
      </c>
      <c r="D10" s="19">
        <f t="shared" si="0"/>
        <v>4.2372881355932208E-2</v>
      </c>
      <c r="E10" s="3"/>
    </row>
    <row r="11" spans="1:8">
      <c r="A11" s="7" t="s">
        <v>129</v>
      </c>
      <c r="B11" s="7">
        <v>0</v>
      </c>
      <c r="C11" s="7">
        <v>431.85</v>
      </c>
      <c r="D11" s="19">
        <f t="shared" si="0"/>
        <v>0</v>
      </c>
      <c r="E11" s="3"/>
    </row>
    <row r="12" spans="1:8" ht="15.75">
      <c r="A12" s="7" t="s">
        <v>130</v>
      </c>
      <c r="B12" s="7">
        <v>0</v>
      </c>
      <c r="C12" s="7">
        <v>172.7</v>
      </c>
      <c r="D12" s="19">
        <f t="shared" si="0"/>
        <v>0</v>
      </c>
      <c r="E12" s="3"/>
      <c r="H12" s="4"/>
    </row>
    <row r="13" spans="1:8">
      <c r="A13" s="7" t="s">
        <v>131</v>
      </c>
      <c r="B13" s="7">
        <v>0</v>
      </c>
      <c r="C13" s="7">
        <v>185.15</v>
      </c>
      <c r="D13" s="19">
        <f t="shared" si="0"/>
        <v>0</v>
      </c>
      <c r="E13" s="3"/>
    </row>
    <row r="14" spans="1:8">
      <c r="A14" s="7" t="s">
        <v>132</v>
      </c>
      <c r="B14" s="7">
        <v>0</v>
      </c>
      <c r="C14" s="7">
        <v>183.85</v>
      </c>
      <c r="D14" s="19">
        <f t="shared" si="0"/>
        <v>0</v>
      </c>
      <c r="E14" s="3"/>
    </row>
    <row r="15" spans="1:8">
      <c r="A15" s="7" t="s">
        <v>133</v>
      </c>
      <c r="B15" s="7">
        <v>0</v>
      </c>
      <c r="C15" s="7">
        <v>470.4</v>
      </c>
      <c r="D15" s="19">
        <f t="shared" si="0"/>
        <v>0</v>
      </c>
      <c r="E15" s="3"/>
    </row>
    <row r="16" spans="1:8">
      <c r="A16" s="10"/>
      <c r="B16" s="10"/>
      <c r="C16" s="10"/>
      <c r="D16" s="11"/>
      <c r="E16" s="3"/>
    </row>
    <row r="17" spans="1:6" ht="18.75">
      <c r="A17" s="121" t="s">
        <v>137</v>
      </c>
      <c r="B17" s="121"/>
      <c r="C17" s="121"/>
      <c r="D17" s="121"/>
      <c r="E17" s="3"/>
    </row>
    <row r="19" spans="1:6">
      <c r="A19" s="6" t="s">
        <v>26</v>
      </c>
      <c r="B19" s="6" t="s">
        <v>135</v>
      </c>
      <c r="C19" s="6" t="s">
        <v>138</v>
      </c>
      <c r="D19" s="6" t="s">
        <v>28</v>
      </c>
    </row>
    <row r="20" spans="1:6">
      <c r="A20" s="8" t="s">
        <v>123</v>
      </c>
      <c r="B20" s="8">
        <v>4</v>
      </c>
      <c r="C20" s="8">
        <v>3.9</v>
      </c>
      <c r="D20" s="18">
        <f>B20/C20</f>
        <v>1.0256410256410258</v>
      </c>
      <c r="F20" s="14"/>
    </row>
    <row r="21" spans="1:6">
      <c r="A21" s="8" t="s">
        <v>125</v>
      </c>
      <c r="B21" s="8">
        <v>2</v>
      </c>
      <c r="C21" s="8">
        <v>0.93</v>
      </c>
      <c r="D21" s="18">
        <f t="shared" ref="D21:D29" si="1">B21/C21</f>
        <v>2.150537634408602</v>
      </c>
    </row>
    <row r="22" spans="1:6">
      <c r="A22" s="8" t="s">
        <v>126</v>
      </c>
      <c r="B22" s="8">
        <v>2</v>
      </c>
      <c r="C22" s="8">
        <v>1.03</v>
      </c>
      <c r="D22" s="18">
        <f t="shared" si="1"/>
        <v>1.941747572815534</v>
      </c>
    </row>
    <row r="23" spans="1:6">
      <c r="A23" s="8" t="s">
        <v>127</v>
      </c>
      <c r="B23" s="8">
        <v>0</v>
      </c>
      <c r="C23" s="8">
        <v>-14.72</v>
      </c>
      <c r="D23" s="18">
        <f t="shared" si="1"/>
        <v>0</v>
      </c>
    </row>
    <row r="24" spans="1:6">
      <c r="A24" s="8" t="s">
        <v>128</v>
      </c>
      <c r="B24" s="8">
        <v>0.2</v>
      </c>
      <c r="C24" s="8">
        <v>-0.18</v>
      </c>
      <c r="D24" s="18">
        <f t="shared" si="1"/>
        <v>-1.1111111111111112</v>
      </c>
    </row>
    <row r="25" spans="1:6">
      <c r="A25" s="8" t="s">
        <v>129</v>
      </c>
      <c r="B25" s="8">
        <v>0</v>
      </c>
      <c r="C25" s="8">
        <v>-7.15</v>
      </c>
      <c r="D25" s="18">
        <f t="shared" si="1"/>
        <v>0</v>
      </c>
    </row>
    <row r="26" spans="1:6">
      <c r="A26" s="8" t="s">
        <v>130</v>
      </c>
      <c r="B26" s="8">
        <v>0</v>
      </c>
      <c r="C26" s="8">
        <v>-3.05</v>
      </c>
      <c r="D26" s="18">
        <f t="shared" si="1"/>
        <v>0</v>
      </c>
    </row>
    <row r="27" spans="1:6">
      <c r="A27" s="8" t="s">
        <v>131</v>
      </c>
      <c r="B27" s="8">
        <v>0</v>
      </c>
      <c r="C27" s="8">
        <v>5.94</v>
      </c>
      <c r="D27" s="18">
        <f t="shared" si="1"/>
        <v>0</v>
      </c>
    </row>
    <row r="28" spans="1:6">
      <c r="A28" s="8" t="s">
        <v>132</v>
      </c>
      <c r="B28" s="8">
        <v>0</v>
      </c>
      <c r="C28" s="8">
        <v>-21.06</v>
      </c>
      <c r="D28" s="18">
        <f t="shared" si="1"/>
        <v>0</v>
      </c>
    </row>
    <row r="29" spans="1:6">
      <c r="A29" s="8" t="s">
        <v>133</v>
      </c>
      <c r="B29" s="8">
        <v>0</v>
      </c>
      <c r="C29" s="8">
        <v>-6.59</v>
      </c>
      <c r="D29" s="18">
        <f t="shared" si="1"/>
        <v>0</v>
      </c>
    </row>
    <row r="30" spans="1:6">
      <c r="A30" s="12"/>
      <c r="B30" s="12"/>
      <c r="C30" s="12"/>
      <c r="D30" s="13"/>
    </row>
    <row r="31" spans="1:6" ht="18.75">
      <c r="A31" s="122" t="s">
        <v>97</v>
      </c>
      <c r="B31" s="122"/>
      <c r="C31" s="122"/>
      <c r="D31" s="122"/>
    </row>
    <row r="33" spans="1:9">
      <c r="A33" s="6" t="s">
        <v>26</v>
      </c>
      <c r="B33" s="6" t="s">
        <v>139</v>
      </c>
      <c r="C33" s="6" t="s">
        <v>140</v>
      </c>
      <c r="D33" s="6" t="s">
        <v>120</v>
      </c>
    </row>
    <row r="34" spans="1:9">
      <c r="A34" s="8" t="s">
        <v>123</v>
      </c>
      <c r="B34" s="8">
        <v>46855.4</v>
      </c>
      <c r="C34" s="8">
        <v>54005.4</v>
      </c>
      <c r="D34" s="18">
        <f>((C34-B34)/B34)*100</f>
        <v>15.259713928383922</v>
      </c>
    </row>
    <row r="35" spans="1:9">
      <c r="A35" s="8" t="s">
        <v>125</v>
      </c>
      <c r="B35" s="8">
        <v>54005.4</v>
      </c>
      <c r="C35" s="8">
        <v>44373.04</v>
      </c>
      <c r="D35" s="18">
        <f t="shared" ref="D35:D43" si="2">((C35-B35)/B35)*100</f>
        <v>-17.835920111692534</v>
      </c>
    </row>
    <row r="36" spans="1:9">
      <c r="A36" s="8" t="s">
        <v>126</v>
      </c>
      <c r="B36" s="8">
        <v>44373.04</v>
      </c>
      <c r="C36" s="8">
        <v>33906.97</v>
      </c>
      <c r="D36" s="18">
        <f t="shared" si="2"/>
        <v>-23.586551653887135</v>
      </c>
    </row>
    <row r="37" spans="1:9">
      <c r="A37" s="8" t="s">
        <v>127</v>
      </c>
      <c r="B37" s="8">
        <v>33906.97</v>
      </c>
      <c r="C37" s="8">
        <v>35890.5</v>
      </c>
      <c r="D37" s="18">
        <f t="shared" si="2"/>
        <v>5.849918173166162</v>
      </c>
    </row>
    <row r="38" spans="1:9">
      <c r="A38" s="8" t="s">
        <v>128</v>
      </c>
      <c r="B38" s="8">
        <v>35890.5</v>
      </c>
      <c r="C38" s="8">
        <v>42345.39</v>
      </c>
      <c r="D38" s="18">
        <f t="shared" si="2"/>
        <v>17.984954235800558</v>
      </c>
    </row>
    <row r="39" spans="1:9">
      <c r="A39" s="8" t="s">
        <v>129</v>
      </c>
      <c r="B39" s="8">
        <v>42345.39</v>
      </c>
      <c r="C39" s="8">
        <v>43340.62</v>
      </c>
      <c r="D39" s="18">
        <f t="shared" si="2"/>
        <v>2.3502676442465242</v>
      </c>
    </row>
    <row r="40" spans="1:9">
      <c r="A40" s="8" t="s">
        <v>130</v>
      </c>
      <c r="B40" s="8">
        <v>43340.62</v>
      </c>
      <c r="C40" s="8">
        <v>57441.05</v>
      </c>
      <c r="D40" s="18">
        <f t="shared" si="2"/>
        <v>32.533983131759534</v>
      </c>
    </row>
    <row r="41" spans="1:9">
      <c r="A41" s="8" t="s">
        <v>131</v>
      </c>
      <c r="B41" s="8">
        <v>57441.05</v>
      </c>
      <c r="C41" s="8">
        <v>68764.88</v>
      </c>
      <c r="D41" s="18">
        <f t="shared" si="2"/>
        <v>19.713828350978961</v>
      </c>
    </row>
    <row r="42" spans="1:9">
      <c r="A42" s="8" t="s">
        <v>132</v>
      </c>
      <c r="B42" s="8">
        <v>68764.88</v>
      </c>
      <c r="C42" s="8">
        <v>43485.760000000002</v>
      </c>
      <c r="D42" s="18">
        <f t="shared" si="2"/>
        <v>-36.761672528185905</v>
      </c>
    </row>
    <row r="43" spans="1:9">
      <c r="A43" s="8" t="s">
        <v>133</v>
      </c>
      <c r="B43" s="8">
        <v>43485.760000000002</v>
      </c>
      <c r="C43" s="8">
        <v>46559.39</v>
      </c>
      <c r="D43" s="18">
        <f t="shared" si="2"/>
        <v>7.0681298889567463</v>
      </c>
    </row>
    <row r="44" spans="1:9" ht="12.75" customHeight="1">
      <c r="A44" s="92"/>
      <c r="B44" s="92"/>
      <c r="C44" s="92"/>
      <c r="D44" s="92"/>
    </row>
    <row r="45" spans="1:9" ht="18.75">
      <c r="A45" s="118" t="s">
        <v>141</v>
      </c>
      <c r="B45" s="118"/>
      <c r="C45" s="118"/>
      <c r="D45" s="118"/>
    </row>
    <row r="46" spans="1:9">
      <c r="A46" s="16"/>
      <c r="B46" s="16"/>
      <c r="C46" s="16"/>
      <c r="D46" s="16"/>
    </row>
    <row r="47" spans="1:9">
      <c r="A47" s="6" t="s">
        <v>26</v>
      </c>
      <c r="B47" s="6" t="s">
        <v>142</v>
      </c>
      <c r="C47" s="6" t="s">
        <v>143</v>
      </c>
      <c r="D47" s="6" t="s">
        <v>144</v>
      </c>
      <c r="E47" s="6" t="s">
        <v>145</v>
      </c>
      <c r="F47" s="6" t="s">
        <v>146</v>
      </c>
      <c r="G47" s="6" t="s">
        <v>147</v>
      </c>
      <c r="H47" s="6" t="s">
        <v>148</v>
      </c>
      <c r="I47" s="6" t="s">
        <v>122</v>
      </c>
    </row>
    <row r="48" spans="1:9">
      <c r="A48" s="8" t="s">
        <v>123</v>
      </c>
      <c r="B48" s="17">
        <v>1242.23</v>
      </c>
      <c r="C48" s="17">
        <v>1606.74</v>
      </c>
      <c r="D48" s="17">
        <v>-8028.61</v>
      </c>
      <c r="E48" s="17">
        <v>-8464.5499999999993</v>
      </c>
      <c r="F48" s="17">
        <f>E48-D48</f>
        <v>-435.9399999999996</v>
      </c>
      <c r="G48" s="17">
        <v>11746.47</v>
      </c>
      <c r="H48" s="17">
        <v>11011.63</v>
      </c>
      <c r="I48" s="17">
        <f>'Tata Motors (calculations)'!B48-'Tata Motors (calculations)'!G48+'Tata Motors (calculations)'!C48+'Tata Motors (calculations)'!F48+'Tata Motors (calculations)'!H48</f>
        <v>1678.1900000000005</v>
      </c>
    </row>
    <row r="49" spans="1:9">
      <c r="A49" s="8" t="s">
        <v>125</v>
      </c>
      <c r="B49" s="17">
        <v>301.81</v>
      </c>
      <c r="C49" s="17">
        <v>1817.62</v>
      </c>
      <c r="D49" s="17">
        <v>-8464.5499999999993</v>
      </c>
      <c r="E49" s="17">
        <v>-10969.65</v>
      </c>
      <c r="F49" s="17">
        <f t="shared" ref="F49:F57" si="3">E49-D49</f>
        <v>-2505.1000000000004</v>
      </c>
      <c r="G49" s="17">
        <v>12287.71</v>
      </c>
      <c r="H49" s="17">
        <v>14268.69</v>
      </c>
      <c r="I49" s="17">
        <f>'Tata Motors (calculations)'!B49-'Tata Motors (calculations)'!G49+'Tata Motors (calculations)'!C49+'Tata Motors (calculations)'!F49+'Tata Motors (calculations)'!H49</f>
        <v>1595.3100000000013</v>
      </c>
    </row>
    <row r="50" spans="1:9">
      <c r="A50" s="8" t="s">
        <v>126</v>
      </c>
      <c r="B50" s="17">
        <v>334.52</v>
      </c>
      <c r="C50" s="17">
        <v>2070.3000000000002</v>
      </c>
      <c r="D50" s="17">
        <v>-10969.65</v>
      </c>
      <c r="E50" s="17">
        <v>-12058.47</v>
      </c>
      <c r="F50" s="17">
        <f t="shared" si="3"/>
        <v>-1088.8199999999997</v>
      </c>
      <c r="G50" s="17">
        <v>12133.5</v>
      </c>
      <c r="H50" s="17">
        <v>14515.53</v>
      </c>
      <c r="I50" s="17">
        <f>'Tata Motors (calculations)'!B50-'Tata Motors (calculations)'!G50+'Tata Motors (calculations)'!C50+'Tata Motors (calculations)'!F50+'Tata Motors (calculations)'!H50</f>
        <v>3698.0300000000007</v>
      </c>
    </row>
    <row r="51" spans="1:9">
      <c r="A51" s="8" t="s">
        <v>127</v>
      </c>
      <c r="B51" s="17">
        <v>-4738.95</v>
      </c>
      <c r="C51" s="17">
        <v>2603.2199999999998</v>
      </c>
      <c r="D51" s="17">
        <v>-12058.47</v>
      </c>
      <c r="E51" s="17">
        <v>-11797.66</v>
      </c>
      <c r="F51" s="17">
        <f t="shared" si="3"/>
        <v>260.80999999999949</v>
      </c>
      <c r="G51" s="17">
        <v>12260.5</v>
      </c>
      <c r="H51" s="17">
        <v>20080.97</v>
      </c>
      <c r="I51" s="17">
        <f>'Tata Motors (calculations)'!B51-'Tata Motors (calculations)'!G51+'Tata Motors (calculations)'!C51+'Tata Motors (calculations)'!F51+'Tata Motors (calculations)'!H51</f>
        <v>5945.5499999999993</v>
      </c>
    </row>
    <row r="52" spans="1:9">
      <c r="A52" s="8" t="s">
        <v>128</v>
      </c>
      <c r="B52" s="17">
        <v>-62.3</v>
      </c>
      <c r="C52" s="17">
        <v>2329.2199999999998</v>
      </c>
      <c r="D52" s="17">
        <v>-11797.66</v>
      </c>
      <c r="E52" s="17">
        <v>-6840.05</v>
      </c>
      <c r="F52" s="17">
        <f t="shared" si="3"/>
        <v>4957.6099999999997</v>
      </c>
      <c r="G52" s="17">
        <v>17573.25</v>
      </c>
      <c r="H52" s="17">
        <v>14254.68</v>
      </c>
      <c r="I52" s="17">
        <f>'Tata Motors (calculations)'!B52-'Tata Motors (calculations)'!G52+'Tata Motors (calculations)'!C52+'Tata Motors (calculations)'!F52+'Tata Motors (calculations)'!H52</f>
        <v>3905.9599999999991</v>
      </c>
    </row>
    <row r="53" spans="1:9">
      <c r="A53" s="8" t="s">
        <v>129</v>
      </c>
      <c r="B53" s="17">
        <v>-2429.6</v>
      </c>
      <c r="C53" s="17">
        <v>3037.12</v>
      </c>
      <c r="D53" s="17">
        <v>-6840.05</v>
      </c>
      <c r="E53" s="17">
        <v>-8781.2800000000007</v>
      </c>
      <c r="F53" s="17">
        <f t="shared" si="3"/>
        <v>-1941.2300000000005</v>
      </c>
      <c r="G53" s="17">
        <v>17897.13</v>
      </c>
      <c r="H53" s="17">
        <v>18844.61</v>
      </c>
      <c r="I53" s="17">
        <f>'Tata Motors (calculations)'!B53-'Tata Motors (calculations)'!G53+'Tata Motors (calculations)'!C53+'Tata Motors (calculations)'!F53+'Tata Motors (calculations)'!H53</f>
        <v>-386.22999999999956</v>
      </c>
    </row>
    <row r="54" spans="1:9">
      <c r="A54" s="8" t="s">
        <v>130</v>
      </c>
      <c r="B54" s="17">
        <v>-1034.8499999999999</v>
      </c>
      <c r="C54" s="17">
        <v>3101.89</v>
      </c>
      <c r="D54" s="17">
        <v>-8781.2800000000007</v>
      </c>
      <c r="E54" s="17">
        <v>-9247.2900000000009</v>
      </c>
      <c r="F54" s="17">
        <f t="shared" si="3"/>
        <v>-466.01000000000022</v>
      </c>
      <c r="G54" s="17">
        <v>18192.52</v>
      </c>
      <c r="H54" s="17">
        <v>16255.78</v>
      </c>
      <c r="I54" s="17">
        <f>'Tata Motors (calculations)'!B54-'Tata Motors (calculations)'!G54+'Tata Motors (calculations)'!C54+'Tata Motors (calculations)'!F54+'Tata Motors (calculations)'!H54</f>
        <v>-335.70999999999731</v>
      </c>
    </row>
    <row r="55" spans="1:9">
      <c r="A55" s="8" t="s">
        <v>131</v>
      </c>
      <c r="B55" s="17">
        <v>2020.6</v>
      </c>
      <c r="C55" s="17">
        <v>3098.64</v>
      </c>
      <c r="D55" s="17">
        <v>-9247.2900000000009</v>
      </c>
      <c r="E55" s="17">
        <v>-9711.51</v>
      </c>
      <c r="F55" s="17">
        <f t="shared" si="3"/>
        <v>-464.21999999999935</v>
      </c>
      <c r="G55" s="17">
        <v>18316.61</v>
      </c>
      <c r="H55" s="17">
        <v>17532.46</v>
      </c>
      <c r="I55" s="17">
        <f>'Tata Motors (calculations)'!B55-'Tata Motors (calculations)'!G55+'Tata Motors (calculations)'!C55+'Tata Motors (calculations)'!F55+'Tata Motors (calculations)'!H55</f>
        <v>3870.869999999999</v>
      </c>
    </row>
    <row r="56" spans="1:9">
      <c r="A56" s="8" t="s">
        <v>132</v>
      </c>
      <c r="B56" s="17">
        <v>-7289.63</v>
      </c>
      <c r="C56" s="17">
        <v>3375.29</v>
      </c>
      <c r="D56" s="17">
        <v>-9711.51</v>
      </c>
      <c r="E56" s="17">
        <v>-12242.06</v>
      </c>
      <c r="F56" s="17">
        <f t="shared" si="3"/>
        <v>-2530.5499999999993</v>
      </c>
      <c r="G56" s="17">
        <v>19540.25</v>
      </c>
      <c r="H56" s="17">
        <v>20897.87</v>
      </c>
      <c r="I56" s="17">
        <f>'Tata Motors (calculations)'!B56-'Tata Motors (calculations)'!G56+'Tata Motors (calculations)'!C56+'Tata Motors (calculations)'!F56+'Tata Motors (calculations)'!H56</f>
        <v>-5087.2700000000004</v>
      </c>
    </row>
    <row r="57" spans="1:9">
      <c r="A57" s="8" t="s">
        <v>133</v>
      </c>
      <c r="B57" s="17">
        <v>-2395.44</v>
      </c>
      <c r="C57" s="17">
        <v>3681.61</v>
      </c>
      <c r="D57" s="17">
        <v>-12242.06</v>
      </c>
      <c r="E57" s="17">
        <v>-10396.959999999999</v>
      </c>
      <c r="F57" s="17">
        <f t="shared" si="3"/>
        <v>1845.1000000000004</v>
      </c>
      <c r="G57" s="17">
        <v>19922.060000000001</v>
      </c>
      <c r="H57" s="17">
        <v>18869.27</v>
      </c>
      <c r="I57" s="17">
        <f>'Tata Motors (calculations)'!B57-'Tata Motors (calculations)'!G57+'Tata Motors (calculations)'!C57+'Tata Motors (calculations)'!F57+'Tata Motors (calculations)'!H57</f>
        <v>2078.4799999999996</v>
      </c>
    </row>
  </sheetData>
  <mergeCells count="5">
    <mergeCell ref="A45:D45"/>
    <mergeCell ref="A1:D1"/>
    <mergeCell ref="A3:D3"/>
    <mergeCell ref="A17:D17"/>
    <mergeCell ref="A31:D31"/>
  </mergeCell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56AD5C-B226-4D6E-A6E6-5E4CC91BF332}">
  <dimension ref="A5:G19"/>
  <sheetViews>
    <sheetView workbookViewId="0"/>
  </sheetViews>
  <sheetFormatPr defaultRowHeight="15"/>
  <cols>
    <col min="2" max="2" width="15.85546875" customWidth="1"/>
    <col min="3" max="3" width="18.5703125" customWidth="1"/>
    <col min="4" max="4" width="17.42578125" customWidth="1"/>
    <col min="5" max="5" width="16.140625" customWidth="1"/>
    <col min="6" max="6" width="14.28515625" customWidth="1"/>
  </cols>
  <sheetData>
    <row r="5" spans="1:7">
      <c r="G5" s="112"/>
    </row>
    <row r="8" spans="1:7">
      <c r="B8" s="104" t="s">
        <v>26</v>
      </c>
      <c r="C8" s="93" t="s">
        <v>119</v>
      </c>
      <c r="D8" s="94" t="s">
        <v>149</v>
      </c>
      <c r="E8" s="95" t="s">
        <v>120</v>
      </c>
      <c r="F8" s="96" t="s">
        <v>150</v>
      </c>
    </row>
    <row r="9" spans="1:7">
      <c r="B9" s="105">
        <v>2021</v>
      </c>
      <c r="C9" s="141" t="s">
        <v>151</v>
      </c>
      <c r="D9" s="97">
        <v>3.9062999999999999</v>
      </c>
      <c r="E9" s="98">
        <v>-9.9000000000000008E-3</v>
      </c>
      <c r="F9" s="99" t="s">
        <v>152</v>
      </c>
    </row>
    <row r="10" spans="1:7">
      <c r="B10" s="105">
        <v>2020</v>
      </c>
      <c r="C10" s="141" t="s">
        <v>153</v>
      </c>
      <c r="D10" s="97">
        <v>0.21129999999999999</v>
      </c>
      <c r="E10" s="98">
        <v>-0.15160000000000001</v>
      </c>
      <c r="F10" s="99" t="s">
        <v>154</v>
      </c>
    </row>
    <row r="11" spans="1:7">
      <c r="B11" s="105">
        <v>2019</v>
      </c>
      <c r="C11" s="141" t="s">
        <v>155</v>
      </c>
      <c r="D11" s="97">
        <v>0.21179999999999999</v>
      </c>
      <c r="E11" s="98">
        <v>7.7799999999999994E-2</v>
      </c>
      <c r="F11" s="99" t="s">
        <v>156</v>
      </c>
    </row>
    <row r="12" spans="1:7">
      <c r="B12" s="105">
        <v>2018</v>
      </c>
      <c r="C12" s="141" t="s">
        <v>157</v>
      </c>
      <c r="D12" s="97">
        <v>0.2056</v>
      </c>
      <c r="E12" s="98">
        <v>4.1700000000000001E-2</v>
      </c>
      <c r="F12" s="99" t="s">
        <v>158</v>
      </c>
    </row>
    <row r="13" spans="1:7">
      <c r="B13" s="105">
        <v>2017</v>
      </c>
      <c r="C13" s="141" t="s">
        <v>159</v>
      </c>
      <c r="D13" s="97">
        <v>0.42570000000000002</v>
      </c>
      <c r="E13" s="98">
        <v>8.5800000000000001E-2</v>
      </c>
      <c r="F13" s="99" t="s">
        <v>160</v>
      </c>
    </row>
    <row r="14" spans="1:7">
      <c r="B14" s="105">
        <v>2016</v>
      </c>
      <c r="C14" s="141" t="s">
        <v>161</v>
      </c>
      <c r="D14" s="97">
        <v>0.223</v>
      </c>
      <c r="E14" s="98">
        <v>6.3299999999999995E-2</v>
      </c>
      <c r="F14" s="99" t="s">
        <v>162</v>
      </c>
    </row>
    <row r="15" spans="1:7">
      <c r="A15" s="102"/>
      <c r="B15" s="105">
        <v>2015</v>
      </c>
      <c r="C15" s="141" t="s">
        <v>163</v>
      </c>
      <c r="D15" s="97">
        <v>0.21179999999999999</v>
      </c>
      <c r="E15" s="98">
        <v>4.7199999999999999E-2</v>
      </c>
      <c r="F15" s="99" t="s">
        <v>164</v>
      </c>
    </row>
    <row r="16" spans="1:7">
      <c r="A16" s="101"/>
      <c r="B16" s="105">
        <v>2014</v>
      </c>
      <c r="C16" s="141" t="s">
        <v>165</v>
      </c>
      <c r="D16" s="97">
        <v>0.222</v>
      </c>
      <c r="E16" s="98">
        <v>-3.8600000000000002E-2</v>
      </c>
      <c r="F16" s="99" t="s">
        <v>166</v>
      </c>
    </row>
    <row r="17" spans="2:6">
      <c r="B17" s="105">
        <v>2013</v>
      </c>
      <c r="C17" s="141" t="s">
        <v>167</v>
      </c>
      <c r="D17" s="97">
        <v>0.2296</v>
      </c>
      <c r="E17" s="98">
        <v>2.3999999999999998E-3</v>
      </c>
      <c r="F17" s="100" t="s">
        <v>168</v>
      </c>
    </row>
    <row r="18" spans="2:6">
      <c r="B18" s="105">
        <v>2012</v>
      </c>
      <c r="C18" s="141" t="s">
        <v>169</v>
      </c>
      <c r="D18" s="97">
        <v>0.25569999999999998</v>
      </c>
      <c r="E18" s="98">
        <v>0.21179999999999999</v>
      </c>
      <c r="F18" s="99" t="s">
        <v>170</v>
      </c>
    </row>
    <row r="19" spans="2:6">
      <c r="B19" s="105">
        <v>2011</v>
      </c>
      <c r="C19" s="141" t="s">
        <v>171</v>
      </c>
      <c r="D19" s="97">
        <v>0.25940000000000002</v>
      </c>
      <c r="E19" s="98">
        <v>0.35780000000000001</v>
      </c>
      <c r="F19" s="99" t="s">
        <v>172</v>
      </c>
    </row>
  </sheetData>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DD7AAB-0386-4471-9215-BE5911DDFEC7}">
  <dimension ref="A1:M76"/>
  <sheetViews>
    <sheetView topLeftCell="A4" workbookViewId="0">
      <selection activeCell="F23" sqref="F23"/>
    </sheetView>
  </sheetViews>
  <sheetFormatPr defaultRowHeight="15"/>
  <cols>
    <col min="3" max="3" width="27.28515625" customWidth="1"/>
    <col min="4" max="4" width="28.140625" customWidth="1"/>
    <col min="5" max="5" width="17.5703125" customWidth="1"/>
    <col min="6" max="6" width="18.7109375" customWidth="1"/>
    <col min="7" max="7" width="13.28515625" customWidth="1"/>
  </cols>
  <sheetData>
    <row r="1" spans="1:13">
      <c r="A1" s="20"/>
      <c r="B1" s="20"/>
      <c r="C1" s="20"/>
      <c r="D1" s="20"/>
      <c r="E1" s="20"/>
      <c r="F1" s="20"/>
      <c r="G1" s="20"/>
      <c r="H1" s="20"/>
      <c r="I1" s="20"/>
      <c r="J1" s="20"/>
      <c r="K1" s="20"/>
      <c r="L1" s="20"/>
      <c r="M1" s="20"/>
    </row>
    <row r="2" spans="1:13" ht="25.5">
      <c r="A2" s="20"/>
      <c r="B2" s="142" t="s">
        <v>173</v>
      </c>
      <c r="C2" s="142"/>
      <c r="D2" s="142"/>
      <c r="E2" s="142"/>
      <c r="F2" s="20" t="s">
        <v>174</v>
      </c>
      <c r="G2" s="20"/>
      <c r="H2" s="20"/>
      <c r="I2" s="20"/>
      <c r="J2" s="20"/>
      <c r="K2" s="20"/>
      <c r="L2" s="20"/>
    </row>
    <row r="3" spans="1:13">
      <c r="A3" s="20"/>
      <c r="B3" s="20"/>
      <c r="C3" s="20"/>
      <c r="D3" s="20"/>
      <c r="E3" s="20"/>
      <c r="F3" s="20"/>
      <c r="G3" s="20"/>
      <c r="H3" s="20"/>
      <c r="I3" s="20"/>
      <c r="J3" s="20"/>
      <c r="K3" s="20"/>
      <c r="L3" s="20"/>
      <c r="M3" s="20"/>
    </row>
    <row r="4" spans="1:13" ht="20.25">
      <c r="A4" s="20"/>
      <c r="B4" s="125" t="s">
        <v>175</v>
      </c>
      <c r="C4" s="125"/>
      <c r="D4" s="125"/>
      <c r="E4" s="125"/>
      <c r="F4" s="20"/>
      <c r="G4" s="20"/>
      <c r="H4" s="20"/>
      <c r="I4" s="20"/>
      <c r="J4" s="20"/>
      <c r="K4" s="20"/>
      <c r="L4" s="20"/>
      <c r="M4" s="20"/>
    </row>
    <row r="5" spans="1:13">
      <c r="A5" s="20"/>
      <c r="B5" s="20"/>
      <c r="C5" s="20"/>
      <c r="D5" s="20"/>
      <c r="E5" s="20"/>
      <c r="F5" s="20"/>
      <c r="G5" s="20"/>
      <c r="H5" s="20"/>
      <c r="I5" s="20"/>
      <c r="J5" s="20"/>
      <c r="K5" s="20"/>
      <c r="L5" s="20"/>
      <c r="M5" s="20"/>
    </row>
    <row r="6" spans="1:13" ht="19.5" customHeight="1">
      <c r="A6" s="20"/>
      <c r="B6" s="21" t="s">
        <v>26</v>
      </c>
      <c r="C6" s="22" t="s">
        <v>176</v>
      </c>
      <c r="D6" s="22" t="s">
        <v>136</v>
      </c>
      <c r="E6" s="22" t="s">
        <v>119</v>
      </c>
      <c r="F6" s="20"/>
      <c r="G6" s="20"/>
      <c r="H6" s="20"/>
      <c r="I6" s="20"/>
      <c r="J6" s="20"/>
      <c r="K6" s="20"/>
      <c r="L6" s="20"/>
      <c r="M6" s="20"/>
    </row>
    <row r="7" spans="1:13">
      <c r="A7" s="20"/>
      <c r="B7" s="23">
        <v>2021</v>
      </c>
      <c r="C7" s="24" t="s">
        <v>177</v>
      </c>
      <c r="D7" s="26">
        <v>837.3</v>
      </c>
      <c r="E7" s="24" t="s">
        <v>151</v>
      </c>
      <c r="F7" s="20"/>
      <c r="G7" s="20"/>
      <c r="H7" s="20"/>
      <c r="I7" s="20"/>
      <c r="J7" s="20"/>
      <c r="K7" s="20"/>
      <c r="L7" s="20"/>
      <c r="M7" s="20"/>
    </row>
    <row r="8" spans="1:13">
      <c r="A8" s="20"/>
      <c r="B8" s="23">
        <v>2020</v>
      </c>
      <c r="C8" s="24" t="s">
        <v>178</v>
      </c>
      <c r="D8" s="26">
        <v>600.15</v>
      </c>
      <c r="E8" s="24" t="s">
        <v>153</v>
      </c>
      <c r="F8" s="20"/>
      <c r="G8" s="20"/>
      <c r="H8" s="20"/>
      <c r="I8" s="20"/>
      <c r="J8" s="20"/>
      <c r="K8" s="20"/>
      <c r="L8" s="20"/>
      <c r="M8" s="20"/>
    </row>
    <row r="9" spans="1:13">
      <c r="A9" s="20"/>
      <c r="B9" s="23">
        <v>2019</v>
      </c>
      <c r="C9" s="24" t="s">
        <v>179</v>
      </c>
      <c r="D9" s="26">
        <v>520.67999999999995</v>
      </c>
      <c r="E9" s="24" t="s">
        <v>155</v>
      </c>
      <c r="F9" s="20"/>
      <c r="G9" s="20"/>
      <c r="H9" s="20"/>
      <c r="I9" s="20"/>
      <c r="J9" s="20"/>
      <c r="K9" s="20"/>
      <c r="L9" s="20"/>
      <c r="M9" s="20"/>
    </row>
    <row r="10" spans="1:13">
      <c r="A10" s="20"/>
      <c r="B10" s="23">
        <v>2018</v>
      </c>
      <c r="C10" s="24" t="s">
        <v>38</v>
      </c>
      <c r="D10" s="26">
        <v>937.4</v>
      </c>
      <c r="E10" s="24" t="s">
        <v>157</v>
      </c>
      <c r="F10" s="20"/>
      <c r="G10" s="20"/>
      <c r="H10" s="20"/>
      <c r="I10" s="20"/>
      <c r="J10" s="20"/>
      <c r="K10" s="20"/>
      <c r="L10" s="20"/>
      <c r="M10" s="20"/>
    </row>
    <row r="11" spans="1:13">
      <c r="A11" s="20"/>
      <c r="B11" s="23">
        <v>2017</v>
      </c>
      <c r="C11" s="24" t="s">
        <v>180</v>
      </c>
      <c r="D11" s="26">
        <v>647.71</v>
      </c>
      <c r="E11" s="24" t="s">
        <v>159</v>
      </c>
      <c r="F11" s="20"/>
      <c r="G11" s="20"/>
      <c r="H11" s="20"/>
      <c r="I11" s="20"/>
      <c r="J11" s="20"/>
      <c r="K11" s="20"/>
      <c r="L11" s="20"/>
      <c r="M11" s="20"/>
    </row>
    <row r="12" spans="1:13">
      <c r="A12" s="20"/>
      <c r="B12" s="23">
        <v>2016</v>
      </c>
      <c r="C12" s="24" t="s">
        <v>181</v>
      </c>
      <c r="D12" s="26">
        <v>685.39</v>
      </c>
      <c r="E12" s="24" t="s">
        <v>161</v>
      </c>
      <c r="F12" s="20"/>
      <c r="G12" s="20"/>
      <c r="H12" s="20"/>
      <c r="I12" s="20"/>
      <c r="J12" s="20"/>
      <c r="K12" s="20"/>
      <c r="L12" s="20"/>
      <c r="M12" s="20"/>
    </row>
    <row r="13" spans="1:13">
      <c r="A13" s="20"/>
      <c r="B13" s="23">
        <v>2015</v>
      </c>
      <c r="C13" s="24" t="s">
        <v>181</v>
      </c>
      <c r="D13" s="26">
        <v>577.79999999999995</v>
      </c>
      <c r="E13" s="24" t="s">
        <v>163</v>
      </c>
      <c r="F13" s="20"/>
      <c r="G13" s="20"/>
      <c r="H13" s="20"/>
      <c r="I13" s="20"/>
      <c r="J13" s="20"/>
      <c r="K13" s="20"/>
      <c r="L13" s="20"/>
      <c r="M13" s="20"/>
    </row>
    <row r="14" spans="1:13">
      <c r="A14" s="20"/>
      <c r="B14" s="23">
        <v>2014</v>
      </c>
      <c r="C14" s="24" t="s">
        <v>182</v>
      </c>
      <c r="D14" s="26">
        <v>659.65</v>
      </c>
      <c r="E14" s="24" t="s">
        <v>165</v>
      </c>
      <c r="F14" s="20"/>
      <c r="G14" s="20"/>
      <c r="H14" s="20"/>
      <c r="I14" s="20"/>
      <c r="J14" s="20"/>
      <c r="K14" s="20"/>
      <c r="L14" s="20"/>
      <c r="M14" s="20"/>
    </row>
    <row r="15" spans="1:13">
      <c r="A15" s="20"/>
      <c r="B15" s="23">
        <v>2013</v>
      </c>
      <c r="C15" s="24" t="s">
        <v>180</v>
      </c>
      <c r="D15" s="26">
        <v>367.01</v>
      </c>
      <c r="E15" s="24" t="s">
        <v>167</v>
      </c>
      <c r="F15" s="20"/>
      <c r="G15" s="20"/>
      <c r="H15" s="20"/>
      <c r="I15" s="20"/>
      <c r="J15" s="20"/>
      <c r="K15" s="20"/>
      <c r="L15" s="20"/>
      <c r="M15" s="20"/>
    </row>
    <row r="16" spans="1:13">
      <c r="A16" s="20"/>
      <c r="B16" s="23">
        <v>2012</v>
      </c>
      <c r="C16" s="24" t="s">
        <v>183</v>
      </c>
      <c r="D16" s="26">
        <v>357.39</v>
      </c>
      <c r="E16" s="24" t="s">
        <v>169</v>
      </c>
      <c r="F16" s="20"/>
      <c r="G16" s="20"/>
      <c r="H16" s="20"/>
      <c r="I16" s="20"/>
      <c r="J16" s="20"/>
      <c r="K16" s="20"/>
      <c r="L16" s="20"/>
      <c r="M16" s="20"/>
    </row>
    <row r="17" spans="1:13">
      <c r="A17" s="20"/>
      <c r="B17" s="23">
        <v>2011</v>
      </c>
      <c r="C17" s="24" t="s">
        <v>184</v>
      </c>
      <c r="D17" s="26">
        <v>339.77</v>
      </c>
      <c r="E17" s="24" t="s">
        <v>171</v>
      </c>
      <c r="F17" s="20"/>
      <c r="G17" s="20"/>
      <c r="H17" s="20"/>
      <c r="I17" s="20"/>
      <c r="J17" s="20"/>
      <c r="K17" s="20"/>
      <c r="L17" s="20"/>
      <c r="M17" s="20"/>
    </row>
    <row r="18" spans="1:13">
      <c r="A18" s="20"/>
      <c r="B18" s="23">
        <v>2010</v>
      </c>
      <c r="C18" s="24" t="s">
        <v>185</v>
      </c>
      <c r="D18" s="26">
        <v>288.07</v>
      </c>
      <c r="E18" s="24" t="s">
        <v>186</v>
      </c>
      <c r="F18" s="20"/>
      <c r="G18" s="20"/>
      <c r="H18" s="20"/>
      <c r="I18" s="20"/>
      <c r="J18" s="20"/>
      <c r="K18" s="20"/>
      <c r="L18" s="20"/>
      <c r="M18" s="20"/>
    </row>
    <row r="19" spans="1:13">
      <c r="A19" s="20"/>
      <c r="B19" s="25"/>
      <c r="C19" s="25"/>
      <c r="D19" s="25"/>
      <c r="E19" s="25"/>
      <c r="F19" s="20"/>
      <c r="G19" s="20"/>
      <c r="H19" s="20"/>
      <c r="I19" s="20"/>
      <c r="J19" s="20"/>
      <c r="K19" s="20"/>
      <c r="L19" s="20"/>
      <c r="M19" s="20"/>
    </row>
    <row r="20" spans="1:13">
      <c r="A20" s="20"/>
      <c r="B20" s="20"/>
      <c r="C20" s="20"/>
      <c r="D20" s="20"/>
      <c r="E20" s="20"/>
      <c r="F20" s="20"/>
      <c r="G20" s="20"/>
      <c r="H20" s="20"/>
      <c r="I20" s="20"/>
      <c r="J20" s="20"/>
      <c r="K20" s="20"/>
      <c r="L20" s="20"/>
      <c r="M20" s="20"/>
    </row>
    <row r="21" spans="1:13" ht="20.25">
      <c r="A21" s="20"/>
      <c r="B21" s="126" t="s">
        <v>187</v>
      </c>
      <c r="C21" s="126"/>
      <c r="D21" s="126"/>
      <c r="E21" s="126"/>
      <c r="F21" s="27"/>
      <c r="G21" s="27"/>
      <c r="H21" s="20"/>
      <c r="I21" s="20"/>
      <c r="J21" s="20"/>
      <c r="K21" s="20"/>
      <c r="L21" s="20"/>
      <c r="M21" s="20"/>
    </row>
    <row r="22" spans="1:13">
      <c r="A22" s="20"/>
      <c r="B22" s="27"/>
      <c r="C22" s="27"/>
      <c r="D22" s="27"/>
      <c r="E22" s="27"/>
      <c r="F22" s="27"/>
      <c r="G22" s="27"/>
      <c r="H22" s="20"/>
      <c r="I22" s="20"/>
      <c r="J22" s="20"/>
      <c r="K22" s="20"/>
      <c r="L22" s="20"/>
      <c r="M22" s="20"/>
    </row>
    <row r="23" spans="1:13" ht="20.25" customHeight="1">
      <c r="A23" s="20"/>
      <c r="B23" s="28" t="s">
        <v>26</v>
      </c>
      <c r="C23" s="29" t="s">
        <v>176</v>
      </c>
      <c r="D23" s="29" t="s">
        <v>188</v>
      </c>
      <c r="E23" s="29" t="s">
        <v>149</v>
      </c>
      <c r="F23" s="27"/>
      <c r="G23" s="27"/>
      <c r="H23" s="20"/>
      <c r="I23" s="20"/>
      <c r="J23" s="20"/>
      <c r="K23" s="20"/>
      <c r="L23" s="20"/>
      <c r="M23" s="20"/>
    </row>
    <row r="24" spans="1:13">
      <c r="A24" s="20"/>
      <c r="B24" s="30">
        <v>2021</v>
      </c>
      <c r="C24" s="31" t="s">
        <v>177</v>
      </c>
      <c r="D24" s="31">
        <v>2.2400000000000002</v>
      </c>
      <c r="E24" s="32">
        <v>3.9062999999999999</v>
      </c>
      <c r="F24" s="27"/>
      <c r="G24" s="27"/>
      <c r="H24" s="20"/>
      <c r="I24" s="20"/>
      <c r="J24" s="20"/>
      <c r="K24" s="20"/>
      <c r="L24" s="20"/>
      <c r="M24" s="20"/>
    </row>
    <row r="25" spans="1:13">
      <c r="A25" s="20"/>
      <c r="B25" s="30">
        <v>2020</v>
      </c>
      <c r="C25" s="31" t="s">
        <v>178</v>
      </c>
      <c r="D25" s="31">
        <v>11.12</v>
      </c>
      <c r="E25" s="32">
        <v>0.21129999999999999</v>
      </c>
      <c r="F25" s="27"/>
      <c r="G25" s="27"/>
      <c r="H25" s="20"/>
      <c r="I25" s="20"/>
      <c r="J25" s="20"/>
      <c r="K25" s="20"/>
      <c r="L25" s="20"/>
      <c r="M25" s="20"/>
    </row>
    <row r="26" spans="1:13">
      <c r="A26" s="20"/>
      <c r="B26" s="30">
        <v>2019</v>
      </c>
      <c r="C26" s="31" t="s">
        <v>179</v>
      </c>
      <c r="D26" s="31">
        <v>40.130000000000003</v>
      </c>
      <c r="E26" s="32">
        <v>0.21179999999999999</v>
      </c>
      <c r="F26" s="27"/>
      <c r="G26" s="27"/>
      <c r="H26" s="20"/>
      <c r="I26" s="20"/>
      <c r="J26" s="20"/>
      <c r="K26" s="20"/>
      <c r="L26" s="20"/>
      <c r="M26" s="20"/>
    </row>
    <row r="27" spans="1:13">
      <c r="A27" s="20"/>
      <c r="B27" s="30">
        <v>2018</v>
      </c>
      <c r="C27" s="31" t="s">
        <v>38</v>
      </c>
      <c r="D27" s="31">
        <v>36.47</v>
      </c>
      <c r="E27" s="32">
        <v>0.2056</v>
      </c>
      <c r="F27" s="27"/>
      <c r="G27" s="27"/>
      <c r="H27" s="20"/>
      <c r="I27" s="20"/>
      <c r="J27" s="20"/>
      <c r="K27" s="20"/>
      <c r="L27" s="20"/>
      <c r="M27" s="20"/>
    </row>
    <row r="28" spans="1:13">
      <c r="A28" s="20"/>
      <c r="B28" s="30">
        <v>2017</v>
      </c>
      <c r="C28" s="31" t="s">
        <v>180</v>
      </c>
      <c r="D28" s="31">
        <v>30.54</v>
      </c>
      <c r="E28" s="32">
        <v>0.42570000000000002</v>
      </c>
      <c r="F28" s="27"/>
      <c r="G28" s="27"/>
      <c r="H28" s="20"/>
      <c r="I28" s="20"/>
      <c r="J28" s="20"/>
      <c r="K28" s="20"/>
      <c r="L28" s="20"/>
      <c r="M28" s="20"/>
    </row>
    <row r="29" spans="1:13">
      <c r="A29" s="20"/>
      <c r="B29" s="30">
        <v>2016</v>
      </c>
      <c r="C29" s="31" t="s">
        <v>181</v>
      </c>
      <c r="D29" s="31">
        <v>53.8</v>
      </c>
      <c r="E29" s="32">
        <v>0.223</v>
      </c>
      <c r="F29" s="27"/>
      <c r="G29" s="27"/>
      <c r="H29" s="20"/>
      <c r="I29" s="20"/>
      <c r="J29" s="20"/>
      <c r="K29" s="20"/>
      <c r="L29" s="20"/>
      <c r="M29" s="20"/>
    </row>
    <row r="30" spans="1:13">
      <c r="A30" s="20"/>
      <c r="B30" s="30">
        <v>2015</v>
      </c>
      <c r="C30" s="31" t="s">
        <v>181</v>
      </c>
      <c r="D30" s="31">
        <v>56.66</v>
      </c>
      <c r="E30" s="32">
        <v>0.21179999999999999</v>
      </c>
      <c r="F30" s="27"/>
      <c r="G30" s="27"/>
      <c r="H30" s="20"/>
      <c r="I30" s="20"/>
      <c r="J30" s="20"/>
      <c r="K30" s="20"/>
      <c r="L30" s="20"/>
      <c r="M30" s="20"/>
    </row>
    <row r="31" spans="1:13">
      <c r="A31" s="20"/>
      <c r="B31" s="30">
        <v>2014</v>
      </c>
      <c r="C31" s="31" t="s">
        <v>182</v>
      </c>
      <c r="D31" s="31">
        <v>63.07</v>
      </c>
      <c r="E31" s="32">
        <v>0.222</v>
      </c>
      <c r="F31" s="27"/>
      <c r="G31" s="27"/>
      <c r="H31" s="20"/>
      <c r="I31" s="20"/>
      <c r="J31" s="20"/>
      <c r="K31" s="20"/>
      <c r="L31" s="20"/>
      <c r="M31" s="20"/>
    </row>
    <row r="32" spans="1:13">
      <c r="A32" s="20"/>
      <c r="B32" s="30">
        <v>2013</v>
      </c>
      <c r="C32" s="31" t="s">
        <v>180</v>
      </c>
      <c r="D32" s="31">
        <v>56.61</v>
      </c>
      <c r="E32" s="32">
        <v>0.2296</v>
      </c>
      <c r="F32" s="27"/>
      <c r="G32" s="27"/>
      <c r="H32" s="20"/>
      <c r="I32" s="20"/>
      <c r="J32" s="20"/>
      <c r="K32" s="20"/>
      <c r="L32" s="20"/>
      <c r="M32" s="20"/>
    </row>
    <row r="33" spans="1:13">
      <c r="A33" s="20"/>
      <c r="B33" s="30">
        <v>2012</v>
      </c>
      <c r="C33" s="31" t="s">
        <v>183</v>
      </c>
      <c r="D33" s="31">
        <v>48.89</v>
      </c>
      <c r="E33" s="32">
        <v>0.25569999999999998</v>
      </c>
      <c r="F33" s="27"/>
      <c r="G33" s="27"/>
      <c r="H33" s="20"/>
      <c r="I33" s="20"/>
      <c r="J33" s="20"/>
      <c r="K33" s="20"/>
      <c r="L33" s="20"/>
      <c r="M33" s="20"/>
    </row>
    <row r="34" spans="1:13">
      <c r="A34" s="20"/>
      <c r="B34" s="30">
        <v>2011</v>
      </c>
      <c r="C34" s="31" t="s">
        <v>184</v>
      </c>
      <c r="D34" s="31">
        <v>44.33</v>
      </c>
      <c r="E34" s="32">
        <v>0.25940000000000002</v>
      </c>
      <c r="F34" s="27"/>
      <c r="G34" s="27"/>
      <c r="H34" s="20"/>
      <c r="I34" s="20"/>
      <c r="J34" s="20"/>
      <c r="K34" s="20"/>
      <c r="L34" s="20"/>
      <c r="M34" s="20"/>
    </row>
    <row r="35" spans="1:13">
      <c r="A35" s="20"/>
      <c r="B35" s="30">
        <v>2010</v>
      </c>
      <c r="C35" s="31" t="s">
        <v>185</v>
      </c>
      <c r="D35" s="31">
        <v>36.89</v>
      </c>
      <c r="E35" s="32">
        <v>0.25750000000000001</v>
      </c>
      <c r="F35" s="27"/>
      <c r="G35" s="27"/>
      <c r="H35" s="20"/>
      <c r="I35" s="20"/>
      <c r="J35" s="20"/>
      <c r="K35" s="20"/>
      <c r="L35" s="20"/>
      <c r="M35" s="20"/>
    </row>
    <row r="36" spans="1:13">
      <c r="A36" s="20"/>
      <c r="B36" s="27"/>
      <c r="C36" s="27"/>
      <c r="D36" s="27"/>
      <c r="E36" s="27"/>
      <c r="F36" s="27"/>
      <c r="G36" s="27"/>
      <c r="H36" s="20"/>
      <c r="I36" s="20"/>
      <c r="J36" s="20"/>
      <c r="K36" s="20"/>
      <c r="L36" s="20"/>
      <c r="M36" s="20"/>
    </row>
    <row r="37" spans="1:13">
      <c r="A37" s="20"/>
      <c r="B37" s="27"/>
      <c r="C37" s="27"/>
      <c r="D37" s="27"/>
      <c r="E37" s="27"/>
      <c r="F37" s="27"/>
      <c r="G37" s="27"/>
      <c r="H37" s="20"/>
      <c r="I37" s="20"/>
      <c r="J37" s="20"/>
      <c r="K37" s="20"/>
      <c r="L37" s="20"/>
      <c r="M37" s="20"/>
    </row>
    <row r="38" spans="1:13" ht="20.25">
      <c r="A38" s="20"/>
      <c r="B38" s="126" t="s">
        <v>120</v>
      </c>
      <c r="C38" s="126"/>
      <c r="D38" s="126"/>
      <c r="E38" s="126"/>
      <c r="F38" s="27"/>
      <c r="G38" s="27"/>
      <c r="H38" s="20"/>
      <c r="I38" s="20"/>
      <c r="J38" s="20"/>
      <c r="K38" s="20"/>
      <c r="L38" s="20"/>
      <c r="M38" s="20"/>
    </row>
    <row r="39" spans="1:13">
      <c r="A39" s="20"/>
      <c r="B39" s="27"/>
      <c r="C39" s="27"/>
      <c r="D39" s="27"/>
      <c r="E39" s="27"/>
      <c r="F39" s="27"/>
      <c r="G39" s="27"/>
      <c r="H39" s="20"/>
      <c r="I39" s="20"/>
      <c r="J39" s="20"/>
      <c r="K39" s="20"/>
      <c r="L39" s="20"/>
      <c r="M39" s="20"/>
    </row>
    <row r="40" spans="1:13">
      <c r="A40" s="20"/>
      <c r="B40" s="33" t="s">
        <v>26</v>
      </c>
      <c r="C40" s="34" t="s">
        <v>189</v>
      </c>
      <c r="D40" s="34" t="s">
        <v>190</v>
      </c>
      <c r="E40" s="34" t="s">
        <v>120</v>
      </c>
      <c r="F40" s="27"/>
      <c r="G40" s="27"/>
      <c r="H40" s="20"/>
      <c r="I40" s="20"/>
      <c r="J40" s="20"/>
      <c r="K40" s="20"/>
      <c r="L40" s="20"/>
      <c r="M40" s="20"/>
    </row>
    <row r="41" spans="1:13">
      <c r="A41" s="20"/>
      <c r="B41" s="35">
        <v>2021</v>
      </c>
      <c r="C41" s="36" t="s">
        <v>191</v>
      </c>
      <c r="D41" s="36" t="s">
        <v>192</v>
      </c>
      <c r="E41" s="37">
        <v>-9.9000000000000008E-3</v>
      </c>
      <c r="F41" s="27"/>
      <c r="G41" s="27"/>
      <c r="H41" s="20"/>
      <c r="I41" s="20"/>
      <c r="J41" s="20"/>
      <c r="K41" s="20"/>
      <c r="L41" s="20"/>
      <c r="M41" s="20"/>
    </row>
    <row r="42" spans="1:13">
      <c r="A42" s="20"/>
      <c r="B42" s="35">
        <v>2020</v>
      </c>
      <c r="C42" s="36" t="s">
        <v>192</v>
      </c>
      <c r="D42" s="36" t="s">
        <v>193</v>
      </c>
      <c r="E42" s="37">
        <v>-0.15160000000000001</v>
      </c>
      <c r="F42" s="27"/>
      <c r="G42" s="27"/>
      <c r="H42" s="20"/>
      <c r="I42" s="20"/>
      <c r="J42" s="20"/>
      <c r="K42" s="20"/>
      <c r="L42" s="20"/>
      <c r="M42" s="20"/>
    </row>
    <row r="43" spans="1:13">
      <c r="A43" s="20"/>
      <c r="B43" s="35">
        <v>2019</v>
      </c>
      <c r="C43" s="36" t="s">
        <v>193</v>
      </c>
      <c r="D43" s="36" t="s">
        <v>194</v>
      </c>
      <c r="E43" s="37">
        <v>7.7799999999999994E-2</v>
      </c>
      <c r="F43" s="27"/>
      <c r="G43" s="27"/>
      <c r="H43" s="20"/>
      <c r="I43" s="20"/>
      <c r="J43" s="20"/>
      <c r="K43" s="20"/>
      <c r="L43" s="20"/>
      <c r="M43" s="20"/>
    </row>
    <row r="44" spans="1:13">
      <c r="A44" s="20"/>
      <c r="B44" s="35">
        <v>2018</v>
      </c>
      <c r="C44" s="36" t="s">
        <v>194</v>
      </c>
      <c r="D44" s="36" t="s">
        <v>195</v>
      </c>
      <c r="E44" s="37">
        <v>4.1700000000000001E-2</v>
      </c>
      <c r="F44" s="27"/>
      <c r="G44" s="27"/>
      <c r="H44" s="20"/>
      <c r="I44" s="20"/>
      <c r="J44" s="20"/>
      <c r="K44" s="20"/>
      <c r="L44" s="20"/>
      <c r="M44" s="20"/>
    </row>
    <row r="45" spans="1:13">
      <c r="A45" s="20"/>
      <c r="B45" s="35">
        <v>2017</v>
      </c>
      <c r="C45" s="36" t="s">
        <v>195</v>
      </c>
      <c r="D45" s="36" t="s">
        <v>196</v>
      </c>
      <c r="E45" s="37">
        <v>8.5800000000000001E-2</v>
      </c>
      <c r="F45" s="27"/>
      <c r="G45" s="27"/>
      <c r="H45" s="20"/>
      <c r="I45" s="20"/>
      <c r="J45" s="20"/>
      <c r="K45" s="20"/>
      <c r="L45" s="20"/>
      <c r="M45" s="20"/>
    </row>
    <row r="46" spans="1:13">
      <c r="A46" s="20"/>
      <c r="B46" s="35">
        <v>2016</v>
      </c>
      <c r="C46" s="36" t="s">
        <v>196</v>
      </c>
      <c r="D46" s="36" t="s">
        <v>197</v>
      </c>
      <c r="E46" s="37">
        <v>6.3299999999999995E-2</v>
      </c>
      <c r="F46" s="27"/>
      <c r="G46" s="27"/>
      <c r="H46" s="20"/>
      <c r="I46" s="20"/>
      <c r="J46" s="20"/>
      <c r="K46" s="20"/>
      <c r="L46" s="20"/>
      <c r="M46" s="20"/>
    </row>
    <row r="47" spans="1:13">
      <c r="A47" s="20"/>
      <c r="B47" s="35">
        <v>2015</v>
      </c>
      <c r="C47" s="36" t="s">
        <v>197</v>
      </c>
      <c r="D47" s="36" t="s">
        <v>198</v>
      </c>
      <c r="E47" s="37">
        <v>4.7199999999999999E-2</v>
      </c>
      <c r="F47" s="27"/>
      <c r="G47" s="27"/>
      <c r="H47" s="20"/>
      <c r="I47" s="20"/>
      <c r="J47" s="20"/>
      <c r="K47" s="20"/>
      <c r="L47" s="20"/>
      <c r="M47" s="20"/>
    </row>
    <row r="48" spans="1:13">
      <c r="A48" s="20"/>
      <c r="B48" s="35">
        <v>2014</v>
      </c>
      <c r="C48" s="36" t="s">
        <v>198</v>
      </c>
      <c r="D48" s="36" t="s">
        <v>199</v>
      </c>
      <c r="E48" s="37">
        <v>-3.8600000000000002E-2</v>
      </c>
      <c r="F48" s="27"/>
      <c r="G48" s="27"/>
      <c r="H48" s="20"/>
      <c r="I48" s="20"/>
      <c r="J48" s="20"/>
      <c r="K48" s="20"/>
      <c r="L48" s="20"/>
      <c r="M48" s="20"/>
    </row>
    <row r="49" spans="1:13">
      <c r="A49" s="20"/>
      <c r="B49" s="35">
        <v>2013</v>
      </c>
      <c r="C49" s="36" t="s">
        <v>199</v>
      </c>
      <c r="D49" s="36" t="s">
        <v>200</v>
      </c>
      <c r="E49" s="37">
        <v>2.3999999999999998E-3</v>
      </c>
      <c r="F49" s="27"/>
      <c r="G49" s="27"/>
      <c r="H49" s="20"/>
      <c r="I49" s="20"/>
      <c r="J49" s="20"/>
      <c r="K49" s="20"/>
      <c r="L49" s="20"/>
      <c r="M49" s="20"/>
    </row>
    <row r="50" spans="1:13">
      <c r="A50" s="20"/>
      <c r="B50" s="35">
        <v>2012</v>
      </c>
      <c r="C50" s="36" t="s">
        <v>200</v>
      </c>
      <c r="D50" s="36" t="s">
        <v>201</v>
      </c>
      <c r="E50" s="37">
        <v>0.21179999999999999</v>
      </c>
      <c r="F50" s="27"/>
      <c r="G50" s="27"/>
      <c r="H50" s="20"/>
      <c r="I50" s="20"/>
      <c r="J50" s="20"/>
      <c r="K50" s="20"/>
      <c r="L50" s="20"/>
      <c r="M50" s="20"/>
    </row>
    <row r="51" spans="1:13">
      <c r="A51" s="20"/>
      <c r="B51" s="35">
        <v>2011</v>
      </c>
      <c r="C51" s="36" t="s">
        <v>201</v>
      </c>
      <c r="D51" s="36" t="s">
        <v>202</v>
      </c>
      <c r="E51" s="37">
        <v>0.35780000000000001</v>
      </c>
      <c r="F51" s="27"/>
      <c r="G51" s="27"/>
      <c r="H51" s="20"/>
      <c r="I51" s="20"/>
      <c r="J51" s="20"/>
      <c r="K51" s="20"/>
      <c r="L51" s="20"/>
      <c r="M51" s="20"/>
    </row>
    <row r="52" spans="1:13">
      <c r="A52" s="20"/>
      <c r="B52" s="35">
        <v>2010</v>
      </c>
      <c r="C52" s="36" t="s">
        <v>202</v>
      </c>
      <c r="D52" s="36" t="s">
        <v>203</v>
      </c>
      <c r="E52" s="37">
        <v>0.2107</v>
      </c>
      <c r="F52" s="27"/>
      <c r="G52" s="27"/>
      <c r="H52" s="20"/>
      <c r="I52" s="20"/>
      <c r="J52" s="20"/>
      <c r="K52" s="20"/>
      <c r="L52" s="20"/>
      <c r="M52" s="20"/>
    </row>
    <row r="53" spans="1:13">
      <c r="A53" s="20"/>
      <c r="B53" s="27"/>
      <c r="C53" s="27"/>
      <c r="D53" s="27"/>
      <c r="E53" s="27"/>
      <c r="F53" s="27"/>
      <c r="G53" s="27"/>
      <c r="H53" s="20"/>
      <c r="I53" s="20"/>
      <c r="J53" s="20"/>
      <c r="K53" s="20"/>
      <c r="L53" s="20"/>
      <c r="M53" s="20"/>
    </row>
    <row r="54" spans="1:13">
      <c r="A54" s="20"/>
      <c r="B54" s="27"/>
      <c r="C54" s="27"/>
      <c r="D54" s="27"/>
      <c r="E54" s="27"/>
      <c r="F54" s="27"/>
      <c r="G54" s="27"/>
      <c r="H54" s="20"/>
      <c r="I54" s="20"/>
      <c r="J54" s="20"/>
      <c r="K54" s="20"/>
      <c r="L54" s="20"/>
      <c r="M54" s="20"/>
    </row>
    <row r="55" spans="1:13" ht="20.25">
      <c r="A55" s="20"/>
      <c r="B55" s="126" t="s">
        <v>204</v>
      </c>
      <c r="C55" s="126"/>
      <c r="D55" s="126"/>
      <c r="E55" s="126"/>
      <c r="F55" s="27"/>
      <c r="G55" s="27"/>
      <c r="H55" s="20"/>
      <c r="I55" s="20"/>
      <c r="J55" s="20"/>
      <c r="K55" s="20"/>
      <c r="L55" s="20"/>
      <c r="M55" s="20"/>
    </row>
    <row r="56" spans="1:13">
      <c r="A56" s="20"/>
      <c r="B56" s="27"/>
      <c r="C56" s="27"/>
      <c r="D56" s="27"/>
      <c r="E56" s="27"/>
      <c r="F56" s="27"/>
      <c r="G56" s="27"/>
      <c r="H56" s="20"/>
      <c r="I56" s="20"/>
      <c r="J56" s="20"/>
      <c r="K56" s="20"/>
      <c r="L56" s="20"/>
      <c r="M56" s="20"/>
    </row>
    <row r="57" spans="1:13">
      <c r="A57" s="20"/>
      <c r="B57" s="27"/>
      <c r="C57" s="27"/>
      <c r="D57" s="27"/>
      <c r="E57" s="27"/>
      <c r="F57" s="27"/>
      <c r="G57" s="27"/>
      <c r="H57" s="20"/>
      <c r="I57" s="20"/>
      <c r="J57" s="20"/>
      <c r="K57" s="20"/>
      <c r="L57" s="20"/>
      <c r="M57" s="20"/>
    </row>
    <row r="58" spans="1:13">
      <c r="A58" s="20"/>
      <c r="B58" s="27"/>
      <c r="C58" s="27"/>
      <c r="D58" s="27"/>
      <c r="E58" s="27"/>
      <c r="F58" s="27"/>
      <c r="G58" s="27"/>
      <c r="H58" s="20"/>
      <c r="I58" s="20"/>
      <c r="J58" s="20"/>
      <c r="K58" s="20"/>
      <c r="L58" s="20"/>
      <c r="M58" s="20"/>
    </row>
    <row r="59" spans="1:13">
      <c r="A59" s="20"/>
      <c r="B59" s="27"/>
      <c r="C59" s="27"/>
      <c r="D59" s="27"/>
      <c r="E59" s="27"/>
      <c r="F59" s="27"/>
      <c r="G59" s="27"/>
      <c r="H59" s="20"/>
      <c r="I59" s="20"/>
      <c r="J59" s="20"/>
      <c r="K59" s="20"/>
      <c r="L59" s="20"/>
      <c r="M59" s="20"/>
    </row>
    <row r="60" spans="1:13">
      <c r="A60" s="20"/>
      <c r="B60" s="27"/>
      <c r="C60" s="27"/>
      <c r="D60" s="27"/>
      <c r="E60" s="27"/>
      <c r="F60" s="27"/>
      <c r="G60" s="27"/>
      <c r="H60" s="20"/>
      <c r="I60" s="20"/>
      <c r="J60" s="20"/>
      <c r="K60" s="20"/>
      <c r="L60" s="20"/>
      <c r="M60" s="20"/>
    </row>
    <row r="61" spans="1:13" ht="20.25">
      <c r="A61" s="20"/>
      <c r="B61" s="126" t="s">
        <v>205</v>
      </c>
      <c r="C61" s="126"/>
      <c r="D61" s="126"/>
      <c r="E61" s="126"/>
      <c r="F61" s="27"/>
      <c r="G61" s="27"/>
      <c r="H61" s="20"/>
      <c r="I61" s="20"/>
      <c r="J61" s="20"/>
      <c r="K61" s="20"/>
      <c r="L61" s="20"/>
      <c r="M61" s="20"/>
    </row>
    <row r="62" spans="1:13">
      <c r="A62" s="20"/>
      <c r="B62" s="27"/>
      <c r="C62" s="27"/>
      <c r="D62" s="27"/>
      <c r="E62" s="27"/>
      <c r="F62" s="27"/>
      <c r="G62" s="27"/>
      <c r="H62" s="20"/>
      <c r="I62" s="20"/>
      <c r="J62" s="20"/>
      <c r="K62" s="20"/>
      <c r="L62" s="20"/>
      <c r="M62" s="20"/>
    </row>
    <row r="63" spans="1:13">
      <c r="A63" s="20"/>
      <c r="B63" s="27"/>
      <c r="C63" s="27"/>
      <c r="D63" s="27"/>
      <c r="E63" s="27"/>
      <c r="F63" s="27"/>
      <c r="G63" s="27"/>
      <c r="H63" s="20"/>
      <c r="I63" s="20"/>
      <c r="J63" s="20"/>
      <c r="K63" s="20" t="s">
        <v>13</v>
      </c>
      <c r="L63" s="20"/>
      <c r="M63" s="20"/>
    </row>
    <row r="64" spans="1:13">
      <c r="A64" s="20"/>
      <c r="B64" s="27"/>
      <c r="C64" s="27"/>
      <c r="D64" s="27"/>
      <c r="E64" s="123" t="s">
        <v>206</v>
      </c>
      <c r="F64" s="124"/>
      <c r="G64" s="27"/>
      <c r="H64" s="20"/>
      <c r="I64" s="20"/>
      <c r="J64" s="20"/>
      <c r="K64" s="20"/>
      <c r="L64" s="20"/>
      <c r="M64" s="20"/>
    </row>
    <row r="65" spans="1:13">
      <c r="A65" s="20"/>
      <c r="B65" s="39" t="s">
        <v>26</v>
      </c>
      <c r="C65" s="38" t="s">
        <v>207</v>
      </c>
      <c r="D65" s="38" t="s">
        <v>208</v>
      </c>
      <c r="E65" s="40" t="s">
        <v>209</v>
      </c>
      <c r="F65" s="40" t="s">
        <v>210</v>
      </c>
      <c r="G65" s="38" t="s">
        <v>150</v>
      </c>
      <c r="H65" s="20"/>
      <c r="I65" s="20"/>
      <c r="J65" s="20"/>
      <c r="K65" s="20"/>
      <c r="L65" s="20"/>
      <c r="M65" s="20"/>
    </row>
    <row r="66" spans="1:13">
      <c r="A66" s="20"/>
      <c r="B66" s="41">
        <v>2021</v>
      </c>
      <c r="C66" s="42" t="s">
        <v>211</v>
      </c>
      <c r="D66" s="42" t="s">
        <v>212</v>
      </c>
      <c r="E66" s="42">
        <v>7913.49</v>
      </c>
      <c r="F66" s="42">
        <v>3387.41</v>
      </c>
      <c r="G66" s="42" t="s">
        <v>152</v>
      </c>
      <c r="H66" s="20"/>
      <c r="I66" s="20"/>
      <c r="J66" s="20"/>
      <c r="K66" s="20"/>
      <c r="L66" s="20"/>
      <c r="M66" s="20"/>
    </row>
    <row r="67" spans="1:13">
      <c r="A67" s="20"/>
      <c r="B67" s="41">
        <v>2020</v>
      </c>
      <c r="C67" s="42" t="s">
        <v>213</v>
      </c>
      <c r="D67" s="42" t="s">
        <v>214</v>
      </c>
      <c r="E67" s="42">
        <v>1312.42</v>
      </c>
      <c r="F67" s="42">
        <v>983.53</v>
      </c>
      <c r="G67" s="42" t="s">
        <v>154</v>
      </c>
      <c r="H67" s="20"/>
      <c r="I67" s="20"/>
      <c r="J67" s="20"/>
      <c r="K67" s="20"/>
      <c r="L67" s="20"/>
      <c r="M67" s="20"/>
    </row>
    <row r="68" spans="1:13">
      <c r="A68" s="20"/>
      <c r="B68" s="41">
        <v>2019</v>
      </c>
      <c r="C68" s="42" t="s">
        <v>215</v>
      </c>
      <c r="D68" s="42" t="s">
        <v>216</v>
      </c>
      <c r="E68" s="42">
        <v>1048.28</v>
      </c>
      <c r="F68" s="42">
        <v>1420.81</v>
      </c>
      <c r="G68" s="42" t="s">
        <v>156</v>
      </c>
      <c r="H68" s="20"/>
      <c r="I68" s="20"/>
      <c r="J68" s="20"/>
      <c r="K68" s="20"/>
      <c r="L68" s="20"/>
      <c r="M68" s="20"/>
    </row>
    <row r="69" spans="1:13">
      <c r="A69" s="20"/>
      <c r="B69" s="41">
        <v>2018</v>
      </c>
      <c r="C69" s="42" t="s">
        <v>217</v>
      </c>
      <c r="D69" s="42" t="s">
        <v>218</v>
      </c>
      <c r="E69" s="42">
        <v>1299.08</v>
      </c>
      <c r="F69" s="42">
        <v>1239.8599999999999</v>
      </c>
      <c r="G69" s="42" t="s">
        <v>158</v>
      </c>
      <c r="H69" s="20"/>
      <c r="I69" s="20"/>
      <c r="J69" s="20"/>
      <c r="K69" s="20"/>
      <c r="L69" s="20"/>
      <c r="M69" s="20"/>
    </row>
    <row r="70" spans="1:13">
      <c r="A70" s="20"/>
      <c r="B70" s="41">
        <v>2017</v>
      </c>
      <c r="C70" s="42" t="s">
        <v>219</v>
      </c>
      <c r="D70" s="42" t="s">
        <v>220</v>
      </c>
      <c r="E70" s="42">
        <v>2341.21</v>
      </c>
      <c r="F70" s="42">
        <v>2515.39</v>
      </c>
      <c r="G70" s="42" t="s">
        <v>160</v>
      </c>
      <c r="H70" s="20"/>
      <c r="I70" s="20"/>
      <c r="J70" s="20"/>
      <c r="K70" s="20"/>
      <c r="L70" s="20"/>
      <c r="M70" s="20"/>
    </row>
    <row r="71" spans="1:13">
      <c r="A71" s="20"/>
      <c r="B71" s="41">
        <v>2016</v>
      </c>
      <c r="C71" s="42" t="s">
        <v>221</v>
      </c>
      <c r="D71" s="42" t="s">
        <v>222</v>
      </c>
      <c r="E71" s="42">
        <v>348.39</v>
      </c>
      <c r="F71" s="42">
        <v>1298.4100000000001</v>
      </c>
      <c r="G71" s="42" t="s">
        <v>162</v>
      </c>
      <c r="H71" s="20"/>
      <c r="I71" s="20"/>
      <c r="J71" s="20"/>
      <c r="K71" s="20"/>
      <c r="L71" s="20"/>
      <c r="M71" s="20"/>
    </row>
    <row r="72" spans="1:13">
      <c r="A72" s="20"/>
      <c r="B72" s="41">
        <v>2015</v>
      </c>
      <c r="C72" s="42" t="s">
        <v>223</v>
      </c>
      <c r="D72" s="42" t="s">
        <v>224</v>
      </c>
      <c r="E72" s="42">
        <v>104.31</v>
      </c>
      <c r="F72" s="42">
        <v>488.97</v>
      </c>
      <c r="G72" s="42" t="s">
        <v>164</v>
      </c>
      <c r="H72" s="20"/>
      <c r="I72" s="20"/>
      <c r="J72" s="20"/>
      <c r="K72" s="20"/>
      <c r="L72" s="20"/>
      <c r="M72" s="20"/>
    </row>
    <row r="73" spans="1:13">
      <c r="A73" s="20"/>
      <c r="B73" s="41">
        <v>2014</v>
      </c>
      <c r="C73" s="42" t="s">
        <v>225</v>
      </c>
      <c r="D73" s="42" t="s">
        <v>226</v>
      </c>
      <c r="E73" s="42">
        <v>620.4</v>
      </c>
      <c r="F73" s="42">
        <v>473.99</v>
      </c>
      <c r="G73" s="42" t="s">
        <v>166</v>
      </c>
      <c r="H73" s="20"/>
      <c r="I73" s="20"/>
      <c r="J73" s="20"/>
      <c r="K73" s="20"/>
      <c r="L73" s="20"/>
      <c r="M73" s="20"/>
    </row>
    <row r="74" spans="1:13">
      <c r="A74" s="20"/>
      <c r="B74" s="41">
        <v>2013</v>
      </c>
      <c r="C74" s="42" t="s">
        <v>227</v>
      </c>
      <c r="D74" s="42" t="s">
        <v>228</v>
      </c>
      <c r="E74" s="42">
        <v>227.48</v>
      </c>
      <c r="F74" s="42">
        <v>3380.73</v>
      </c>
      <c r="G74" s="43" t="s">
        <v>168</v>
      </c>
      <c r="H74" s="20"/>
      <c r="I74" s="20"/>
      <c r="J74" s="20"/>
      <c r="K74" s="20"/>
      <c r="L74" s="20"/>
      <c r="M74" s="20"/>
    </row>
    <row r="75" spans="1:13">
      <c r="A75" s="20"/>
      <c r="B75" s="41">
        <v>2012</v>
      </c>
      <c r="C75" s="42" t="s">
        <v>229</v>
      </c>
      <c r="D75" s="42" t="s">
        <v>230</v>
      </c>
      <c r="E75" s="42">
        <v>900.97</v>
      </c>
      <c r="F75" s="42">
        <v>249.72</v>
      </c>
      <c r="G75" s="42" t="s">
        <v>170</v>
      </c>
      <c r="H75" s="20"/>
      <c r="I75" s="20"/>
      <c r="J75" s="20"/>
      <c r="K75" s="20"/>
      <c r="L75" s="20"/>
      <c r="M75" s="20"/>
    </row>
    <row r="76" spans="1:13">
      <c r="A76" s="20"/>
      <c r="B76" s="41">
        <v>2011</v>
      </c>
      <c r="C76" s="42" t="s">
        <v>231</v>
      </c>
      <c r="D76" s="42" t="s">
        <v>232</v>
      </c>
      <c r="E76" s="42">
        <v>803.73</v>
      </c>
      <c r="F76" s="42">
        <v>472.67</v>
      </c>
      <c r="G76" s="42" t="s">
        <v>172</v>
      </c>
      <c r="H76" s="20"/>
      <c r="I76" s="20"/>
      <c r="J76" s="20"/>
      <c r="K76" s="20"/>
      <c r="L76" s="20"/>
      <c r="M76" s="20"/>
    </row>
  </sheetData>
  <mergeCells count="7">
    <mergeCell ref="E64:F64"/>
    <mergeCell ref="B2:E2"/>
    <mergeCell ref="B4:E4"/>
    <mergeCell ref="B21:E21"/>
    <mergeCell ref="B38:E38"/>
    <mergeCell ref="B55:E55"/>
    <mergeCell ref="B61:E61"/>
  </mergeCell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56F4A060A3B3F6449A144F18AACDD7E5" ma:contentTypeVersion="7" ma:contentTypeDescription="Create a new document." ma:contentTypeScope="" ma:versionID="5827f9cd87143ecd52be8ca9c71cabf8">
  <xsd:schema xmlns:xsd="http://www.w3.org/2001/XMLSchema" xmlns:xs="http://www.w3.org/2001/XMLSchema" xmlns:p="http://schemas.microsoft.com/office/2006/metadata/properties" xmlns:ns3="4ff62397-02ef-4e96-a337-1c5f0e24d1aa" xmlns:ns4="840f0f73-1d2e-49bc-8075-873f3fbadcb3" targetNamespace="http://schemas.microsoft.com/office/2006/metadata/properties" ma:root="true" ma:fieldsID="414e56ba1951354752c2e08a9ec645d0" ns3:_="" ns4:_="">
    <xsd:import namespace="4ff62397-02ef-4e96-a337-1c5f0e24d1aa"/>
    <xsd:import namespace="840f0f73-1d2e-49bc-8075-873f3fbadcb3"/>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AutoKeyPoints" minOccurs="0"/>
                <xsd:element ref="ns4: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ff62397-02ef-4e96-a337-1c5f0e24d1aa"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SharingHintHash" ma:index="10" nillable="true" ma:displayName="Sharing Hint Hash"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40f0f73-1d2e-49bc-8075-873f3fbadcb3"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761FD26-6CFC-428F-A301-3ED11C69EF6A}"/>
</file>

<file path=customXml/itemProps2.xml><?xml version="1.0" encoding="utf-8"?>
<ds:datastoreItem xmlns:ds="http://schemas.openxmlformats.org/officeDocument/2006/customXml" ds:itemID="{48234036-E968-4D20-A06B-08839F14096B}"/>
</file>

<file path=customXml/itemProps3.xml><?xml version="1.0" encoding="utf-8"?>
<ds:datastoreItem xmlns:ds="http://schemas.openxmlformats.org/officeDocument/2006/customXml" ds:itemID="{325E9AD9-C8F0-443A-A389-E98E287B0AFA}"/>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Avantika Arvind</dc:creator>
  <cp:keywords/>
  <dc:description/>
  <cp:lastModifiedBy/>
  <cp:revision/>
  <dcterms:created xsi:type="dcterms:W3CDTF">2021-12-29T17:05:51Z</dcterms:created>
  <dcterms:modified xsi:type="dcterms:W3CDTF">2022-01-02T14:26:19Z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0x01010056F4A060A3B3F6449A144F18AACDD7E5</vt:lpwstr>
  </property>
</Properties>
</file>