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40"/>
  </bookViews>
  <sheets>
    <sheet name="EXPENSES" sheetId="1" r:id="rId1"/>
    <sheet name="INCOME" sheetId="2" r:id="rId2"/>
    <sheet name="QUESTION 1" sheetId="3" r:id="rId3"/>
    <sheet name="QUESTION 3 CALCULATIONS" sheetId="4" r:id="rId4"/>
    <sheet name="QUESTION 2" sheetId="5" r:id="rId5"/>
  </sheets>
  <calcPr calcId="144525"/>
</workbook>
</file>

<file path=xl/sharedStrings.xml><?xml version="1.0" encoding="utf-8"?>
<sst xmlns="http://schemas.openxmlformats.org/spreadsheetml/2006/main" count="158">
  <si>
    <t>WITH ALTERNIUM (EXPENSES)</t>
  </si>
  <si>
    <t>WITHOUT ALTERNIUM (EXPENSES)</t>
  </si>
  <si>
    <t>INITIAL EXPENSES</t>
  </si>
  <si>
    <t xml:space="preserve">INITIAL EXPENSES </t>
  </si>
  <si>
    <t>R&amp;D Expenses</t>
  </si>
  <si>
    <t>Introductory costs</t>
  </si>
  <si>
    <t xml:space="preserve">Year 0 </t>
  </si>
  <si>
    <t>Year 10</t>
  </si>
  <si>
    <t>Cost per unit( old participants )</t>
  </si>
  <si>
    <t>Cost per unit (old participants )</t>
  </si>
  <si>
    <t>US growth rate</t>
  </si>
  <si>
    <t xml:space="preserve">International growth rate </t>
  </si>
  <si>
    <t xml:space="preserve">international </t>
  </si>
  <si>
    <t xml:space="preserve">Inflation rate </t>
  </si>
  <si>
    <t xml:space="preserve">US &amp; Russia </t>
  </si>
  <si>
    <t xml:space="preserve">Cost </t>
  </si>
  <si>
    <t xml:space="preserve">International </t>
  </si>
  <si>
    <t>TOTAL COST</t>
  </si>
  <si>
    <t xml:space="preserve">US % Russia </t>
  </si>
  <si>
    <t xml:space="preserve">Total cost </t>
  </si>
  <si>
    <t>year 0</t>
  </si>
  <si>
    <t xml:space="preserve">Year 1 </t>
  </si>
  <si>
    <t>year 1</t>
  </si>
  <si>
    <t>Year 2</t>
  </si>
  <si>
    <t>year 2</t>
  </si>
  <si>
    <t xml:space="preserve">Year 3 </t>
  </si>
  <si>
    <t>year 3</t>
  </si>
  <si>
    <t xml:space="preserve">Year 4 </t>
  </si>
  <si>
    <t>year 4</t>
  </si>
  <si>
    <t xml:space="preserve">Year 5 </t>
  </si>
  <si>
    <t>year 5</t>
  </si>
  <si>
    <t xml:space="preserve">Year 6 </t>
  </si>
  <si>
    <t>year 6</t>
  </si>
  <si>
    <t xml:space="preserve">Year 7 </t>
  </si>
  <si>
    <t>year 7</t>
  </si>
  <si>
    <t xml:space="preserve">Year 8 </t>
  </si>
  <si>
    <t>year 8</t>
  </si>
  <si>
    <t xml:space="preserve">Year 9 </t>
  </si>
  <si>
    <t>year 9</t>
  </si>
  <si>
    <t>year 10</t>
  </si>
  <si>
    <t xml:space="preserve">international cost </t>
  </si>
  <si>
    <t>Cost per Unit (new participants)</t>
  </si>
  <si>
    <t>International Customer</t>
  </si>
  <si>
    <t>]</t>
  </si>
  <si>
    <t xml:space="preserve"> Year 1 </t>
  </si>
  <si>
    <t xml:space="preserve"> Year 2 </t>
  </si>
  <si>
    <t xml:space="preserve">v </t>
  </si>
  <si>
    <t xml:space="preserve"> year 3 </t>
  </si>
  <si>
    <t xml:space="preserve"> Year 4 </t>
  </si>
  <si>
    <t xml:space="preserve">Year 10 </t>
  </si>
  <si>
    <t xml:space="preserve">Server facilities and cost </t>
  </si>
  <si>
    <t>Server facilites cost without alternium</t>
  </si>
  <si>
    <t xml:space="preserve">Percent full </t>
  </si>
  <si>
    <t xml:space="preserve">Current international participants </t>
  </si>
  <si>
    <t xml:space="preserve">Total capacity </t>
  </si>
  <si>
    <t>Inflation</t>
  </si>
  <si>
    <t xml:space="preserve">Total international participants </t>
  </si>
  <si>
    <t>Total international participants</t>
  </si>
  <si>
    <t>Year 1</t>
  </si>
  <si>
    <t>Year 3</t>
  </si>
  <si>
    <t>Year 4</t>
  </si>
  <si>
    <t>Year 5</t>
  </si>
  <si>
    <t>Year 6</t>
  </si>
  <si>
    <t xml:space="preserve">G&amp;A Expenses </t>
  </si>
  <si>
    <t xml:space="preserve">old cost growth rate </t>
  </si>
  <si>
    <t xml:space="preserve">additonal growth rate </t>
  </si>
  <si>
    <t xml:space="preserve">Old cost </t>
  </si>
  <si>
    <t xml:space="preserve">New cost </t>
  </si>
  <si>
    <t xml:space="preserve">Additional cost </t>
  </si>
  <si>
    <t xml:space="preserve">New Cost </t>
  </si>
  <si>
    <t xml:space="preserve">Total Cost </t>
  </si>
  <si>
    <t xml:space="preserve">Year 2 </t>
  </si>
  <si>
    <t xml:space="preserve"> Year 3 </t>
  </si>
  <si>
    <t xml:space="preserve"> Year 5 </t>
  </si>
  <si>
    <t xml:space="preserve"> Year 6 </t>
  </si>
  <si>
    <t xml:space="preserve"> Year 7 </t>
  </si>
  <si>
    <t xml:space="preserve"> Year 8 </t>
  </si>
  <si>
    <t xml:space="preserve"> Year 9 </t>
  </si>
  <si>
    <t xml:space="preserve"> Year 10 </t>
  </si>
  <si>
    <t>Advertising expenses (15%HIGHER)</t>
  </si>
  <si>
    <t>Advertising expenses</t>
  </si>
  <si>
    <t>Cost</t>
  </si>
  <si>
    <t xml:space="preserve">increase rate </t>
  </si>
  <si>
    <t xml:space="preserve">Working capital  requirement </t>
  </si>
  <si>
    <t xml:space="preserve">Working capital requirement </t>
  </si>
  <si>
    <t>conversion charges</t>
  </si>
  <si>
    <t xml:space="preserve">inventory charges </t>
  </si>
  <si>
    <t xml:space="preserve">accounts payable </t>
  </si>
  <si>
    <t xml:space="preserve">Conversion </t>
  </si>
  <si>
    <t xml:space="preserve">Inventory </t>
  </si>
  <si>
    <t xml:space="preserve">Accounts Payable </t>
  </si>
  <si>
    <t xml:space="preserve">Total </t>
  </si>
  <si>
    <t>Conversion</t>
  </si>
  <si>
    <t>Inventory</t>
  </si>
  <si>
    <t>Year 7</t>
  </si>
  <si>
    <t>Year 8</t>
  </si>
  <si>
    <t>Year 9</t>
  </si>
  <si>
    <t xml:space="preserve">Total expense with alternium </t>
  </si>
  <si>
    <t>Total expense without alternium</t>
  </si>
  <si>
    <t>Total expense</t>
  </si>
  <si>
    <t>Total Expense</t>
  </si>
  <si>
    <t>Year 0</t>
  </si>
  <si>
    <t xml:space="preserve"> </t>
  </si>
  <si>
    <t xml:space="preserve">WITH ALTERNIUM (INCOME) </t>
  </si>
  <si>
    <t xml:space="preserve">WITHOUT ALTERNIUM </t>
  </si>
  <si>
    <t xml:space="preserve">Old participants revenue </t>
  </si>
  <si>
    <t xml:space="preserve">us growth </t>
  </si>
  <si>
    <t>inflation</t>
  </si>
  <si>
    <t xml:space="preserve">international growth </t>
  </si>
  <si>
    <t xml:space="preserve">US and Russia </t>
  </si>
  <si>
    <t>Total</t>
  </si>
  <si>
    <t>cost per customer</t>
  </si>
  <si>
    <t xml:space="preserve">Total Revenue </t>
  </si>
  <si>
    <t xml:space="preserve">Cost per customer </t>
  </si>
  <si>
    <t xml:space="preserve">New participants revenue </t>
  </si>
  <si>
    <t xml:space="preserve">International    </t>
  </si>
  <si>
    <t xml:space="preserve">Charges </t>
  </si>
  <si>
    <t xml:space="preserve">Revenue from side benefits </t>
  </si>
  <si>
    <t xml:space="preserve">Side Benefit </t>
  </si>
  <si>
    <t xml:space="preserve">TOTAL REVENUE WITH ALTERNIUM </t>
  </si>
  <si>
    <t xml:space="preserve">TOTAL REVENUE WITHOUT ALTERNIUM </t>
  </si>
  <si>
    <t xml:space="preserve">Total revenue   </t>
  </si>
  <si>
    <t xml:space="preserve">TAX RATE </t>
  </si>
  <si>
    <t xml:space="preserve">WITH ALTERNIUM </t>
  </si>
  <si>
    <t xml:space="preserve">YEAR </t>
  </si>
  <si>
    <t>TOTAL INFLOW</t>
  </si>
  <si>
    <t>TOTAL OUTFLOW</t>
  </si>
  <si>
    <t xml:space="preserve">NET CASH FLOW </t>
  </si>
  <si>
    <t>DEPRICIATION</t>
  </si>
  <si>
    <t>TAXABLE AMOUNT</t>
  </si>
  <si>
    <t>AFTER TAX AMOUNT</t>
  </si>
  <si>
    <t>WITHOUT ALTERNIUM</t>
  </si>
  <si>
    <t xml:space="preserve">TOTAL INFLOW </t>
  </si>
  <si>
    <t>YEARS</t>
  </si>
  <si>
    <t>OLD PARTICIPANTS</t>
  </si>
  <si>
    <t xml:space="preserve">COST </t>
  </si>
  <si>
    <t>REVENUE</t>
  </si>
  <si>
    <t>NEW PARTICIPANTS</t>
  </si>
  <si>
    <t>COST</t>
  </si>
  <si>
    <t xml:space="preserve">REVENUE </t>
  </si>
  <si>
    <t>SIDE BENEFITS</t>
  </si>
  <si>
    <t xml:space="preserve">TOTAL OUTFLOW </t>
  </si>
  <si>
    <t>INTRODUCTION</t>
  </si>
  <si>
    <t>R&amp;D</t>
  </si>
  <si>
    <t xml:space="preserve">G &amp; A </t>
  </si>
  <si>
    <t>SERVER FEE</t>
  </si>
  <si>
    <t>NEW PARTIICIPANTS</t>
  </si>
  <si>
    <t>ADVERTISEMENTS</t>
  </si>
  <si>
    <t>NEW SERVERS</t>
  </si>
  <si>
    <t xml:space="preserve"> WORKING CAPITAL</t>
  </si>
  <si>
    <t xml:space="preserve">TOTAL </t>
  </si>
  <si>
    <t>G&amp;A EXPENSES</t>
  </si>
  <si>
    <t xml:space="preserve">OLD COST </t>
  </si>
  <si>
    <t xml:space="preserve">NEW COST </t>
  </si>
  <si>
    <t xml:space="preserve">ADDITONAL COST </t>
  </si>
  <si>
    <t>CASHFLOW</t>
  </si>
  <si>
    <t xml:space="preserve">NPV AT </t>
  </si>
  <si>
    <t>VALUE</t>
  </si>
</sst>
</file>

<file path=xl/styles.xml><?xml version="1.0" encoding="utf-8"?>
<styleSheet xmlns="http://schemas.openxmlformats.org/spreadsheetml/2006/main">
  <numFmts count="12">
    <numFmt numFmtId="176" formatCode="0.0_ "/>
    <numFmt numFmtId="177" formatCode="0.0000_ "/>
    <numFmt numFmtId="178" formatCode="_-* #,##0.00_-;\-* #,##0.00_-;_-* &quot;-&quot;??.0_-;_-@_-"/>
    <numFmt numFmtId="179" formatCode="0.00000_ "/>
    <numFmt numFmtId="180" formatCode="0.000_ "/>
    <numFmt numFmtId="181" formatCode="0_ "/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82" formatCode="0.00_);[Red]\(0.00\)"/>
    <numFmt numFmtId="183" formatCode="_-* #,##0_-;\-* #,##0_-;_-* &quot;-&quot;??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9" tint="0.6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3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19" fillId="34" borderId="1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13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181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182" fontId="0" fillId="0" borderId="1" xfId="0" applyNumberFormat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0" fontId="0" fillId="0" borderId="3" xfId="0" applyBorder="1">
      <alignment vertical="center"/>
    </xf>
    <xf numFmtId="181" fontId="0" fillId="0" borderId="5" xfId="0" applyNumberFormat="1" applyBorder="1">
      <alignment vertical="center"/>
    </xf>
    <xf numFmtId="181" fontId="0" fillId="0" borderId="3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6" xfId="0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181" fontId="0" fillId="0" borderId="8" xfId="0" applyNumberFormat="1" applyBorder="1">
      <alignment vertical="center"/>
    </xf>
    <xf numFmtId="181" fontId="0" fillId="0" borderId="6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9" fontId="0" fillId="0" borderId="10" xfId="0" applyNumberFormat="1" applyBorder="1">
      <alignment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9" fontId="0" fillId="0" borderId="0" xfId="0" applyNumberFormat="1">
      <alignment vertical="center"/>
    </xf>
    <xf numFmtId="180" fontId="0" fillId="0" borderId="1" xfId="0" applyNumberFormat="1" applyBorder="1">
      <alignment vertical="center"/>
    </xf>
    <xf numFmtId="0" fontId="0" fillId="6" borderId="1" xfId="0" applyFill="1" applyBorder="1" applyAlignment="1">
      <alignment horizontal="center" vertical="center"/>
    </xf>
    <xf numFmtId="10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81" fontId="0" fillId="0" borderId="1" xfId="0" applyNumberFormat="1" applyBorder="1">
      <alignment vertical="center"/>
    </xf>
    <xf numFmtId="183" fontId="0" fillId="0" borderId="1" xfId="45" applyNumberFormat="1" applyBorder="1">
      <alignment vertical="center"/>
    </xf>
    <xf numFmtId="178" fontId="0" fillId="0" borderId="0" xfId="45" applyNumberFormat="1">
      <alignment vertical="center"/>
    </xf>
    <xf numFmtId="178" fontId="0" fillId="0" borderId="1" xfId="45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11" xfId="0" applyFill="1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8" borderId="1" xfId="0" applyFill="1" applyBorder="1">
      <alignment vertical="center"/>
    </xf>
    <xf numFmtId="181" fontId="0" fillId="8" borderId="1" xfId="0" applyNumberFormat="1" applyFill="1" applyBorder="1">
      <alignment vertical="center"/>
    </xf>
    <xf numFmtId="0" fontId="0" fillId="7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77" fontId="0" fillId="0" borderId="1" xfId="0" applyNumberFormat="1" applyBorder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Accent2" xfId="16" builtinId="33"/>
    <cellStyle name="40% - Accent1" xfId="17" builtinId="31"/>
    <cellStyle name="20% - Accent1" xfId="18" builtinId="30"/>
    <cellStyle name="Accent1" xfId="19" builtinId="29"/>
    <cellStyle name="Neutral" xfId="20" builtinId="28"/>
    <cellStyle name="60% - Accent1" xfId="21" builtinId="32"/>
    <cellStyle name="Bad" xfId="22" builtinId="27"/>
    <cellStyle name="20% - Accent4" xfId="23" builtinId="42"/>
    <cellStyle name="Total" xfId="24" builtinId="25"/>
    <cellStyle name="Output" xfId="25" builtinId="21"/>
    <cellStyle name="Currency" xfId="26" builtinId="4"/>
    <cellStyle name="20% - Accent3" xfId="27" builtinId="38"/>
    <cellStyle name="Note" xfId="28" builtinId="10"/>
    <cellStyle name="Input" xfId="29" builtinId="20"/>
    <cellStyle name="Heading 4" xfId="30" builtinId="19"/>
    <cellStyle name="Calculation" xfId="31" builtinId="22"/>
    <cellStyle name="Good" xfId="32" builtinId="26"/>
    <cellStyle name="Heading 3" xfId="33" builtinId="18"/>
    <cellStyle name="CExplanatory Text" xfId="34" builtinId="53"/>
    <cellStyle name="Heading 1" xfId="35" builtinId="16"/>
    <cellStyle name="Comma [0]" xfId="36" builtinId="6"/>
    <cellStyle name="20% - Accent6" xfId="37" builtinId="50"/>
    <cellStyle name="Title" xfId="38" builtinId="15"/>
    <cellStyle name="Currency [0]" xfId="39" builtinId="7"/>
    <cellStyle name="Warning Text" xfId="40" builtinId="11"/>
    <cellStyle name="Followed Hyperlink" xfId="41" builtinId="9"/>
    <cellStyle name="20% - Accent2" xfId="42" builtinId="34"/>
    <cellStyle name="Link" xfId="43" builtinId="8"/>
    <cellStyle name="Heading 2" xfId="44" builtinId="17"/>
    <cellStyle name="Comma" xfId="45" builtinId="3"/>
    <cellStyle name="Check Cell" xfId="46" builtinId="23"/>
    <cellStyle name="60% - Accent3" xfId="47" builtinId="40"/>
    <cellStyle name="Percent" xfId="48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3:P125"/>
  <sheetViews>
    <sheetView tabSelected="1" zoomScale="73" zoomScaleNormal="73" workbookViewId="0">
      <selection activeCell="F16" sqref="F16:G16"/>
    </sheetView>
  </sheetViews>
  <sheetFormatPr defaultColWidth="9" defaultRowHeight="14"/>
  <cols>
    <col min="1" max="1" width="11.84375" customWidth="1"/>
    <col min="2" max="2" width="24.0703125" customWidth="1"/>
    <col min="3" max="3" width="15.484375" customWidth="1"/>
    <col min="4" max="4" width="19.1328125" customWidth="1"/>
    <col min="5" max="5" width="13.796875" customWidth="1"/>
    <col min="6" max="6" width="13.9296875" customWidth="1"/>
    <col min="7" max="7" width="10.28125" customWidth="1"/>
    <col min="11" max="11" width="22.1015625" customWidth="1"/>
    <col min="12" max="12" width="12.7578125" customWidth="1"/>
    <col min="13" max="13" width="15.359375" customWidth="1"/>
    <col min="14" max="14" width="11.9765625" customWidth="1"/>
    <col min="15" max="15" width="10.8046875" customWidth="1"/>
  </cols>
  <sheetData>
    <row r="3" spans="1:16">
      <c r="A3" s="44" t="s">
        <v>0</v>
      </c>
      <c r="B3" s="45"/>
      <c r="C3" s="45"/>
      <c r="D3" s="45"/>
      <c r="E3" s="45"/>
      <c r="F3" s="45"/>
      <c r="G3" s="69"/>
      <c r="J3" s="77" t="s">
        <v>1</v>
      </c>
      <c r="K3" s="78"/>
      <c r="L3" s="78"/>
      <c r="M3" s="78"/>
      <c r="N3" s="78"/>
      <c r="O3" s="78"/>
      <c r="P3" s="79"/>
    </row>
    <row r="4" spans="3:6">
      <c r="C4" s="46"/>
      <c r="D4" s="46"/>
      <c r="E4" s="46"/>
      <c r="F4" s="46"/>
    </row>
    <row r="5" spans="3:14">
      <c r="C5" s="47" t="s">
        <v>2</v>
      </c>
      <c r="D5" s="47"/>
      <c r="L5" s="37" t="s">
        <v>3</v>
      </c>
      <c r="M5" s="37"/>
      <c r="N5" s="37"/>
    </row>
    <row r="6" spans="3:14">
      <c r="C6" s="48" t="s">
        <v>4</v>
      </c>
      <c r="D6" s="49">
        <v>150</v>
      </c>
      <c r="L6" s="7" t="s">
        <v>4</v>
      </c>
      <c r="M6" s="7"/>
      <c r="N6" s="2">
        <v>150</v>
      </c>
    </row>
    <row r="7" spans="3:4">
      <c r="C7" s="50" t="s">
        <v>5</v>
      </c>
      <c r="D7" s="50"/>
    </row>
    <row r="8" spans="3:4">
      <c r="C8" s="51" t="s">
        <v>6</v>
      </c>
      <c r="D8" s="51">
        <v>1000</v>
      </c>
    </row>
    <row r="9" spans="3:4">
      <c r="C9" s="51" t="s">
        <v>7</v>
      </c>
      <c r="D9" s="51">
        <v>200</v>
      </c>
    </row>
    <row r="11" spans="1:16">
      <c r="A11" s="52" t="s">
        <v>8</v>
      </c>
      <c r="B11" s="53"/>
      <c r="C11" s="53"/>
      <c r="D11" s="53"/>
      <c r="E11" s="70"/>
      <c r="J11" s="25" t="s">
        <v>9</v>
      </c>
      <c r="K11" s="25"/>
      <c r="L11" s="25"/>
      <c r="M11" s="25"/>
      <c r="N11" s="25"/>
      <c r="O11" s="25"/>
      <c r="P11" s="25"/>
    </row>
    <row r="12" spans="2:14">
      <c r="B12" t="s">
        <v>10</v>
      </c>
      <c r="C12" s="35">
        <v>0.05</v>
      </c>
      <c r="D12" t="s">
        <v>11</v>
      </c>
      <c r="E12" s="35">
        <v>0.1</v>
      </c>
      <c r="M12" t="s">
        <v>12</v>
      </c>
      <c r="N12" s="35">
        <v>0.08</v>
      </c>
    </row>
    <row r="13" spans="4:5">
      <c r="D13" t="s">
        <v>13</v>
      </c>
      <c r="E13" s="38">
        <v>0.015</v>
      </c>
    </row>
    <row r="15" spans="1:15">
      <c r="A15" s="54"/>
      <c r="B15" s="54" t="s">
        <v>14</v>
      </c>
      <c r="C15" s="55" t="s">
        <v>15</v>
      </c>
      <c r="D15" s="54" t="s">
        <v>16</v>
      </c>
      <c r="E15" s="54" t="s">
        <v>15</v>
      </c>
      <c r="F15" s="55" t="s">
        <v>17</v>
      </c>
      <c r="G15" s="55"/>
      <c r="J15" s="1"/>
      <c r="K15" s="1" t="s">
        <v>18</v>
      </c>
      <c r="L15" s="1" t="s">
        <v>15</v>
      </c>
      <c r="M15" s="1" t="s">
        <v>16</v>
      </c>
      <c r="N15" s="1" t="s">
        <v>15</v>
      </c>
      <c r="O15" s="1" t="s">
        <v>19</v>
      </c>
    </row>
    <row r="16" spans="1:15">
      <c r="A16" s="51" t="s">
        <v>6</v>
      </c>
      <c r="B16" s="56">
        <v>45</v>
      </c>
      <c r="C16" s="57">
        <v>36</v>
      </c>
      <c r="D16" s="51">
        <v>30</v>
      </c>
      <c r="E16" s="51">
        <v>48</v>
      </c>
      <c r="F16" s="71"/>
      <c r="G16" s="72"/>
      <c r="J16" s="2" t="s">
        <v>20</v>
      </c>
      <c r="K16" s="2">
        <v>45</v>
      </c>
      <c r="L16" s="2">
        <f>36</f>
        <v>36</v>
      </c>
      <c r="M16" s="2">
        <v>30</v>
      </c>
      <c r="N16" s="2">
        <f>48</f>
        <v>48</v>
      </c>
      <c r="O16" s="3">
        <f>(K16*L16)+M16*N16</f>
        <v>3060</v>
      </c>
    </row>
    <row r="17" spans="1:15">
      <c r="A17" s="51" t="s">
        <v>21</v>
      </c>
      <c r="B17" s="56">
        <f>B16*(1+$C$12)</f>
        <v>47.25</v>
      </c>
      <c r="C17" s="57">
        <f>C16*(1+$E$13)</f>
        <v>36.54</v>
      </c>
      <c r="D17" s="56">
        <f>D16*(1+$E$12)</f>
        <v>33</v>
      </c>
      <c r="E17" s="73">
        <f>E16*(1+$E$13)</f>
        <v>48.72</v>
      </c>
      <c r="F17" s="71">
        <f t="shared" ref="F17:F26" si="0">B17*C17+D17*E17</f>
        <v>3334.275</v>
      </c>
      <c r="G17" s="72"/>
      <c r="J17" s="2" t="s">
        <v>22</v>
      </c>
      <c r="K17" s="3">
        <f>K16*(1+$C$12)</f>
        <v>47.25</v>
      </c>
      <c r="L17" s="3">
        <f>L16*(1+$E$13)</f>
        <v>36.54</v>
      </c>
      <c r="M17" s="3">
        <f>M16*(1+$N$12)</f>
        <v>32.4</v>
      </c>
      <c r="N17" s="3">
        <f>N16*(1+$E$13)</f>
        <v>48.72</v>
      </c>
      <c r="O17" s="3">
        <f t="shared" ref="O17:O26" si="1">(K17*L17)+M17*N17</f>
        <v>3305.043</v>
      </c>
    </row>
    <row r="18" spans="1:15">
      <c r="A18" s="51" t="s">
        <v>23</v>
      </c>
      <c r="B18" s="56">
        <f t="shared" ref="B18:B26" si="2">B17*(1+$C$12)</f>
        <v>49.6125</v>
      </c>
      <c r="C18" s="57">
        <f t="shared" ref="C18:C26" si="3">C17*(1+$E$13)</f>
        <v>37.0881</v>
      </c>
      <c r="D18" s="56">
        <f t="shared" ref="D18:D26" si="4">D17*(1+$E$12)</f>
        <v>36.3</v>
      </c>
      <c r="E18" s="73">
        <f t="shared" ref="E18:E26" si="5">E17*(1+$E$13)</f>
        <v>49.4508</v>
      </c>
      <c r="F18" s="71">
        <f t="shared" si="0"/>
        <v>3635.09740125</v>
      </c>
      <c r="G18" s="72"/>
      <c r="J18" s="2" t="s">
        <v>24</v>
      </c>
      <c r="K18" s="3">
        <f t="shared" ref="K18:K26" si="6">K17*(1+$C$12)</f>
        <v>49.6125</v>
      </c>
      <c r="L18" s="3">
        <f>L17*(1+$E$13)</f>
        <v>37.0881</v>
      </c>
      <c r="M18" s="3">
        <f>M17*(1+$N$12)</f>
        <v>34.992</v>
      </c>
      <c r="N18" s="3">
        <f>N17*(1+$E$13)</f>
        <v>49.4508</v>
      </c>
      <c r="O18" s="3">
        <f t="shared" si="1"/>
        <v>3570.41575485</v>
      </c>
    </row>
    <row r="19" spans="1:15">
      <c r="A19" s="51" t="s">
        <v>25</v>
      </c>
      <c r="B19" s="56">
        <f t="shared" si="2"/>
        <v>52.093125</v>
      </c>
      <c r="C19" s="57">
        <f t="shared" si="3"/>
        <v>37.6444215</v>
      </c>
      <c r="D19" s="56">
        <f t="shared" si="4"/>
        <v>39.93</v>
      </c>
      <c r="E19" s="73">
        <f t="shared" si="5"/>
        <v>50.192562</v>
      </c>
      <c r="F19" s="71">
        <f t="shared" si="0"/>
        <v>3965.20455541219</v>
      </c>
      <c r="G19" s="72"/>
      <c r="J19" s="2" t="s">
        <v>26</v>
      </c>
      <c r="K19" s="3">
        <f t="shared" si="6"/>
        <v>52.093125</v>
      </c>
      <c r="L19" s="3">
        <f t="shared" ref="L18:L26" si="7">L18*(1+$E$13)</f>
        <v>37.6444215</v>
      </c>
      <c r="M19" s="3">
        <f t="shared" ref="M18:M26" si="8">M18*(1+$E$12)</f>
        <v>38.4912</v>
      </c>
      <c r="N19" s="3">
        <f t="shared" ref="N18:N26" si="9">N18*(1+$E$13)</f>
        <v>50.192562</v>
      </c>
      <c r="O19" s="3">
        <f t="shared" si="1"/>
        <v>3892.98749720659</v>
      </c>
    </row>
    <row r="20" spans="1:15">
      <c r="A20" s="51" t="s">
        <v>27</v>
      </c>
      <c r="B20" s="56">
        <f t="shared" si="2"/>
        <v>54.69778125</v>
      </c>
      <c r="C20" s="57">
        <f t="shared" si="3"/>
        <v>38.2090878225</v>
      </c>
      <c r="D20" s="56">
        <f t="shared" si="4"/>
        <v>43.923</v>
      </c>
      <c r="E20" s="73">
        <f t="shared" si="5"/>
        <v>50.94545043</v>
      </c>
      <c r="F20" s="71">
        <f t="shared" si="0"/>
        <v>4327.62934671403</v>
      </c>
      <c r="G20" s="72"/>
      <c r="J20" s="2" t="s">
        <v>28</v>
      </c>
      <c r="K20" s="3">
        <f t="shared" si="6"/>
        <v>54.69778125</v>
      </c>
      <c r="L20" s="3">
        <f t="shared" si="7"/>
        <v>38.2090878225</v>
      </c>
      <c r="M20" s="3">
        <f t="shared" si="8"/>
        <v>42.34032</v>
      </c>
      <c r="N20" s="3">
        <f t="shared" si="9"/>
        <v>50.94545043</v>
      </c>
      <c r="O20" s="3">
        <f t="shared" si="1"/>
        <v>4246.99900122748</v>
      </c>
    </row>
    <row r="21" spans="1:15">
      <c r="A21" s="51" t="s">
        <v>29</v>
      </c>
      <c r="B21" s="56">
        <f t="shared" si="2"/>
        <v>57.4326703125</v>
      </c>
      <c r="C21" s="57">
        <f t="shared" si="3"/>
        <v>38.7822241398375</v>
      </c>
      <c r="D21" s="56">
        <f t="shared" si="4"/>
        <v>48.3153</v>
      </c>
      <c r="E21" s="73">
        <f t="shared" si="5"/>
        <v>51.70963218645</v>
      </c>
      <c r="F21" s="71">
        <f t="shared" si="0"/>
        <v>4725.73308498675</v>
      </c>
      <c r="G21" s="72"/>
      <c r="J21" s="2" t="s">
        <v>30</v>
      </c>
      <c r="K21" s="3">
        <f t="shared" si="6"/>
        <v>57.4326703125</v>
      </c>
      <c r="L21" s="3">
        <f t="shared" si="7"/>
        <v>38.7822241398375</v>
      </c>
      <c r="M21" s="3">
        <f t="shared" si="8"/>
        <v>46.574352</v>
      </c>
      <c r="N21" s="3">
        <f t="shared" si="9"/>
        <v>51.70963218645</v>
      </c>
      <c r="O21" s="3">
        <f t="shared" si="1"/>
        <v>4635.70930425102</v>
      </c>
    </row>
    <row r="22" spans="1:15">
      <c r="A22" s="51" t="s">
        <v>31</v>
      </c>
      <c r="B22" s="56">
        <f t="shared" si="2"/>
        <v>60.304303828125</v>
      </c>
      <c r="C22" s="57">
        <f t="shared" si="3"/>
        <v>39.363957501935</v>
      </c>
      <c r="D22" s="56">
        <f t="shared" si="4"/>
        <v>53.14683</v>
      </c>
      <c r="E22" s="73">
        <f t="shared" si="5"/>
        <v>52.4852766692467</v>
      </c>
      <c r="F22" s="71">
        <f t="shared" si="0"/>
        <v>5163.24212971752</v>
      </c>
      <c r="G22" s="72"/>
      <c r="J22" s="2" t="s">
        <v>32</v>
      </c>
      <c r="K22" s="3">
        <f t="shared" si="6"/>
        <v>60.304303828125</v>
      </c>
      <c r="L22" s="3">
        <f t="shared" si="7"/>
        <v>39.363957501935</v>
      </c>
      <c r="M22" s="3">
        <f t="shared" si="8"/>
        <v>51.2317872</v>
      </c>
      <c r="N22" s="3">
        <f t="shared" si="9"/>
        <v>52.4852766692467</v>
      </c>
      <c r="O22" s="3">
        <f t="shared" si="1"/>
        <v>5062.73057852607</v>
      </c>
    </row>
    <row r="23" spans="1:15">
      <c r="A23" s="51" t="s">
        <v>33</v>
      </c>
      <c r="B23" s="56">
        <f t="shared" si="2"/>
        <v>63.3195190195313</v>
      </c>
      <c r="C23" s="57">
        <f t="shared" si="3"/>
        <v>39.9544168644641</v>
      </c>
      <c r="D23" s="56">
        <f t="shared" si="4"/>
        <v>58.461513</v>
      </c>
      <c r="E23" s="73">
        <f>E22*(1+$E$13)</f>
        <v>53.2725558192854</v>
      </c>
      <c r="F23" s="71">
        <f t="shared" si="0"/>
        <v>5644.28867313609</v>
      </c>
      <c r="G23" s="72"/>
      <c r="J23" s="2" t="s">
        <v>34</v>
      </c>
      <c r="K23" s="3">
        <f t="shared" si="6"/>
        <v>63.3195190195313</v>
      </c>
      <c r="L23" s="3">
        <f t="shared" si="7"/>
        <v>39.9544168644641</v>
      </c>
      <c r="M23" s="3">
        <f t="shared" si="8"/>
        <v>56.35496592</v>
      </c>
      <c r="N23" s="3">
        <f t="shared" si="9"/>
        <v>53.2725558192854</v>
      </c>
      <c r="O23" s="3">
        <f t="shared" si="1"/>
        <v>5532.06752623084</v>
      </c>
    </row>
    <row r="24" spans="1:15">
      <c r="A24" s="51" t="s">
        <v>35</v>
      </c>
      <c r="B24" s="56">
        <f t="shared" si="2"/>
        <v>66.4854949705078</v>
      </c>
      <c r="C24" s="57">
        <f t="shared" si="3"/>
        <v>40.553733117431</v>
      </c>
      <c r="D24" s="56">
        <f t="shared" si="4"/>
        <v>64.3076643</v>
      </c>
      <c r="E24" s="73">
        <f t="shared" si="5"/>
        <v>54.0716441565747</v>
      </c>
      <c r="F24" s="71">
        <f t="shared" si="0"/>
        <v>6173.45615978434</v>
      </c>
      <c r="G24" s="72"/>
      <c r="J24" s="2" t="s">
        <v>36</v>
      </c>
      <c r="K24" s="3">
        <f t="shared" si="6"/>
        <v>66.4854949705078</v>
      </c>
      <c r="L24" s="3">
        <f t="shared" si="7"/>
        <v>40.553733117431</v>
      </c>
      <c r="M24" s="3">
        <f t="shared" si="8"/>
        <v>61.9904625120001</v>
      </c>
      <c r="N24" s="3">
        <f t="shared" si="9"/>
        <v>54.0716441565747</v>
      </c>
      <c r="O24" s="3">
        <f t="shared" si="1"/>
        <v>6048.16124926463</v>
      </c>
    </row>
    <row r="25" spans="1:15">
      <c r="A25" s="51" t="s">
        <v>37</v>
      </c>
      <c r="B25" s="56">
        <f t="shared" si="2"/>
        <v>69.8097697190332</v>
      </c>
      <c r="C25" s="57">
        <f t="shared" si="3"/>
        <v>41.1620391141925</v>
      </c>
      <c r="D25" s="56">
        <f t="shared" si="4"/>
        <v>70.73843073</v>
      </c>
      <c r="E25" s="73">
        <f t="shared" si="5"/>
        <v>54.8827188189233</v>
      </c>
      <c r="F25" s="71">
        <f t="shared" si="0"/>
        <v>6755.82987517409</v>
      </c>
      <c r="G25" s="72"/>
      <c r="J25" s="2" t="s">
        <v>38</v>
      </c>
      <c r="K25" s="3">
        <f t="shared" si="6"/>
        <v>69.8097697190332</v>
      </c>
      <c r="L25" s="3">
        <f t="shared" si="7"/>
        <v>41.1620391141925</v>
      </c>
      <c r="M25" s="3">
        <f t="shared" si="8"/>
        <v>68.1895087632001</v>
      </c>
      <c r="N25" s="3">
        <f t="shared" si="9"/>
        <v>54.8827188189233</v>
      </c>
      <c r="O25" s="3">
        <f t="shared" si="1"/>
        <v>6615.93810757883</v>
      </c>
    </row>
    <row r="26" spans="1:15">
      <c r="A26" s="51" t="s">
        <v>7</v>
      </c>
      <c r="B26" s="56">
        <f t="shared" si="2"/>
        <v>73.3002582049849</v>
      </c>
      <c r="C26" s="57">
        <f t="shared" si="3"/>
        <v>41.7794697009054</v>
      </c>
      <c r="D26" s="56">
        <f t="shared" si="4"/>
        <v>77.8122738030001</v>
      </c>
      <c r="E26" s="73">
        <f t="shared" si="5"/>
        <v>55.7059596012071</v>
      </c>
      <c r="F26" s="71">
        <f t="shared" si="0"/>
        <v>7397.0532976917</v>
      </c>
      <c r="G26" s="72"/>
      <c r="J26" s="2" t="s">
        <v>39</v>
      </c>
      <c r="K26" s="3">
        <f t="shared" si="6"/>
        <v>73.3002582049849</v>
      </c>
      <c r="L26" s="3">
        <f t="shared" si="7"/>
        <v>41.7794697009054</v>
      </c>
      <c r="M26" s="3">
        <f t="shared" si="8"/>
        <v>75.0084596395201</v>
      </c>
      <c r="N26" s="3">
        <f t="shared" si="9"/>
        <v>55.7059596012071</v>
      </c>
      <c r="O26" s="3">
        <f t="shared" si="1"/>
        <v>7240.86413917159</v>
      </c>
    </row>
    <row r="27" spans="2:7">
      <c r="B27" s="19"/>
      <c r="C27" s="58"/>
      <c r="D27" s="19"/>
      <c r="E27" s="74"/>
      <c r="F27" s="75"/>
      <c r="G27" s="75"/>
    </row>
    <row r="28" spans="1:7">
      <c r="A28" s="2"/>
      <c r="B28" s="3"/>
      <c r="C28" s="59"/>
      <c r="D28" s="3" t="s">
        <v>40</v>
      </c>
      <c r="E28" s="64">
        <v>0.6</v>
      </c>
      <c r="F28" s="75"/>
      <c r="G28" s="75"/>
    </row>
    <row r="29" spans="1:5">
      <c r="A29" s="60" t="s">
        <v>41</v>
      </c>
      <c r="B29" s="60"/>
      <c r="C29" s="60"/>
      <c r="D29" s="60"/>
      <c r="E29" s="60"/>
    </row>
    <row r="30" spans="1:5">
      <c r="A30" s="61"/>
      <c r="B30" s="61" t="s">
        <v>42</v>
      </c>
      <c r="C30" s="62" t="s">
        <v>15</v>
      </c>
      <c r="D30" s="63" t="s">
        <v>17</v>
      </c>
      <c r="E30" s="76"/>
    </row>
    <row r="31" spans="1:5">
      <c r="A31" s="2" t="s">
        <v>6</v>
      </c>
      <c r="B31" s="3">
        <v>5</v>
      </c>
      <c r="C31" s="64">
        <f>E16*$E$28</f>
        <v>28.8</v>
      </c>
      <c r="D31" s="65" t="s">
        <v>43</v>
      </c>
      <c r="E31" s="65"/>
    </row>
    <row r="32" spans="1:5">
      <c r="A32" s="2" t="s">
        <v>44</v>
      </c>
      <c r="B32" s="3">
        <f>B31*(1+$E$12)</f>
        <v>5.5</v>
      </c>
      <c r="C32" s="64">
        <f t="shared" ref="C32:C41" si="10">E17*$E$28</f>
        <v>29.232</v>
      </c>
      <c r="D32" s="65">
        <f t="shared" ref="D32:D41" si="11">B32*C32</f>
        <v>160.776</v>
      </c>
      <c r="E32" s="65"/>
    </row>
    <row r="33" spans="1:8">
      <c r="A33" s="2" t="s">
        <v>45</v>
      </c>
      <c r="B33" s="3">
        <f t="shared" ref="B33:B41" si="12">B32*(1+$E$12)</f>
        <v>6.05</v>
      </c>
      <c r="C33" s="64">
        <f t="shared" si="10"/>
        <v>29.67048</v>
      </c>
      <c r="D33" s="65">
        <f t="shared" si="11"/>
        <v>179.506404</v>
      </c>
      <c r="E33" s="65"/>
      <c r="H33" t="s">
        <v>46</v>
      </c>
    </row>
    <row r="34" spans="1:5">
      <c r="A34" s="2" t="s">
        <v>47</v>
      </c>
      <c r="B34" s="3">
        <f t="shared" si="12"/>
        <v>6.655</v>
      </c>
      <c r="C34" s="64">
        <f t="shared" si="10"/>
        <v>30.1155372</v>
      </c>
      <c r="D34" s="65">
        <f t="shared" si="11"/>
        <v>200.418900066</v>
      </c>
      <c r="E34" s="65"/>
    </row>
    <row r="35" spans="1:5">
      <c r="A35" s="2" t="s">
        <v>48</v>
      </c>
      <c r="B35" s="3">
        <f t="shared" si="12"/>
        <v>7.3205</v>
      </c>
      <c r="C35" s="64">
        <f t="shared" si="10"/>
        <v>30.567270258</v>
      </c>
      <c r="D35" s="65">
        <f t="shared" si="11"/>
        <v>223.767701923689</v>
      </c>
      <c r="E35" s="65"/>
    </row>
    <row r="36" spans="1:5">
      <c r="A36" s="2" t="s">
        <v>29</v>
      </c>
      <c r="B36" s="3">
        <f t="shared" si="12"/>
        <v>8.05255</v>
      </c>
      <c r="C36" s="64">
        <f t="shared" si="10"/>
        <v>31.02577931187</v>
      </c>
      <c r="D36" s="65">
        <f t="shared" si="11"/>
        <v>249.836639197799</v>
      </c>
      <c r="E36" s="65"/>
    </row>
    <row r="37" spans="1:5">
      <c r="A37" s="2" t="s">
        <v>31</v>
      </c>
      <c r="B37" s="3">
        <f t="shared" si="12"/>
        <v>8.857805</v>
      </c>
      <c r="C37" s="64">
        <f t="shared" si="10"/>
        <v>31.491166001548</v>
      </c>
      <c r="D37" s="65">
        <f t="shared" si="11"/>
        <v>278.942607664342</v>
      </c>
      <c r="E37" s="65"/>
    </row>
    <row r="38" spans="1:5">
      <c r="A38" s="2" t="s">
        <v>33</v>
      </c>
      <c r="B38" s="3">
        <f t="shared" si="12"/>
        <v>9.7435855</v>
      </c>
      <c r="C38" s="64">
        <f t="shared" si="10"/>
        <v>31.9635334915712</v>
      </c>
      <c r="D38" s="65">
        <f t="shared" si="11"/>
        <v>311.439421457238</v>
      </c>
      <c r="E38" s="65"/>
    </row>
    <row r="39" spans="1:5">
      <c r="A39" s="2" t="s">
        <v>35</v>
      </c>
      <c r="B39" s="3">
        <f t="shared" si="12"/>
        <v>10.71794405</v>
      </c>
      <c r="C39" s="64">
        <f t="shared" si="10"/>
        <v>32.4429864939448</v>
      </c>
      <c r="D39" s="65">
        <f t="shared" si="11"/>
        <v>347.722114057006</v>
      </c>
      <c r="E39" s="65"/>
    </row>
    <row r="40" spans="1:5">
      <c r="A40" s="2" t="s">
        <v>37</v>
      </c>
      <c r="B40" s="3">
        <f t="shared" si="12"/>
        <v>11.789738455</v>
      </c>
      <c r="C40" s="64">
        <f t="shared" si="10"/>
        <v>32.929631291354</v>
      </c>
      <c r="D40" s="65">
        <f t="shared" si="11"/>
        <v>388.231740344648</v>
      </c>
      <c r="E40" s="65"/>
    </row>
    <row r="41" spans="1:5">
      <c r="A41" s="2" t="s">
        <v>49</v>
      </c>
      <c r="B41" s="3">
        <f t="shared" si="12"/>
        <v>12.9687123005</v>
      </c>
      <c r="C41" s="64">
        <f t="shared" si="10"/>
        <v>33.4235757607243</v>
      </c>
      <c r="D41" s="65">
        <f t="shared" si="11"/>
        <v>433.460738094799</v>
      </c>
      <c r="E41" s="65"/>
    </row>
    <row r="45" spans="1:16">
      <c r="A45" s="25" t="s">
        <v>50</v>
      </c>
      <c r="B45" s="25"/>
      <c r="C45" s="25"/>
      <c r="D45" s="25"/>
      <c r="E45" s="25"/>
      <c r="J45" s="25" t="s">
        <v>51</v>
      </c>
      <c r="K45" s="25"/>
      <c r="L45" s="25"/>
      <c r="M45" s="25"/>
      <c r="N45" s="25"/>
      <c r="O45" s="25"/>
      <c r="P45" s="25"/>
    </row>
    <row r="46" spans="2:3">
      <c r="B46" t="s">
        <v>52</v>
      </c>
      <c r="C46" s="35">
        <v>0.65</v>
      </c>
    </row>
    <row r="47" spans="2:3">
      <c r="B47" t="s">
        <v>53</v>
      </c>
      <c r="C47">
        <v>30</v>
      </c>
    </row>
    <row r="48" spans="2:3">
      <c r="B48" t="s">
        <v>54</v>
      </c>
      <c r="C48" s="19">
        <f>(C47*100)/65</f>
        <v>46.1538461538462</v>
      </c>
    </row>
    <row r="49" spans="2:3">
      <c r="B49" t="s">
        <v>55</v>
      </c>
      <c r="C49" s="38">
        <v>0.015</v>
      </c>
    </row>
    <row r="50" spans="1:12">
      <c r="A50" s="1"/>
      <c r="B50" s="1" t="s">
        <v>56</v>
      </c>
      <c r="C50" s="66" t="s">
        <v>15</v>
      </c>
      <c r="J50" s="1"/>
      <c r="K50" s="1" t="s">
        <v>57</v>
      </c>
      <c r="L50" s="66" t="s">
        <v>15</v>
      </c>
    </row>
    <row r="51" spans="1:12">
      <c r="A51" s="2" t="s">
        <v>58</v>
      </c>
      <c r="B51" s="3">
        <f>D16+B32</f>
        <v>35.5</v>
      </c>
      <c r="C51" s="3">
        <f>600*(1+$C$49)</f>
        <v>609</v>
      </c>
      <c r="J51" s="2" t="s">
        <v>58</v>
      </c>
      <c r="K51" s="3">
        <f>M17</f>
        <v>32.4</v>
      </c>
      <c r="L51" s="2">
        <f>600*(1+$C$49)</f>
        <v>609</v>
      </c>
    </row>
    <row r="52" spans="1:12">
      <c r="A52" s="2" t="s">
        <v>23</v>
      </c>
      <c r="B52" s="3">
        <f>D17+B33</f>
        <v>39.05</v>
      </c>
      <c r="C52" s="3">
        <f>C51*(1+$C$49)</f>
        <v>618.135</v>
      </c>
      <c r="J52" s="2" t="s">
        <v>23</v>
      </c>
      <c r="K52" s="3">
        <f>M18</f>
        <v>34.992</v>
      </c>
      <c r="L52" s="3">
        <f>L51*(1+$C$49)</f>
        <v>618.135</v>
      </c>
    </row>
    <row r="53" spans="1:12">
      <c r="A53" s="2" t="s">
        <v>59</v>
      </c>
      <c r="B53" s="3">
        <f>D18+B34</f>
        <v>42.955</v>
      </c>
      <c r="C53" s="3">
        <f>C52*(1+$C$49)</f>
        <v>627.407025</v>
      </c>
      <c r="J53" s="2" t="s">
        <v>59</v>
      </c>
      <c r="K53" s="3">
        <f>M19</f>
        <v>38.4912</v>
      </c>
      <c r="L53" s="3">
        <f>L52*(1+$C$49)</f>
        <v>627.407025</v>
      </c>
    </row>
    <row r="54" spans="1:12">
      <c r="A54" s="67" t="s">
        <v>60</v>
      </c>
      <c r="B54" s="68">
        <f>D19+B35</f>
        <v>47.2505</v>
      </c>
      <c r="C54" s="68">
        <f>C53*(1+$C$49)</f>
        <v>636.818130375</v>
      </c>
      <c r="J54" s="2" t="s">
        <v>60</v>
      </c>
      <c r="K54" s="3">
        <f>M20</f>
        <v>42.34032</v>
      </c>
      <c r="L54" s="3">
        <f>L53*(1+$C$49)</f>
        <v>636.818130375</v>
      </c>
    </row>
    <row r="55" spans="1:12">
      <c r="A55" s="2" t="s">
        <v>61</v>
      </c>
      <c r="B55" s="3">
        <f>D20+B36</f>
        <v>51.97555</v>
      </c>
      <c r="C55" s="3">
        <f>C54*(1+$C$49)</f>
        <v>646.370402330625</v>
      </c>
      <c r="J55" s="67" t="s">
        <v>61</v>
      </c>
      <c r="K55" s="68">
        <f>M21</f>
        <v>46.574352</v>
      </c>
      <c r="L55" s="68">
        <f>L54*(1+$C$49)</f>
        <v>646.370402330625</v>
      </c>
    </row>
    <row r="56" spans="1:12">
      <c r="A56" s="2" t="s">
        <v>62</v>
      </c>
      <c r="B56" s="3">
        <f>D21+B37</f>
        <v>57.173105</v>
      </c>
      <c r="C56" s="3">
        <f>C55*(1+$C$49)</f>
        <v>656.065958365584</v>
      </c>
      <c r="J56" s="2" t="s">
        <v>62</v>
      </c>
      <c r="K56" s="3">
        <f>M22</f>
        <v>51.2317872</v>
      </c>
      <c r="L56" s="3">
        <f>L55*(1+$C$49)</f>
        <v>656.065958365584</v>
      </c>
    </row>
    <row r="61" spans="1:15">
      <c r="A61" s="25" t="s">
        <v>63</v>
      </c>
      <c r="B61" s="25"/>
      <c r="C61" s="25"/>
      <c r="D61" s="25"/>
      <c r="E61" s="25"/>
      <c r="J61" s="25" t="s">
        <v>63</v>
      </c>
      <c r="K61" s="25"/>
      <c r="L61" s="25"/>
      <c r="M61" s="25"/>
      <c r="N61" s="25"/>
      <c r="O61" s="25"/>
    </row>
    <row r="62" spans="2:3">
      <c r="B62" t="s">
        <v>64</v>
      </c>
      <c r="C62" s="35">
        <v>0.05</v>
      </c>
    </row>
    <row r="63" spans="2:3">
      <c r="B63" t="s">
        <v>65</v>
      </c>
      <c r="C63" s="35">
        <v>0.1</v>
      </c>
    </row>
    <row r="64" spans="1:13">
      <c r="A64" s="1"/>
      <c r="B64" s="1" t="s">
        <v>66</v>
      </c>
      <c r="C64" s="1" t="s">
        <v>67</v>
      </c>
      <c r="D64" s="1" t="s">
        <v>68</v>
      </c>
      <c r="E64" s="1" t="s">
        <v>19</v>
      </c>
      <c r="J64" s="1"/>
      <c r="K64" s="1" t="s">
        <v>66</v>
      </c>
      <c r="L64" s="1" t="s">
        <v>69</v>
      </c>
      <c r="M64" s="1" t="s">
        <v>70</v>
      </c>
    </row>
    <row r="65" spans="1:13">
      <c r="A65" s="2" t="s">
        <v>6</v>
      </c>
      <c r="B65" s="3">
        <v>360</v>
      </c>
      <c r="C65" s="3">
        <v>40</v>
      </c>
      <c r="D65" s="3">
        <f>40</f>
        <v>40</v>
      </c>
      <c r="E65" s="3"/>
      <c r="J65" s="2" t="s">
        <v>6</v>
      </c>
      <c r="K65" s="2">
        <v>360</v>
      </c>
      <c r="L65" s="2">
        <f>40</f>
        <v>40</v>
      </c>
      <c r="M65" s="3">
        <f>K65+L65</f>
        <v>400</v>
      </c>
    </row>
    <row r="66" spans="1:13">
      <c r="A66" s="2" t="s">
        <v>58</v>
      </c>
      <c r="B66" s="3">
        <f>B65*(1+$C$62)</f>
        <v>378</v>
      </c>
      <c r="C66" s="3">
        <f>C65*(1+$C$62)</f>
        <v>42</v>
      </c>
      <c r="D66" s="3">
        <f>D65*(1+$C$63)</f>
        <v>44</v>
      </c>
      <c r="E66" s="3">
        <f t="shared" ref="E66:E75" si="13">B66+C66+D66</f>
        <v>464</v>
      </c>
      <c r="J66" s="2" t="s">
        <v>21</v>
      </c>
      <c r="K66" s="3">
        <f>K65*(1+$C$62)</f>
        <v>378</v>
      </c>
      <c r="L66" s="3">
        <f>L65*(1+$C$62)</f>
        <v>42</v>
      </c>
      <c r="M66" s="3">
        <f t="shared" ref="M66:M75" si="14">K66+L66</f>
        <v>420</v>
      </c>
    </row>
    <row r="67" spans="1:13">
      <c r="A67" s="2" t="s">
        <v>45</v>
      </c>
      <c r="B67" s="3">
        <f>B66*(1+$C$62)</f>
        <v>396.9</v>
      </c>
      <c r="C67" s="3">
        <f t="shared" ref="C67:C75" si="15">C66*(1+$C$62)</f>
        <v>44.1</v>
      </c>
      <c r="D67" s="3">
        <f t="shared" ref="D67:D75" si="16">D66*(1+$C$63)</f>
        <v>48.4</v>
      </c>
      <c r="E67" s="3">
        <f t="shared" si="13"/>
        <v>489.4</v>
      </c>
      <c r="J67" s="2" t="s">
        <v>71</v>
      </c>
      <c r="K67" s="3">
        <f t="shared" ref="K67:K75" si="17">K66*(1+$C$62)</f>
        <v>396.9</v>
      </c>
      <c r="L67" s="3">
        <f t="shared" ref="L67:L75" si="18">L66*(1+$C$62)</f>
        <v>44.1</v>
      </c>
      <c r="M67" s="3">
        <f t="shared" si="14"/>
        <v>441</v>
      </c>
    </row>
    <row r="68" spans="1:13">
      <c r="A68" s="2" t="s">
        <v>72</v>
      </c>
      <c r="B68" s="3">
        <f t="shared" ref="B67:B75" si="19">B67*(1+$C$62)</f>
        <v>416.745</v>
      </c>
      <c r="C68" s="3">
        <f t="shared" si="15"/>
        <v>46.305</v>
      </c>
      <c r="D68" s="3">
        <f t="shared" si="16"/>
        <v>53.24</v>
      </c>
      <c r="E68" s="3">
        <f t="shared" si="13"/>
        <v>516.29</v>
      </c>
      <c r="J68" s="2" t="s">
        <v>25</v>
      </c>
      <c r="K68" s="3">
        <f t="shared" si="17"/>
        <v>416.745</v>
      </c>
      <c r="L68" s="3">
        <f t="shared" si="18"/>
        <v>46.305</v>
      </c>
      <c r="M68" s="3">
        <f t="shared" si="14"/>
        <v>463.05</v>
      </c>
    </row>
    <row r="69" spans="1:13">
      <c r="A69" s="2" t="s">
        <v>48</v>
      </c>
      <c r="B69" s="3">
        <f t="shared" si="19"/>
        <v>437.58225</v>
      </c>
      <c r="C69" s="3">
        <f t="shared" si="15"/>
        <v>48.62025</v>
      </c>
      <c r="D69" s="3">
        <f t="shared" si="16"/>
        <v>58.564</v>
      </c>
      <c r="E69" s="3">
        <f t="shared" si="13"/>
        <v>544.7665</v>
      </c>
      <c r="J69" s="2" t="s">
        <v>27</v>
      </c>
      <c r="K69" s="3">
        <f t="shared" si="17"/>
        <v>437.58225</v>
      </c>
      <c r="L69" s="3">
        <f t="shared" si="18"/>
        <v>48.62025</v>
      </c>
      <c r="M69" s="3">
        <f t="shared" si="14"/>
        <v>486.2025</v>
      </c>
    </row>
    <row r="70" spans="1:13">
      <c r="A70" s="2" t="s">
        <v>73</v>
      </c>
      <c r="B70" s="3">
        <f t="shared" si="19"/>
        <v>459.4613625</v>
      </c>
      <c r="C70" s="3">
        <f t="shared" si="15"/>
        <v>51.0512625</v>
      </c>
      <c r="D70" s="3">
        <f t="shared" si="16"/>
        <v>64.4204</v>
      </c>
      <c r="E70" s="3">
        <f t="shared" si="13"/>
        <v>574.933025</v>
      </c>
      <c r="J70" s="2" t="s">
        <v>29</v>
      </c>
      <c r="K70" s="3">
        <f t="shared" si="17"/>
        <v>459.4613625</v>
      </c>
      <c r="L70" s="3">
        <f t="shared" si="18"/>
        <v>51.0512625</v>
      </c>
      <c r="M70" s="3">
        <f t="shared" si="14"/>
        <v>510.512625</v>
      </c>
    </row>
    <row r="71" spans="1:13">
      <c r="A71" s="2" t="s">
        <v>74</v>
      </c>
      <c r="B71" s="3">
        <f t="shared" si="19"/>
        <v>482.434430625</v>
      </c>
      <c r="C71" s="3">
        <f t="shared" si="15"/>
        <v>53.603825625</v>
      </c>
      <c r="D71" s="3">
        <f t="shared" si="16"/>
        <v>70.86244</v>
      </c>
      <c r="E71" s="3">
        <f t="shared" si="13"/>
        <v>606.90069625</v>
      </c>
      <c r="J71" s="2" t="s">
        <v>31</v>
      </c>
      <c r="K71" s="3">
        <f t="shared" si="17"/>
        <v>482.434430625</v>
      </c>
      <c r="L71" s="3">
        <f t="shared" si="18"/>
        <v>53.603825625</v>
      </c>
      <c r="M71" s="3">
        <f t="shared" si="14"/>
        <v>536.03825625</v>
      </c>
    </row>
    <row r="72" spans="1:13">
      <c r="A72" s="2" t="s">
        <v>75</v>
      </c>
      <c r="B72" s="3">
        <f t="shared" si="19"/>
        <v>506.55615215625</v>
      </c>
      <c r="C72" s="3">
        <f t="shared" si="15"/>
        <v>56.28401690625</v>
      </c>
      <c r="D72" s="3">
        <f t="shared" si="16"/>
        <v>77.948684</v>
      </c>
      <c r="E72" s="3">
        <f t="shared" si="13"/>
        <v>640.7888530625</v>
      </c>
      <c r="J72" s="2" t="s">
        <v>33</v>
      </c>
      <c r="K72" s="3">
        <f t="shared" si="17"/>
        <v>506.55615215625</v>
      </c>
      <c r="L72" s="3">
        <f t="shared" si="18"/>
        <v>56.28401690625</v>
      </c>
      <c r="M72" s="3">
        <f t="shared" si="14"/>
        <v>562.8401690625</v>
      </c>
    </row>
    <row r="73" spans="1:13">
      <c r="A73" s="2" t="s">
        <v>76</v>
      </c>
      <c r="B73" s="3">
        <f t="shared" si="19"/>
        <v>531.883959764063</v>
      </c>
      <c r="C73" s="3">
        <f t="shared" si="15"/>
        <v>59.0982177515625</v>
      </c>
      <c r="D73" s="3">
        <f t="shared" si="16"/>
        <v>85.7435524</v>
      </c>
      <c r="E73" s="3">
        <f t="shared" si="13"/>
        <v>676.725729915625</v>
      </c>
      <c r="J73" s="2" t="s">
        <v>35</v>
      </c>
      <c r="K73" s="3">
        <f t="shared" si="17"/>
        <v>531.883959764063</v>
      </c>
      <c r="L73" s="3">
        <f t="shared" si="18"/>
        <v>59.0982177515625</v>
      </c>
      <c r="M73" s="3">
        <f t="shared" si="14"/>
        <v>590.982177515625</v>
      </c>
    </row>
    <row r="74" spans="1:13">
      <c r="A74" s="2" t="s">
        <v>77</v>
      </c>
      <c r="B74" s="3">
        <f t="shared" si="19"/>
        <v>558.478157752266</v>
      </c>
      <c r="C74" s="3">
        <f t="shared" si="15"/>
        <v>62.0531286391407</v>
      </c>
      <c r="D74" s="3">
        <f t="shared" si="16"/>
        <v>94.3179076400001</v>
      </c>
      <c r="E74" s="3">
        <f t="shared" si="13"/>
        <v>714.849194031407</v>
      </c>
      <c r="J74" s="2" t="s">
        <v>37</v>
      </c>
      <c r="K74" s="3">
        <f t="shared" si="17"/>
        <v>558.478157752266</v>
      </c>
      <c r="L74" s="3">
        <f t="shared" si="18"/>
        <v>62.0531286391407</v>
      </c>
      <c r="M74" s="3">
        <f t="shared" si="14"/>
        <v>620.531286391407</v>
      </c>
    </row>
    <row r="75" spans="1:13">
      <c r="A75" s="2" t="s">
        <v>78</v>
      </c>
      <c r="B75" s="3">
        <f t="shared" si="19"/>
        <v>586.402065639879</v>
      </c>
      <c r="C75" s="3">
        <f t="shared" si="15"/>
        <v>65.1557850710977</v>
      </c>
      <c r="D75" s="3">
        <f t="shared" si="16"/>
        <v>103.749698404</v>
      </c>
      <c r="E75" s="3">
        <f t="shared" si="13"/>
        <v>755.307549114977</v>
      </c>
      <c r="J75" s="2" t="s">
        <v>49</v>
      </c>
      <c r="K75" s="3">
        <f t="shared" si="17"/>
        <v>586.402065639879</v>
      </c>
      <c r="L75" s="3">
        <f t="shared" si="18"/>
        <v>65.1557850710977</v>
      </c>
      <c r="M75" s="3">
        <f t="shared" si="14"/>
        <v>651.557850710977</v>
      </c>
    </row>
    <row r="79" spans="1:15">
      <c r="A79" s="25" t="s">
        <v>79</v>
      </c>
      <c r="B79" s="25"/>
      <c r="C79" s="25"/>
      <c r="D79" s="25"/>
      <c r="E79" s="25"/>
      <c r="J79" s="25" t="s">
        <v>80</v>
      </c>
      <c r="K79" s="25"/>
      <c r="L79" s="25"/>
      <c r="M79" s="25"/>
      <c r="N79" s="25"/>
      <c r="O79" s="25"/>
    </row>
    <row r="80" spans="1:13">
      <c r="A80" s="1"/>
      <c r="B80" s="1" t="s">
        <v>15</v>
      </c>
      <c r="C80" s="35">
        <v>0.15</v>
      </c>
      <c r="J80" s="1"/>
      <c r="K80" s="1" t="s">
        <v>81</v>
      </c>
      <c r="L80" t="s">
        <v>82</v>
      </c>
      <c r="M80" s="35">
        <v>0.05</v>
      </c>
    </row>
    <row r="81" spans="1:11">
      <c r="A81" s="2" t="s">
        <v>6</v>
      </c>
      <c r="B81" s="3" t="s">
        <v>43</v>
      </c>
      <c r="J81" s="2" t="s">
        <v>6</v>
      </c>
      <c r="K81" s="2">
        <v>500</v>
      </c>
    </row>
    <row r="82" spans="1:11">
      <c r="A82" s="2" t="s">
        <v>21</v>
      </c>
      <c r="B82" s="3">
        <f t="shared" ref="B82:B91" si="20">K82*(1+$C$80)</f>
        <v>603.75</v>
      </c>
      <c r="J82" s="2" t="s">
        <v>21</v>
      </c>
      <c r="K82" s="3">
        <f>K81*(1+$M$80)</f>
        <v>525</v>
      </c>
    </row>
    <row r="83" spans="1:11">
      <c r="A83" s="2" t="s">
        <v>71</v>
      </c>
      <c r="B83" s="3">
        <f t="shared" si="20"/>
        <v>633.9375</v>
      </c>
      <c r="J83" s="2" t="s">
        <v>71</v>
      </c>
      <c r="K83" s="3">
        <f t="shared" ref="K83:K91" si="21">K82*(1+$M$80)</f>
        <v>551.25</v>
      </c>
    </row>
    <row r="84" spans="1:11">
      <c r="A84" s="2" t="s">
        <v>25</v>
      </c>
      <c r="B84" s="3">
        <f t="shared" si="20"/>
        <v>665.634375</v>
      </c>
      <c r="J84" s="2" t="s">
        <v>25</v>
      </c>
      <c r="K84" s="3">
        <f>K83*(1+$M$80)</f>
        <v>578.8125</v>
      </c>
    </row>
    <row r="85" spans="1:11">
      <c r="A85" s="2" t="s">
        <v>27</v>
      </c>
      <c r="B85" s="3">
        <f t="shared" si="20"/>
        <v>698.91609375</v>
      </c>
      <c r="J85" s="2" t="s">
        <v>27</v>
      </c>
      <c r="K85" s="3">
        <f t="shared" si="21"/>
        <v>607.753125</v>
      </c>
    </row>
    <row r="86" spans="1:11">
      <c r="A86" s="2" t="s">
        <v>29</v>
      </c>
      <c r="B86" s="3">
        <f t="shared" si="20"/>
        <v>733.8618984375</v>
      </c>
      <c r="J86" s="2" t="s">
        <v>29</v>
      </c>
      <c r="K86" s="3">
        <f t="shared" si="21"/>
        <v>638.14078125</v>
      </c>
    </row>
    <row r="87" spans="1:11">
      <c r="A87" s="2" t="s">
        <v>31</v>
      </c>
      <c r="B87" s="3">
        <f t="shared" si="20"/>
        <v>770.554993359375</v>
      </c>
      <c r="J87" s="2" t="s">
        <v>31</v>
      </c>
      <c r="K87" s="3">
        <f t="shared" si="21"/>
        <v>670.0478203125</v>
      </c>
    </row>
    <row r="88" spans="1:11">
      <c r="A88" s="2" t="s">
        <v>33</v>
      </c>
      <c r="B88" s="3">
        <f t="shared" si="20"/>
        <v>809.082743027344</v>
      </c>
      <c r="J88" s="2" t="s">
        <v>33</v>
      </c>
      <c r="K88" s="3">
        <f t="shared" si="21"/>
        <v>703.550211328125</v>
      </c>
    </row>
    <row r="89" spans="1:11">
      <c r="A89" s="2" t="s">
        <v>35</v>
      </c>
      <c r="B89" s="3">
        <f t="shared" si="20"/>
        <v>849.536880178711</v>
      </c>
      <c r="J89" s="2" t="s">
        <v>35</v>
      </c>
      <c r="K89" s="3">
        <f t="shared" si="21"/>
        <v>738.727721894532</v>
      </c>
    </row>
    <row r="90" spans="1:11">
      <c r="A90" s="2" t="s">
        <v>37</v>
      </c>
      <c r="B90" s="3">
        <f t="shared" si="20"/>
        <v>892.013724187647</v>
      </c>
      <c r="J90" s="2" t="s">
        <v>37</v>
      </c>
      <c r="K90" s="3">
        <f t="shared" si="21"/>
        <v>775.664107989258</v>
      </c>
    </row>
    <row r="91" spans="1:11">
      <c r="A91" s="2" t="s">
        <v>49</v>
      </c>
      <c r="B91" s="3">
        <f t="shared" si="20"/>
        <v>936.614410397029</v>
      </c>
      <c r="J91" s="2" t="s">
        <v>49</v>
      </c>
      <c r="K91" s="3">
        <f t="shared" si="21"/>
        <v>814.447313388721</v>
      </c>
    </row>
    <row r="95" spans="1:15">
      <c r="A95" s="25" t="s">
        <v>83</v>
      </c>
      <c r="B95" s="25"/>
      <c r="C95" s="25"/>
      <c r="D95" s="25"/>
      <c r="E95" s="25"/>
      <c r="J95" s="25" t="s">
        <v>84</v>
      </c>
      <c r="K95" s="25"/>
      <c r="L95" s="25"/>
      <c r="M95" s="25"/>
      <c r="N95" s="25"/>
      <c r="O95" s="25"/>
    </row>
    <row r="96" spans="1:3">
      <c r="A96" s="18" t="s">
        <v>85</v>
      </c>
      <c r="B96" s="18"/>
      <c r="C96" s="35">
        <v>0.05</v>
      </c>
    </row>
    <row r="97" spans="1:3">
      <c r="A97" s="18" t="s">
        <v>86</v>
      </c>
      <c r="B97" s="18"/>
      <c r="C97" s="35">
        <v>0.1</v>
      </c>
    </row>
    <row r="98" spans="1:3">
      <c r="A98" s="18" t="s">
        <v>87</v>
      </c>
      <c r="B98" s="18"/>
      <c r="C98" s="35">
        <v>0.06</v>
      </c>
    </row>
    <row r="99" spans="1:14">
      <c r="A99" s="1"/>
      <c r="B99" s="1" t="s">
        <v>88</v>
      </c>
      <c r="C99" s="1" t="s">
        <v>89</v>
      </c>
      <c r="D99" s="1" t="s">
        <v>90</v>
      </c>
      <c r="E99" s="1" t="s">
        <v>91</v>
      </c>
      <c r="J99" s="1"/>
      <c r="K99" s="1" t="s">
        <v>92</v>
      </c>
      <c r="L99" s="1" t="s">
        <v>93</v>
      </c>
      <c r="M99" s="1" t="s">
        <v>90</v>
      </c>
      <c r="N99" s="1" t="s">
        <v>91</v>
      </c>
    </row>
    <row r="100" spans="1:14">
      <c r="A100" s="2" t="s">
        <v>58</v>
      </c>
      <c r="B100" s="80">
        <f>$C$96*INCOME!B59</f>
        <v>421.26875</v>
      </c>
      <c r="C100" s="2">
        <f>$C$97*INCOME!B59</f>
        <v>842.5375</v>
      </c>
      <c r="D100" s="2">
        <f>$C$98*INCOME!B59</f>
        <v>505.5225</v>
      </c>
      <c r="E100" s="2">
        <f>B100+C100+D100</f>
        <v>1769.32875</v>
      </c>
      <c r="J100" s="2" t="s">
        <v>58</v>
      </c>
      <c r="K100" s="2">
        <f>$C$96*INCOME!N59</f>
        <v>407.26875</v>
      </c>
      <c r="L100" s="2">
        <f>$C$97*INCOME!N59</f>
        <v>814.5375</v>
      </c>
      <c r="M100" s="2">
        <f>$C$98*INCOME!N59</f>
        <v>488.7225</v>
      </c>
      <c r="N100" s="2">
        <f>K100+L100+M100</f>
        <v>1710.52875</v>
      </c>
    </row>
    <row r="101" spans="1:14">
      <c r="A101" s="2" t="s">
        <v>23</v>
      </c>
      <c r="B101" s="80">
        <f>$C$96*INCOME!B60</f>
        <v>457.7935265625</v>
      </c>
      <c r="C101" s="2">
        <f>$C$97*INCOME!B60</f>
        <v>915.587053125</v>
      </c>
      <c r="D101" s="2">
        <f>$C$98*INCOME!B60</f>
        <v>549.352231875</v>
      </c>
      <c r="E101" s="2">
        <f t="shared" ref="E101:E109" si="22">B101+C101+D101</f>
        <v>1922.7328115625</v>
      </c>
      <c r="J101" s="2" t="s">
        <v>23</v>
      </c>
      <c r="K101" s="2">
        <f>$C$96*INCOME!N60</f>
        <v>442.5460265625</v>
      </c>
      <c r="L101" s="2">
        <f>$C$97*INCOME!N60</f>
        <v>885.092053125</v>
      </c>
      <c r="M101" s="2">
        <f>$C$98*INCOME!N60</f>
        <v>531.055231875</v>
      </c>
      <c r="N101" s="2">
        <f t="shared" ref="N101:N109" si="23">K101+L101+M101</f>
        <v>1858.6933115625</v>
      </c>
    </row>
    <row r="102" spans="1:14">
      <c r="A102" s="2" t="s">
        <v>59</v>
      </c>
      <c r="B102" s="80">
        <f>$C$96*INCOME!B61</f>
        <v>497.744989562109</v>
      </c>
      <c r="C102" s="2">
        <f>$C$97*INCOME!B61</f>
        <v>995.489979124219</v>
      </c>
      <c r="D102" s="2">
        <f>$C$98*INCOME!B61</f>
        <v>597.293987474531</v>
      </c>
      <c r="E102" s="2">
        <f t="shared" si="22"/>
        <v>2090.52895616086</v>
      </c>
      <c r="J102" s="2" t="s">
        <v>59</v>
      </c>
      <c r="K102" s="2">
        <f>$C$96*INCOME!N61</f>
        <v>481.132959062109</v>
      </c>
      <c r="L102" s="2">
        <f>$C$97*INCOME!N61</f>
        <v>962.265918124219</v>
      </c>
      <c r="M102" s="2">
        <f>$C$98*INCOME!N61</f>
        <v>577.359550874531</v>
      </c>
      <c r="N102" s="2">
        <f t="shared" si="23"/>
        <v>2020.75842806086</v>
      </c>
    </row>
    <row r="103" spans="1:14">
      <c r="A103" s="2" t="s">
        <v>60</v>
      </c>
      <c r="B103" s="80">
        <f>$C$96*INCOME!B62</f>
        <v>541.467273228657</v>
      </c>
      <c r="C103" s="2">
        <f>$C$97*INCOME!B62</f>
        <v>1082.93454645731</v>
      </c>
      <c r="D103" s="2">
        <f>$C$98*INCOME!B62</f>
        <v>649.760727874389</v>
      </c>
      <c r="E103" s="2">
        <f t="shared" si="22"/>
        <v>2274.16254756036</v>
      </c>
      <c r="J103" s="2" t="s">
        <v>60</v>
      </c>
      <c r="K103" s="2">
        <f>$C$96*INCOME!N62</f>
        <v>523.362512764557</v>
      </c>
      <c r="L103" s="2">
        <f>$C$97*INCOME!N62</f>
        <v>1046.72502552911</v>
      </c>
      <c r="M103" s="2">
        <f>$C$98*INCOME!N62</f>
        <v>628.035015317468</v>
      </c>
      <c r="N103" s="2">
        <f t="shared" si="23"/>
        <v>2198.12255361114</v>
      </c>
    </row>
    <row r="104" spans="1:14">
      <c r="A104" s="2" t="s">
        <v>61</v>
      </c>
      <c r="B104" s="80">
        <f>$C$96*INCOME!B63</f>
        <v>589.340914934126</v>
      </c>
      <c r="C104" s="2">
        <f>$C$97*INCOME!B63</f>
        <v>1178.68182986825</v>
      </c>
      <c r="D104" s="2">
        <f>$C$98*INCOME!B63</f>
        <v>707.209097920952</v>
      </c>
      <c r="E104" s="2">
        <f t="shared" si="22"/>
        <v>2475.23184272333</v>
      </c>
      <c r="J104" s="2" t="s">
        <v>61</v>
      </c>
      <c r="K104" s="2">
        <f>$C$96*INCOME!N63</f>
        <v>569.60298430448</v>
      </c>
      <c r="L104" s="2">
        <f>$C$97*INCOME!N63</f>
        <v>1139.20596860896</v>
      </c>
      <c r="M104" s="2">
        <f>$C$98*INCOME!N63</f>
        <v>683.523581165376</v>
      </c>
      <c r="N104" s="2">
        <f t="shared" si="23"/>
        <v>2392.33253407882</v>
      </c>
    </row>
    <row r="105" spans="1:14">
      <c r="A105" s="2" t="s">
        <v>62</v>
      </c>
      <c r="B105" s="80">
        <f>$C$96*INCOME!B64</f>
        <v>641.786846886477</v>
      </c>
      <c r="C105" s="2">
        <f>$C$97*INCOME!B64</f>
        <v>1283.57369377295</v>
      </c>
      <c r="D105" s="2">
        <f>$C$98*INCOME!B64</f>
        <v>770.144216263772</v>
      </c>
      <c r="E105" s="2">
        <f t="shared" si="22"/>
        <v>2695.5047569232</v>
      </c>
      <c r="J105" s="2" t="s">
        <v>62</v>
      </c>
      <c r="K105" s="2">
        <f>$C$96*INCOME!N64</f>
        <v>620.261890355092</v>
      </c>
      <c r="L105" s="2">
        <f>$C$97*INCOME!N64</f>
        <v>1240.52378071018</v>
      </c>
      <c r="M105" s="2">
        <f>$C$98*INCOME!N64</f>
        <v>744.31426842611</v>
      </c>
      <c r="N105" s="2">
        <f t="shared" si="23"/>
        <v>2605.09993949139</v>
      </c>
    </row>
    <row r="106" spans="1:14">
      <c r="A106" s="2" t="s">
        <v>94</v>
      </c>
      <c r="B106" s="80">
        <f>$C$96*INCOME!B65</f>
        <v>699.270835808155</v>
      </c>
      <c r="C106" s="2">
        <f>$C$97*INCOME!B65</f>
        <v>1398.54167161631</v>
      </c>
      <c r="D106" s="2">
        <f>$C$98*INCOME!B65</f>
        <v>839.125002969785</v>
      </c>
      <c r="E106" s="2">
        <f t="shared" si="22"/>
        <v>2936.93751039425</v>
      </c>
      <c r="J106" s="2" t="s">
        <v>94</v>
      </c>
      <c r="K106" s="2">
        <f>$C$96*INCOME!N65</f>
        <v>675.790294374028</v>
      </c>
      <c r="L106" s="2">
        <f>$C$97*INCOME!N65</f>
        <v>1351.58058874806</v>
      </c>
      <c r="M106" s="2">
        <f>$C$98*INCOME!N65</f>
        <v>810.948353248833</v>
      </c>
      <c r="N106" s="2">
        <f t="shared" si="23"/>
        <v>2838.31923637092</v>
      </c>
    </row>
    <row r="107" spans="1:14">
      <c r="A107" s="2" t="s">
        <v>95</v>
      </c>
      <c r="B107" s="80">
        <f>$C$96*INCOME!B66</f>
        <v>762.308421605076</v>
      </c>
      <c r="C107" s="2">
        <f>$C$97*INCOME!B66</f>
        <v>1524.61684321015</v>
      </c>
      <c r="D107" s="2">
        <f>$C$98*INCOME!B66</f>
        <v>914.770105926091</v>
      </c>
      <c r="E107" s="2">
        <f t="shared" si="22"/>
        <v>3201.69537074132</v>
      </c>
      <c r="J107" s="2" t="s">
        <v>95</v>
      </c>
      <c r="K107" s="2">
        <f>$C$96*INCOME!N66</f>
        <v>736.687621478031</v>
      </c>
      <c r="L107" s="2">
        <f>$C$97*INCOME!N66</f>
        <v>1473.37524295606</v>
      </c>
      <c r="M107" s="2">
        <f>$C$98*INCOME!N66</f>
        <v>884.025145773638</v>
      </c>
      <c r="N107" s="2">
        <f t="shared" si="23"/>
        <v>3094.08801020773</v>
      </c>
    </row>
    <row r="108" spans="1:14">
      <c r="A108" s="2" t="s">
        <v>96</v>
      </c>
      <c r="B108" s="80">
        <f>$C$96*INCOME!B67</f>
        <v>831.470411890051</v>
      </c>
      <c r="C108" s="2">
        <f>$C$97*INCOME!B67</f>
        <v>1662.9408237801</v>
      </c>
      <c r="D108" s="2">
        <f>$C$98*INCOME!B67</f>
        <v>997.764494268061</v>
      </c>
      <c r="E108" s="2">
        <f t="shared" si="22"/>
        <v>3492.17572993821</v>
      </c>
      <c r="J108" s="2" t="s">
        <v>96</v>
      </c>
      <c r="K108" s="2">
        <f>$C$96*INCOME!N67</f>
        <v>803.507017265621</v>
      </c>
      <c r="L108" s="2">
        <f>$C$97*INCOME!N67</f>
        <v>1607.01403453124</v>
      </c>
      <c r="M108" s="2">
        <f>$C$98*INCOME!N67</f>
        <v>964.208420718746</v>
      </c>
      <c r="N108" s="2">
        <f t="shared" si="23"/>
        <v>3374.72947251561</v>
      </c>
    </row>
    <row r="109" spans="1:14">
      <c r="A109" s="2" t="s">
        <v>7</v>
      </c>
      <c r="B109" s="80">
        <f>$C$96*INCOME!B68</f>
        <v>907.388995759148</v>
      </c>
      <c r="C109" s="2">
        <f>$C$97*INCOME!B68</f>
        <v>1814.7779915183</v>
      </c>
      <c r="D109" s="2">
        <f>$C$98*INCOME!B68</f>
        <v>1088.86679491098</v>
      </c>
      <c r="E109" s="2">
        <f t="shared" si="22"/>
        <v>3811.03378218842</v>
      </c>
      <c r="J109" s="2" t="s">
        <v>7</v>
      </c>
      <c r="K109" s="2">
        <f>$C$96*INCOME!N68</f>
        <v>876.861312840931</v>
      </c>
      <c r="L109" s="2">
        <f>$C$97*INCOME!N68</f>
        <v>1753.72262568186</v>
      </c>
      <c r="M109" s="2">
        <f>$C$98*INCOME!N68</f>
        <v>1052.23357540912</v>
      </c>
      <c r="N109" s="2">
        <f t="shared" si="23"/>
        <v>3682.81751393191</v>
      </c>
    </row>
    <row r="113" spans="1:15">
      <c r="A113" s="25" t="s">
        <v>97</v>
      </c>
      <c r="B113" s="25"/>
      <c r="C113" s="25"/>
      <c r="D113" s="25"/>
      <c r="E113" s="25"/>
      <c r="J113" s="25" t="s">
        <v>98</v>
      </c>
      <c r="K113" s="25"/>
      <c r="L113" s="25"/>
      <c r="M113" s="25"/>
      <c r="N113" s="25"/>
      <c r="O113" s="25"/>
    </row>
    <row r="114" spans="1:11">
      <c r="A114" s="1"/>
      <c r="B114" s="1" t="s">
        <v>99</v>
      </c>
      <c r="J114" s="1"/>
      <c r="K114" s="1" t="s">
        <v>100</v>
      </c>
    </row>
    <row r="115" spans="1:11">
      <c r="A115" s="2" t="s">
        <v>6</v>
      </c>
      <c r="B115" s="3">
        <f>D8+D6</f>
        <v>1150</v>
      </c>
      <c r="J115" s="2" t="s">
        <v>101</v>
      </c>
      <c r="K115" s="2" t="s">
        <v>102</v>
      </c>
    </row>
    <row r="116" spans="1:11">
      <c r="A116" s="2" t="s">
        <v>21</v>
      </c>
      <c r="B116" s="3">
        <f>F17+D32+C51+E66+B82++E100</f>
        <v>6941.12975</v>
      </c>
      <c r="J116" s="2" t="s">
        <v>58</v>
      </c>
      <c r="K116" s="2">
        <f>O17+M66+K82+N100+L51</f>
        <v>6569.57175</v>
      </c>
    </row>
    <row r="117" spans="1:11">
      <c r="A117" s="2" t="s">
        <v>71</v>
      </c>
      <c r="B117" s="3">
        <f t="shared" ref="B117:B125" si="24">F18+D33+C52+E67+B83++E101</f>
        <v>7478.8091168125</v>
      </c>
      <c r="J117" s="2" t="s">
        <v>23</v>
      </c>
      <c r="K117" s="2">
        <f t="shared" ref="K117:K125" si="25">O18+M67+K83+N101+L52</f>
        <v>7039.4940664125</v>
      </c>
    </row>
    <row r="118" spans="1:11">
      <c r="A118" s="2" t="s">
        <v>25</v>
      </c>
      <c r="B118" s="3">
        <f t="shared" si="24"/>
        <v>8065.48381163905</v>
      </c>
      <c r="J118" s="2" t="s">
        <v>59</v>
      </c>
      <c r="K118" s="2">
        <f t="shared" si="25"/>
        <v>7583.01545026745</v>
      </c>
    </row>
    <row r="119" spans="1:11">
      <c r="A119" s="2" t="s">
        <v>27</v>
      </c>
      <c r="B119" s="3">
        <f t="shared" si="24"/>
        <v>8706.06032032308</v>
      </c>
      <c r="J119" s="2" t="s">
        <v>60</v>
      </c>
      <c r="K119" s="2">
        <f t="shared" si="25"/>
        <v>8175.89531021362</v>
      </c>
    </row>
    <row r="120" spans="1:11">
      <c r="A120" s="2" t="s">
        <v>29</v>
      </c>
      <c r="B120" s="3">
        <f t="shared" si="24"/>
        <v>9405.96689267601</v>
      </c>
      <c r="J120" s="2" t="s">
        <v>61</v>
      </c>
      <c r="K120" s="2">
        <f t="shared" si="25"/>
        <v>8823.06564691046</v>
      </c>
    </row>
    <row r="121" spans="1:11">
      <c r="A121" s="2" t="s">
        <v>31</v>
      </c>
      <c r="B121" s="3">
        <f t="shared" si="24"/>
        <v>10171.21114228</v>
      </c>
      <c r="J121" s="2" t="s">
        <v>62</v>
      </c>
      <c r="K121" s="2">
        <f t="shared" si="25"/>
        <v>9529.98255294554</v>
      </c>
    </row>
    <row r="122" spans="1:11">
      <c r="A122" s="2" t="s">
        <v>33</v>
      </c>
      <c r="B122" s="3">
        <f t="shared" si="24"/>
        <v>10342.5372010774</v>
      </c>
      <c r="J122" s="2" t="s">
        <v>94</v>
      </c>
      <c r="K122" s="2">
        <f t="shared" si="25"/>
        <v>9636.77714299239</v>
      </c>
    </row>
    <row r="123" spans="1:11">
      <c r="A123" s="2" t="s">
        <v>35</v>
      </c>
      <c r="B123" s="3">
        <f t="shared" si="24"/>
        <v>11249.136254677</v>
      </c>
      <c r="J123" s="2" t="s">
        <v>95</v>
      </c>
      <c r="K123" s="2">
        <f t="shared" si="25"/>
        <v>10471.9591588825</v>
      </c>
    </row>
    <row r="124" spans="1:11">
      <c r="A124" s="2" t="s">
        <v>37</v>
      </c>
      <c r="B124" s="3">
        <f t="shared" si="24"/>
        <v>12243.100263676</v>
      </c>
      <c r="J124" s="2" t="s">
        <v>96</v>
      </c>
      <c r="K124" s="2">
        <f t="shared" si="25"/>
        <v>11386.8629744751</v>
      </c>
    </row>
    <row r="125" spans="1:11">
      <c r="A125" s="2" t="s">
        <v>49</v>
      </c>
      <c r="B125" s="3">
        <f t="shared" si="24"/>
        <v>13333.4697774869</v>
      </c>
      <c r="J125" s="2" t="s">
        <v>7</v>
      </c>
      <c r="K125" s="2">
        <f t="shared" si="25"/>
        <v>12389.6868172032</v>
      </c>
    </row>
  </sheetData>
  <mergeCells count="47">
    <mergeCell ref="A3:G3"/>
    <mergeCell ref="J3:P3"/>
    <mergeCell ref="C4:F4"/>
    <mergeCell ref="C5:D5"/>
    <mergeCell ref="L5:N5"/>
    <mergeCell ref="L6:M6"/>
    <mergeCell ref="C7:D7"/>
    <mergeCell ref="A11:E11"/>
    <mergeCell ref="J11:P11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A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A45:E45"/>
    <mergeCell ref="J45:P45"/>
    <mergeCell ref="A61:E61"/>
    <mergeCell ref="J61:O61"/>
    <mergeCell ref="A79:E79"/>
    <mergeCell ref="J79:O79"/>
    <mergeCell ref="A95:E95"/>
    <mergeCell ref="J95:O95"/>
    <mergeCell ref="A96:B96"/>
    <mergeCell ref="A97:B97"/>
    <mergeCell ref="A98:B98"/>
    <mergeCell ref="A113:E113"/>
    <mergeCell ref="J113:O11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3:U68"/>
  <sheetViews>
    <sheetView zoomScale="85" zoomScaleNormal="85" topLeftCell="A49" workbookViewId="0">
      <selection activeCell="N3" sqref="N3:T3"/>
    </sheetView>
  </sheetViews>
  <sheetFormatPr defaultColWidth="9" defaultRowHeight="14"/>
  <cols>
    <col min="1" max="1" width="12.7578125" customWidth="1"/>
    <col min="2" max="2" width="19.5234375" customWidth="1"/>
    <col min="3" max="3" width="15.359375" customWidth="1"/>
    <col min="4" max="4" width="15.09375" customWidth="1"/>
    <col min="5" max="5" width="16.140625" customWidth="1"/>
    <col min="6" max="6" width="13.9296875" customWidth="1"/>
    <col min="13" max="13" width="12.2734375" customWidth="1"/>
    <col min="14" max="14" width="14.0078125" customWidth="1"/>
    <col min="15" max="15" width="15.5" customWidth="1"/>
    <col min="16" max="16" width="12.390625" customWidth="1"/>
    <col min="17" max="17" width="15" customWidth="1"/>
    <col min="18" max="18" width="14.2578125" customWidth="1"/>
  </cols>
  <sheetData>
    <row r="3" spans="2:20">
      <c r="B3" s="34" t="s">
        <v>103</v>
      </c>
      <c r="C3" s="34"/>
      <c r="D3" s="34"/>
      <c r="E3" s="34"/>
      <c r="F3" s="34"/>
      <c r="G3" s="34"/>
      <c r="H3" s="34"/>
      <c r="I3" s="34"/>
      <c r="N3" s="40" t="s">
        <v>104</v>
      </c>
      <c r="O3" s="40"/>
      <c r="P3" s="40"/>
      <c r="Q3" s="40"/>
      <c r="R3" s="40"/>
      <c r="S3" s="40"/>
      <c r="T3" s="40"/>
    </row>
    <row r="5" spans="1:21">
      <c r="A5" s="25" t="s">
        <v>105</v>
      </c>
      <c r="B5" s="25"/>
      <c r="C5" s="25"/>
      <c r="D5" s="25"/>
      <c r="E5" s="25"/>
      <c r="F5" s="25"/>
      <c r="G5" s="25"/>
      <c r="H5" s="25"/>
      <c r="I5" s="25"/>
      <c r="J5" s="25"/>
      <c r="M5" s="41" t="s">
        <v>105</v>
      </c>
      <c r="N5" s="42"/>
      <c r="O5" s="42"/>
      <c r="P5" s="42"/>
      <c r="Q5" s="42"/>
      <c r="R5" s="42"/>
      <c r="S5" s="42"/>
      <c r="T5" s="42"/>
      <c r="U5" s="42"/>
    </row>
    <row r="6" spans="2:5">
      <c r="B6" t="s">
        <v>106</v>
      </c>
      <c r="C6" s="35">
        <v>0.05</v>
      </c>
      <c r="D6" t="s">
        <v>107</v>
      </c>
      <c r="E6" s="38">
        <v>0.015</v>
      </c>
    </row>
    <row r="7" spans="2:3">
      <c r="B7" t="s">
        <v>108</v>
      </c>
      <c r="C7" s="35">
        <v>0.1</v>
      </c>
    </row>
    <row r="9" spans="1:18">
      <c r="A9" s="1"/>
      <c r="B9" s="1" t="s">
        <v>109</v>
      </c>
      <c r="C9" s="1" t="s">
        <v>16</v>
      </c>
      <c r="D9" s="1" t="s">
        <v>110</v>
      </c>
      <c r="E9" s="1" t="s">
        <v>111</v>
      </c>
      <c r="F9" s="1" t="s">
        <v>112</v>
      </c>
      <c r="M9" s="1"/>
      <c r="N9" s="1" t="s">
        <v>109</v>
      </c>
      <c r="O9" s="1" t="s">
        <v>16</v>
      </c>
      <c r="P9" s="1" t="s">
        <v>91</v>
      </c>
      <c r="Q9" s="1" t="s">
        <v>113</v>
      </c>
      <c r="R9" s="1" t="s">
        <v>112</v>
      </c>
    </row>
    <row r="10" spans="1:18">
      <c r="A10" s="2" t="s">
        <v>6</v>
      </c>
      <c r="B10" s="2">
        <v>45</v>
      </c>
      <c r="C10" s="2">
        <v>30</v>
      </c>
      <c r="D10" s="3">
        <f>B10+C10</f>
        <v>75</v>
      </c>
      <c r="E10" s="39">
        <v>100</v>
      </c>
      <c r="F10" s="36">
        <f>D10*E10</f>
        <v>7500</v>
      </c>
      <c r="M10" s="2" t="s">
        <v>6</v>
      </c>
      <c r="N10" s="2">
        <v>45</v>
      </c>
      <c r="O10" s="2">
        <v>30</v>
      </c>
      <c r="P10" s="3">
        <f t="shared" ref="P10:P20" si="0">N10+O10</f>
        <v>75</v>
      </c>
      <c r="Q10" s="39">
        <v>100</v>
      </c>
      <c r="R10" s="36">
        <f t="shared" ref="R10:R20" si="1">P10*Q10</f>
        <v>7500</v>
      </c>
    </row>
    <row r="11" spans="1:18">
      <c r="A11" s="2" t="s">
        <v>21</v>
      </c>
      <c r="B11" s="3">
        <f>B10*(1+$C$6)</f>
        <v>47.25</v>
      </c>
      <c r="C11" s="3">
        <f>C10*(1+$C$7)</f>
        <v>33</v>
      </c>
      <c r="D11" s="3">
        <f t="shared" ref="D11:D20" si="2">B11+C11</f>
        <v>80.25</v>
      </c>
      <c r="E11" s="39">
        <f>E10*(1+$E$6)</f>
        <v>101.5</v>
      </c>
      <c r="F11" s="36">
        <f t="shared" ref="F11:F20" si="3">D11*E11</f>
        <v>8145.375</v>
      </c>
      <c r="M11" s="2" t="s">
        <v>21</v>
      </c>
      <c r="N11" s="3">
        <f t="shared" ref="N11:N20" si="4">N10*(1+$C$6)</f>
        <v>47.25</v>
      </c>
      <c r="O11" s="3">
        <f t="shared" ref="O11:O20" si="5">O10*(1+$C$7)</f>
        <v>33</v>
      </c>
      <c r="P11" s="3">
        <f t="shared" si="0"/>
        <v>80.25</v>
      </c>
      <c r="Q11" s="39">
        <f t="shared" ref="Q11:Q20" si="6">Q10*(1+$E$6)</f>
        <v>101.5</v>
      </c>
      <c r="R11" s="36">
        <f t="shared" si="1"/>
        <v>8145.375</v>
      </c>
    </row>
    <row r="12" spans="1:18">
      <c r="A12" s="2" t="s">
        <v>71</v>
      </c>
      <c r="B12" s="3">
        <f t="shared" ref="B12:B20" si="7">B11*(1+$C$6)</f>
        <v>49.6125</v>
      </c>
      <c r="C12" s="3">
        <f t="shared" ref="C12:C20" si="8">C11*(1+$C$7)</f>
        <v>36.3</v>
      </c>
      <c r="D12" s="3">
        <f t="shared" si="2"/>
        <v>85.9125</v>
      </c>
      <c r="E12" s="39">
        <f t="shared" ref="E12:E20" si="9">E11*(1+$E$6)</f>
        <v>103.0225</v>
      </c>
      <c r="F12" s="36">
        <f t="shared" si="3"/>
        <v>8850.92053125</v>
      </c>
      <c r="M12" s="2" t="s">
        <v>71</v>
      </c>
      <c r="N12" s="3">
        <f t="shared" si="4"/>
        <v>49.6125</v>
      </c>
      <c r="O12" s="3">
        <f t="shared" si="5"/>
        <v>36.3</v>
      </c>
      <c r="P12" s="3">
        <f t="shared" si="0"/>
        <v>85.9125</v>
      </c>
      <c r="Q12" s="39">
        <f t="shared" si="6"/>
        <v>103.0225</v>
      </c>
      <c r="R12" s="36">
        <f t="shared" si="1"/>
        <v>8850.92053125</v>
      </c>
    </row>
    <row r="13" spans="1:18">
      <c r="A13" s="2" t="s">
        <v>25</v>
      </c>
      <c r="B13" s="3">
        <f t="shared" si="7"/>
        <v>52.093125</v>
      </c>
      <c r="C13" s="3">
        <f t="shared" si="8"/>
        <v>39.93</v>
      </c>
      <c r="D13" s="3">
        <f t="shared" si="2"/>
        <v>92.023125</v>
      </c>
      <c r="E13" s="39">
        <f t="shared" si="9"/>
        <v>104.5678375</v>
      </c>
      <c r="F13" s="36">
        <f t="shared" si="3"/>
        <v>9622.65918124219</v>
      </c>
      <c r="M13" s="2" t="s">
        <v>25</v>
      </c>
      <c r="N13" s="3">
        <f t="shared" si="4"/>
        <v>52.093125</v>
      </c>
      <c r="O13" s="3">
        <f t="shared" si="5"/>
        <v>39.93</v>
      </c>
      <c r="P13" s="3">
        <f t="shared" si="0"/>
        <v>92.023125</v>
      </c>
      <c r="Q13" s="39">
        <f t="shared" si="6"/>
        <v>104.5678375</v>
      </c>
      <c r="R13" s="36">
        <f t="shared" si="1"/>
        <v>9622.65918124219</v>
      </c>
    </row>
    <row r="14" spans="1:18">
      <c r="A14" s="2" t="s">
        <v>27</v>
      </c>
      <c r="B14" s="3">
        <f t="shared" si="7"/>
        <v>54.69778125</v>
      </c>
      <c r="C14" s="3">
        <f t="shared" si="8"/>
        <v>43.923</v>
      </c>
      <c r="D14" s="3">
        <f t="shared" si="2"/>
        <v>98.62078125</v>
      </c>
      <c r="E14" s="39">
        <f t="shared" si="9"/>
        <v>106.1363550625</v>
      </c>
      <c r="F14" s="36">
        <f t="shared" si="3"/>
        <v>10467.2502552911</v>
      </c>
      <c r="M14" s="2" t="s">
        <v>27</v>
      </c>
      <c r="N14" s="3">
        <f t="shared" si="4"/>
        <v>54.69778125</v>
      </c>
      <c r="O14" s="3">
        <f t="shared" si="5"/>
        <v>43.923</v>
      </c>
      <c r="P14" s="3">
        <f t="shared" si="0"/>
        <v>98.62078125</v>
      </c>
      <c r="Q14" s="39">
        <f t="shared" si="6"/>
        <v>106.1363550625</v>
      </c>
      <c r="R14" s="36">
        <f t="shared" si="1"/>
        <v>10467.2502552911</v>
      </c>
    </row>
    <row r="15" spans="1:18">
      <c r="A15" s="2" t="s">
        <v>29</v>
      </c>
      <c r="B15" s="3">
        <f t="shared" si="7"/>
        <v>57.4326703125</v>
      </c>
      <c r="C15" s="3">
        <f t="shared" si="8"/>
        <v>48.3153</v>
      </c>
      <c r="D15" s="3">
        <f t="shared" si="2"/>
        <v>105.7479703125</v>
      </c>
      <c r="E15" s="39">
        <f t="shared" si="9"/>
        <v>107.728400388437</v>
      </c>
      <c r="F15" s="36">
        <f t="shared" si="3"/>
        <v>11392.0596860896</v>
      </c>
      <c r="M15" s="2" t="s">
        <v>29</v>
      </c>
      <c r="N15" s="3">
        <f t="shared" si="4"/>
        <v>57.4326703125</v>
      </c>
      <c r="O15" s="3">
        <f t="shared" si="5"/>
        <v>48.3153</v>
      </c>
      <c r="P15" s="3">
        <f t="shared" si="0"/>
        <v>105.7479703125</v>
      </c>
      <c r="Q15" s="39">
        <f t="shared" si="6"/>
        <v>107.728400388437</v>
      </c>
      <c r="R15" s="36">
        <f t="shared" si="1"/>
        <v>11392.0596860896</v>
      </c>
    </row>
    <row r="16" spans="1:18">
      <c r="A16" s="2" t="s">
        <v>31</v>
      </c>
      <c r="B16" s="3">
        <f t="shared" si="7"/>
        <v>60.304303828125</v>
      </c>
      <c r="C16" s="3">
        <f t="shared" si="8"/>
        <v>53.14683</v>
      </c>
      <c r="D16" s="3">
        <f t="shared" si="2"/>
        <v>113.451133828125</v>
      </c>
      <c r="E16" s="39">
        <f t="shared" si="9"/>
        <v>109.344326394264</v>
      </c>
      <c r="F16" s="36">
        <f t="shared" si="3"/>
        <v>12405.2378071018</v>
      </c>
      <c r="M16" s="2" t="s">
        <v>31</v>
      </c>
      <c r="N16" s="3">
        <f t="shared" si="4"/>
        <v>60.304303828125</v>
      </c>
      <c r="O16" s="3">
        <f t="shared" si="5"/>
        <v>53.14683</v>
      </c>
      <c r="P16" s="3">
        <f t="shared" si="0"/>
        <v>113.451133828125</v>
      </c>
      <c r="Q16" s="39">
        <f t="shared" si="6"/>
        <v>109.344326394264</v>
      </c>
      <c r="R16" s="36">
        <f t="shared" si="1"/>
        <v>12405.2378071018</v>
      </c>
    </row>
    <row r="17" spans="1:18">
      <c r="A17" s="2" t="s">
        <v>33</v>
      </c>
      <c r="B17" s="3">
        <f t="shared" si="7"/>
        <v>63.3195190195313</v>
      </c>
      <c r="C17" s="3">
        <f t="shared" si="8"/>
        <v>58.461513</v>
      </c>
      <c r="D17" s="3">
        <f t="shared" si="2"/>
        <v>121.781032019531</v>
      </c>
      <c r="E17" s="39">
        <f t="shared" si="9"/>
        <v>110.984491290178</v>
      </c>
      <c r="F17" s="36">
        <f t="shared" si="3"/>
        <v>13515.8058874806</v>
      </c>
      <c r="M17" s="2" t="s">
        <v>33</v>
      </c>
      <c r="N17" s="3">
        <f t="shared" si="4"/>
        <v>63.3195190195313</v>
      </c>
      <c r="O17" s="3">
        <f t="shared" si="5"/>
        <v>58.461513</v>
      </c>
      <c r="P17" s="3">
        <f t="shared" si="0"/>
        <v>121.781032019531</v>
      </c>
      <c r="Q17" s="39">
        <f t="shared" si="6"/>
        <v>110.984491290178</v>
      </c>
      <c r="R17" s="36">
        <f t="shared" si="1"/>
        <v>13515.8058874806</v>
      </c>
    </row>
    <row r="18" spans="1:18">
      <c r="A18" s="2" t="s">
        <v>35</v>
      </c>
      <c r="B18" s="3">
        <f t="shared" si="7"/>
        <v>66.4854949705078</v>
      </c>
      <c r="C18" s="3">
        <f t="shared" si="8"/>
        <v>64.3076643</v>
      </c>
      <c r="D18" s="3">
        <f t="shared" si="2"/>
        <v>130.793159270508</v>
      </c>
      <c r="E18" s="39">
        <f t="shared" si="9"/>
        <v>112.649258659531</v>
      </c>
      <c r="F18" s="36">
        <f t="shared" si="3"/>
        <v>14733.7524295606</v>
      </c>
      <c r="M18" s="2" t="s">
        <v>35</v>
      </c>
      <c r="N18" s="3">
        <f t="shared" si="4"/>
        <v>66.4854949705078</v>
      </c>
      <c r="O18" s="3">
        <f t="shared" si="5"/>
        <v>64.3076643</v>
      </c>
      <c r="P18" s="3">
        <f t="shared" si="0"/>
        <v>130.793159270508</v>
      </c>
      <c r="Q18" s="39">
        <f t="shared" si="6"/>
        <v>112.649258659531</v>
      </c>
      <c r="R18" s="36">
        <f t="shared" si="1"/>
        <v>14733.7524295606</v>
      </c>
    </row>
    <row r="19" spans="1:18">
      <c r="A19" s="2" t="s">
        <v>37</v>
      </c>
      <c r="B19" s="3">
        <f t="shared" si="7"/>
        <v>69.8097697190332</v>
      </c>
      <c r="C19" s="3">
        <f t="shared" si="8"/>
        <v>70.73843073</v>
      </c>
      <c r="D19" s="3">
        <f t="shared" si="2"/>
        <v>140.548200449033</v>
      </c>
      <c r="E19" s="39">
        <f t="shared" si="9"/>
        <v>114.338997539424</v>
      </c>
      <c r="F19" s="36">
        <f t="shared" si="3"/>
        <v>16070.1403453124</v>
      </c>
      <c r="M19" s="2" t="s">
        <v>37</v>
      </c>
      <c r="N19" s="3">
        <f t="shared" si="4"/>
        <v>69.8097697190332</v>
      </c>
      <c r="O19" s="3">
        <f t="shared" si="5"/>
        <v>70.73843073</v>
      </c>
      <c r="P19" s="3">
        <f t="shared" si="0"/>
        <v>140.548200449033</v>
      </c>
      <c r="Q19" s="39">
        <f t="shared" si="6"/>
        <v>114.338997539424</v>
      </c>
      <c r="R19" s="36">
        <f t="shared" si="1"/>
        <v>16070.1403453124</v>
      </c>
    </row>
    <row r="20" spans="1:18">
      <c r="A20" s="2" t="s">
        <v>49</v>
      </c>
      <c r="B20" s="3">
        <f t="shared" si="7"/>
        <v>73.3002582049849</v>
      </c>
      <c r="C20" s="3">
        <f t="shared" si="8"/>
        <v>77.8122738030001</v>
      </c>
      <c r="D20" s="3">
        <f t="shared" si="2"/>
        <v>151.112532007985</v>
      </c>
      <c r="E20" s="39">
        <f t="shared" si="9"/>
        <v>116.054082502515</v>
      </c>
      <c r="F20" s="36">
        <f t="shared" si="3"/>
        <v>17537.2262568186</v>
      </c>
      <c r="M20" s="2" t="s">
        <v>49</v>
      </c>
      <c r="N20" s="3">
        <f t="shared" si="4"/>
        <v>73.3002582049849</v>
      </c>
      <c r="O20" s="3">
        <f t="shared" si="5"/>
        <v>77.8122738030001</v>
      </c>
      <c r="P20" s="3">
        <f t="shared" si="0"/>
        <v>151.112532007985</v>
      </c>
      <c r="Q20" s="39">
        <f t="shared" si="6"/>
        <v>116.054082502515</v>
      </c>
      <c r="R20" s="36">
        <f t="shared" si="1"/>
        <v>17537.2262568186</v>
      </c>
    </row>
    <row r="23" spans="2:9">
      <c r="B23" s="25" t="s">
        <v>114</v>
      </c>
      <c r="C23" s="25"/>
      <c r="D23" s="25"/>
      <c r="E23" s="25"/>
      <c r="F23" s="25"/>
      <c r="G23" s="25"/>
      <c r="H23" s="25"/>
      <c r="I23" s="25"/>
    </row>
    <row r="24" spans="2:3">
      <c r="B24" t="s">
        <v>108</v>
      </c>
      <c r="C24" s="35">
        <v>0.08</v>
      </c>
    </row>
    <row r="26" spans="1:4">
      <c r="A26" s="1"/>
      <c r="B26" s="1" t="s">
        <v>115</v>
      </c>
      <c r="C26" s="1" t="s">
        <v>116</v>
      </c>
      <c r="D26" s="1" t="s">
        <v>112</v>
      </c>
    </row>
    <row r="27" spans="1:4">
      <c r="A27" s="2" t="s">
        <v>22</v>
      </c>
      <c r="B27" s="2">
        <v>5</v>
      </c>
      <c r="C27" s="2">
        <v>50</v>
      </c>
      <c r="D27" s="36">
        <f>B27*C27</f>
        <v>250</v>
      </c>
    </row>
    <row r="28" spans="1:4">
      <c r="A28" s="2" t="s">
        <v>24</v>
      </c>
      <c r="B28" s="3">
        <f>B27*(1+$C$24)</f>
        <v>5.4</v>
      </c>
      <c r="C28" s="36">
        <f>C27*(1+$E$6)</f>
        <v>50.75</v>
      </c>
      <c r="D28" s="36">
        <f t="shared" ref="D28:D36" si="10">B28*C28</f>
        <v>274.05</v>
      </c>
    </row>
    <row r="29" spans="1:4">
      <c r="A29" s="2" t="s">
        <v>26</v>
      </c>
      <c r="B29" s="3">
        <f t="shared" ref="B29:B36" si="11">B28*(1+$C$24)</f>
        <v>5.832</v>
      </c>
      <c r="C29" s="36">
        <f t="shared" ref="C29:C36" si="12">C28*(1+$E$6)</f>
        <v>51.51125</v>
      </c>
      <c r="D29" s="36">
        <f t="shared" si="10"/>
        <v>300.41361</v>
      </c>
    </row>
    <row r="30" spans="1:4">
      <c r="A30" s="2" t="s">
        <v>28</v>
      </c>
      <c r="B30" s="3">
        <f t="shared" si="11"/>
        <v>6.29856</v>
      </c>
      <c r="C30" s="36">
        <f t="shared" si="12"/>
        <v>52.28391875</v>
      </c>
      <c r="D30" s="36">
        <f t="shared" si="10"/>
        <v>329.313399282</v>
      </c>
    </row>
    <row r="31" spans="1:4">
      <c r="A31" s="2" t="s">
        <v>30</v>
      </c>
      <c r="B31" s="3">
        <f t="shared" si="11"/>
        <v>6.8024448</v>
      </c>
      <c r="C31" s="36">
        <f t="shared" si="12"/>
        <v>53.06817753125</v>
      </c>
      <c r="D31" s="36">
        <f t="shared" si="10"/>
        <v>360.993348292928</v>
      </c>
    </row>
    <row r="32" spans="1:4">
      <c r="A32" s="2" t="s">
        <v>32</v>
      </c>
      <c r="B32" s="3">
        <f t="shared" si="11"/>
        <v>7.346640384</v>
      </c>
      <c r="C32" s="36">
        <f t="shared" si="12"/>
        <v>53.8642001942187</v>
      </c>
      <c r="D32" s="36">
        <f t="shared" si="10"/>
        <v>395.720908398708</v>
      </c>
    </row>
    <row r="33" spans="1:4">
      <c r="A33" s="2" t="s">
        <v>34</v>
      </c>
      <c r="B33" s="3">
        <f t="shared" si="11"/>
        <v>7.93437161472</v>
      </c>
      <c r="C33" s="36">
        <f t="shared" si="12"/>
        <v>54.672163197132</v>
      </c>
      <c r="D33" s="36">
        <f t="shared" si="10"/>
        <v>433.789259786664</v>
      </c>
    </row>
    <row r="34" spans="1:4">
      <c r="A34" s="2" t="s">
        <v>36</v>
      </c>
      <c r="B34" s="3">
        <f t="shared" si="11"/>
        <v>8.5691213438976</v>
      </c>
      <c r="C34" s="36">
        <f t="shared" si="12"/>
        <v>55.492245645089</v>
      </c>
      <c r="D34" s="36">
        <f t="shared" si="10"/>
        <v>475.519786578141</v>
      </c>
    </row>
    <row r="35" spans="1:4">
      <c r="A35" s="2" t="s">
        <v>38</v>
      </c>
      <c r="B35" s="3">
        <f t="shared" si="11"/>
        <v>9.25465105140941</v>
      </c>
      <c r="C35" s="36">
        <f t="shared" si="12"/>
        <v>56.3246293297653</v>
      </c>
      <c r="D35" s="36">
        <f t="shared" si="10"/>
        <v>521.264790046958</v>
      </c>
    </row>
    <row r="36" spans="1:4">
      <c r="A36" s="2" t="s">
        <v>39</v>
      </c>
      <c r="B36" s="3">
        <f t="shared" si="11"/>
        <v>9.99502313552217</v>
      </c>
      <c r="C36" s="36">
        <f t="shared" si="12"/>
        <v>57.1694987697118</v>
      </c>
      <c r="D36" s="36">
        <f t="shared" si="10"/>
        <v>571.410462849475</v>
      </c>
    </row>
    <row r="40" spans="2:9">
      <c r="B40" s="25" t="s">
        <v>117</v>
      </c>
      <c r="C40" s="25"/>
      <c r="D40" s="25"/>
      <c r="E40" s="25"/>
      <c r="F40" s="25"/>
      <c r="G40" s="25"/>
      <c r="H40" s="25"/>
      <c r="I40" s="25"/>
    </row>
    <row r="41" spans="2:3">
      <c r="B41" t="s">
        <v>82</v>
      </c>
      <c r="C41" s="35">
        <v>0.03</v>
      </c>
    </row>
    <row r="43" spans="1:2">
      <c r="A43" s="1"/>
      <c r="B43" s="1" t="s">
        <v>118</v>
      </c>
    </row>
    <row r="44" spans="1:2">
      <c r="A44" s="2" t="s">
        <v>21</v>
      </c>
      <c r="B44" s="2">
        <f>30</f>
        <v>30</v>
      </c>
    </row>
    <row r="45" spans="1:2">
      <c r="A45" s="2" t="s">
        <v>71</v>
      </c>
      <c r="B45" s="36">
        <f>B44*(1+$C$41)</f>
        <v>30.9</v>
      </c>
    </row>
    <row r="46" spans="1:2">
      <c r="A46" s="2" t="s">
        <v>25</v>
      </c>
      <c r="B46" s="36">
        <f t="shared" ref="B46:B53" si="13">B45*(1+$C$41)</f>
        <v>31.827</v>
      </c>
    </row>
    <row r="47" spans="1:2">
      <c r="A47" s="2" t="s">
        <v>27</v>
      </c>
      <c r="B47" s="36">
        <f t="shared" si="13"/>
        <v>32.78181</v>
      </c>
    </row>
    <row r="48" spans="1:2">
      <c r="A48" s="2" t="s">
        <v>29</v>
      </c>
      <c r="B48" s="36">
        <f t="shared" si="13"/>
        <v>33.7652643</v>
      </c>
    </row>
    <row r="49" spans="1:2">
      <c r="A49" s="2" t="s">
        <v>31</v>
      </c>
      <c r="B49" s="36">
        <f t="shared" si="13"/>
        <v>34.778222229</v>
      </c>
    </row>
    <row r="50" spans="1:2">
      <c r="A50" s="2" t="s">
        <v>33</v>
      </c>
      <c r="B50" s="36">
        <f t="shared" si="13"/>
        <v>35.82156889587</v>
      </c>
    </row>
    <row r="51" spans="1:2">
      <c r="A51" s="2" t="s">
        <v>35</v>
      </c>
      <c r="B51" s="36">
        <f t="shared" si="13"/>
        <v>36.8962159627461</v>
      </c>
    </row>
    <row r="52" spans="1:2">
      <c r="A52" s="2" t="s">
        <v>37</v>
      </c>
      <c r="B52" s="36">
        <f t="shared" si="13"/>
        <v>38.0031024416285</v>
      </c>
    </row>
    <row r="53" spans="1:2">
      <c r="A53" s="2" t="s">
        <v>49</v>
      </c>
      <c r="B53" s="36">
        <f t="shared" si="13"/>
        <v>39.1431955148773</v>
      </c>
    </row>
    <row r="56" spans="2:18">
      <c r="B56" s="37" t="s">
        <v>119</v>
      </c>
      <c r="C56" s="37"/>
      <c r="D56" s="37"/>
      <c r="E56" s="37"/>
      <c r="F56" s="37"/>
      <c r="G56" s="37"/>
      <c r="H56" s="37"/>
      <c r="I56" s="37"/>
      <c r="M56" s="43" t="s">
        <v>120</v>
      </c>
      <c r="N56" s="43"/>
      <c r="O56" s="43"/>
      <c r="P56" s="43"/>
      <c r="Q56" s="43"/>
      <c r="R56" s="43"/>
    </row>
    <row r="58" spans="1:14">
      <c r="A58" s="1"/>
      <c r="B58" s="1" t="s">
        <v>121</v>
      </c>
      <c r="M58" s="1"/>
      <c r="N58" s="1" t="s">
        <v>112</v>
      </c>
    </row>
    <row r="59" spans="1:14">
      <c r="A59" s="2" t="s">
        <v>58</v>
      </c>
      <c r="B59" s="2">
        <f>F11+D27+B44</f>
        <v>8425.375</v>
      </c>
      <c r="M59" s="2" t="s">
        <v>58</v>
      </c>
      <c r="N59" s="2">
        <f>R11</f>
        <v>8145.375</v>
      </c>
    </row>
    <row r="60" spans="1:14">
      <c r="A60" s="2" t="s">
        <v>23</v>
      </c>
      <c r="B60" s="2">
        <f t="shared" ref="B60:B68" si="14">F12+D28+B45</f>
        <v>9155.87053125</v>
      </c>
      <c r="M60" s="2" t="s">
        <v>23</v>
      </c>
      <c r="N60" s="2">
        <f t="shared" ref="N60:N68" si="15">R12</f>
        <v>8850.92053125</v>
      </c>
    </row>
    <row r="61" spans="1:14">
      <c r="A61" s="2" t="s">
        <v>59</v>
      </c>
      <c r="B61" s="2">
        <f t="shared" si="14"/>
        <v>9954.89979124219</v>
      </c>
      <c r="M61" s="2" t="s">
        <v>59</v>
      </c>
      <c r="N61" s="2">
        <f t="shared" si="15"/>
        <v>9622.65918124219</v>
      </c>
    </row>
    <row r="62" spans="1:14">
      <c r="A62" s="2" t="s">
        <v>60</v>
      </c>
      <c r="B62" s="2">
        <f t="shared" si="14"/>
        <v>10829.3454645731</v>
      </c>
      <c r="M62" s="2" t="s">
        <v>60</v>
      </c>
      <c r="N62" s="2">
        <f t="shared" si="15"/>
        <v>10467.2502552911</v>
      </c>
    </row>
    <row r="63" spans="1:14">
      <c r="A63" s="2" t="s">
        <v>61</v>
      </c>
      <c r="B63" s="2">
        <f t="shared" si="14"/>
        <v>11786.8182986825</v>
      </c>
      <c r="M63" s="2" t="s">
        <v>61</v>
      </c>
      <c r="N63" s="2">
        <f t="shared" si="15"/>
        <v>11392.0596860896</v>
      </c>
    </row>
    <row r="64" spans="1:14">
      <c r="A64" s="2" t="s">
        <v>62</v>
      </c>
      <c r="B64" s="2">
        <f t="shared" si="14"/>
        <v>12835.7369377295</v>
      </c>
      <c r="M64" s="2" t="s">
        <v>62</v>
      </c>
      <c r="N64" s="2">
        <f t="shared" si="15"/>
        <v>12405.2378071018</v>
      </c>
    </row>
    <row r="65" spans="1:14">
      <c r="A65" s="2" t="s">
        <v>94</v>
      </c>
      <c r="B65" s="2">
        <f t="shared" si="14"/>
        <v>13985.4167161631</v>
      </c>
      <c r="M65" s="2" t="s">
        <v>94</v>
      </c>
      <c r="N65" s="2">
        <f t="shared" si="15"/>
        <v>13515.8058874806</v>
      </c>
    </row>
    <row r="66" spans="1:14">
      <c r="A66" s="2" t="s">
        <v>95</v>
      </c>
      <c r="B66" s="2">
        <f t="shared" si="14"/>
        <v>15246.1684321015</v>
      </c>
      <c r="M66" s="2" t="s">
        <v>95</v>
      </c>
      <c r="N66" s="2">
        <f t="shared" si="15"/>
        <v>14733.7524295606</v>
      </c>
    </row>
    <row r="67" spans="1:14">
      <c r="A67" s="2" t="s">
        <v>96</v>
      </c>
      <c r="B67" s="2">
        <f t="shared" si="14"/>
        <v>16629.408237801</v>
      </c>
      <c r="M67" s="2" t="s">
        <v>96</v>
      </c>
      <c r="N67" s="2">
        <f t="shared" si="15"/>
        <v>16070.1403453124</v>
      </c>
    </row>
    <row r="68" spans="1:14">
      <c r="A68" s="2" t="s">
        <v>7</v>
      </c>
      <c r="B68" s="2">
        <f t="shared" si="14"/>
        <v>18147.779915183</v>
      </c>
      <c r="M68" s="2" t="s">
        <v>7</v>
      </c>
      <c r="N68" s="2">
        <f t="shared" si="15"/>
        <v>17537.2262568186</v>
      </c>
    </row>
  </sheetData>
  <mergeCells count="8">
    <mergeCell ref="B3:I3"/>
    <mergeCell ref="N3:T3"/>
    <mergeCell ref="A5:J5"/>
    <mergeCell ref="M5:U5"/>
    <mergeCell ref="B23:I23"/>
    <mergeCell ref="B40:I40"/>
    <mergeCell ref="B56:I56"/>
    <mergeCell ref="M56:R5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H35"/>
  <sheetViews>
    <sheetView zoomScale="75" zoomScaleNormal="75" workbookViewId="0">
      <selection activeCell="I30" sqref="I30"/>
    </sheetView>
  </sheetViews>
  <sheetFormatPr defaultColWidth="9" defaultRowHeight="14" outlineLevelCol="7"/>
  <cols>
    <col min="1" max="1" width="10.1015625" customWidth="1"/>
    <col min="2" max="2" width="15.3125" customWidth="1"/>
    <col min="3" max="3" width="18.984375" customWidth="1"/>
    <col min="4" max="4" width="19.7578125" customWidth="1"/>
    <col min="5" max="5" width="19.140625" customWidth="1"/>
    <col min="6" max="6" width="18.0703125" customWidth="1"/>
    <col min="7" max="8" width="16.2734375" customWidth="1"/>
  </cols>
  <sheetData>
    <row r="3" ht="14.75" spans="6:7">
      <c r="F3" s="28" t="s">
        <v>122</v>
      </c>
      <c r="G3" s="29">
        <v>0.1</v>
      </c>
    </row>
    <row r="4" ht="14.75" spans="2:8">
      <c r="B4" s="26" t="s">
        <v>123</v>
      </c>
      <c r="C4" s="27"/>
      <c r="D4" s="27"/>
      <c r="E4" s="27"/>
      <c r="F4" s="30"/>
      <c r="G4" s="30"/>
      <c r="H4" s="31"/>
    </row>
    <row r="5" spans="2:8">
      <c r="B5" s="1" t="s">
        <v>124</v>
      </c>
      <c r="C5" s="1" t="s">
        <v>125</v>
      </c>
      <c r="D5" s="1" t="s">
        <v>126</v>
      </c>
      <c r="E5" s="1" t="s">
        <v>127</v>
      </c>
      <c r="F5" s="1" t="s">
        <v>128</v>
      </c>
      <c r="G5" s="32" t="s">
        <v>129</v>
      </c>
      <c r="H5" s="33" t="s">
        <v>130</v>
      </c>
    </row>
    <row r="6" spans="2:8">
      <c r="B6" s="2">
        <v>0</v>
      </c>
      <c r="C6" s="3"/>
      <c r="D6" s="3">
        <f>-EXPENSES!B115</f>
        <v>-1150</v>
      </c>
      <c r="E6" s="3">
        <f>C6+D6</f>
        <v>-1150</v>
      </c>
      <c r="F6" s="3"/>
      <c r="G6" s="13"/>
      <c r="H6" s="22"/>
    </row>
    <row r="7" spans="2:8">
      <c r="B7" s="2">
        <v>1</v>
      </c>
      <c r="C7" s="3">
        <f>INCOME!B59</f>
        <v>8425.375</v>
      </c>
      <c r="D7" s="3">
        <f>-EXPENSES!B116</f>
        <v>-6941.12975</v>
      </c>
      <c r="E7" s="3">
        <f t="shared" ref="E7:E16" si="0">C7+D7</f>
        <v>1484.24525</v>
      </c>
      <c r="F7" s="3">
        <v>80</v>
      </c>
      <c r="G7" s="13">
        <f>E7-F7</f>
        <v>1404.24525</v>
      </c>
      <c r="H7" s="12">
        <f>G7*(1-$G$3)</f>
        <v>1263.820725</v>
      </c>
    </row>
    <row r="8" spans="2:8">
      <c r="B8" s="2">
        <v>2</v>
      </c>
      <c r="C8" s="3">
        <f>INCOME!B60</f>
        <v>9155.87053125</v>
      </c>
      <c r="D8" s="3">
        <f>-EXPENSES!B117</f>
        <v>-7478.8091168125</v>
      </c>
      <c r="E8" s="3">
        <f t="shared" si="0"/>
        <v>1677.0614144375</v>
      </c>
      <c r="F8" s="3">
        <v>80</v>
      </c>
      <c r="G8" s="13">
        <f t="shared" ref="G8:G16" si="1">E8-F8</f>
        <v>1597.0614144375</v>
      </c>
      <c r="H8" s="12">
        <f t="shared" ref="H8:H16" si="2">G8*(1-$G$3)</f>
        <v>1437.35527299375</v>
      </c>
    </row>
    <row r="9" spans="2:8">
      <c r="B9" s="2">
        <v>3</v>
      </c>
      <c r="C9" s="3">
        <f>INCOME!B61</f>
        <v>9954.89979124219</v>
      </c>
      <c r="D9" s="3">
        <f>-EXPENSES!B118</f>
        <v>-8065.48381163905</v>
      </c>
      <c r="E9" s="3">
        <f t="shared" si="0"/>
        <v>1889.41597960314</v>
      </c>
      <c r="F9" s="3">
        <v>80</v>
      </c>
      <c r="G9" s="13">
        <f t="shared" si="1"/>
        <v>1809.41597960314</v>
      </c>
      <c r="H9" s="12">
        <f t="shared" si="2"/>
        <v>1628.47438164283</v>
      </c>
    </row>
    <row r="10" spans="2:8">
      <c r="B10" s="2">
        <v>4</v>
      </c>
      <c r="C10" s="3">
        <f>INCOME!B62</f>
        <v>10829.3454645731</v>
      </c>
      <c r="D10" s="3">
        <f>-EXPENSES!B119</f>
        <v>-8706.06032032308</v>
      </c>
      <c r="E10" s="3">
        <f t="shared" si="0"/>
        <v>2123.28514425006</v>
      </c>
      <c r="F10" s="3">
        <v>80</v>
      </c>
      <c r="G10" s="13">
        <f t="shared" si="1"/>
        <v>2043.28514425006</v>
      </c>
      <c r="H10" s="12">
        <f t="shared" si="2"/>
        <v>1838.95662982505</v>
      </c>
    </row>
    <row r="11" spans="2:8">
      <c r="B11" s="2">
        <v>5</v>
      </c>
      <c r="C11" s="3">
        <f>INCOME!B63</f>
        <v>11786.8182986825</v>
      </c>
      <c r="D11" s="3">
        <f>-EXPENSES!B120</f>
        <v>-9405.96689267601</v>
      </c>
      <c r="E11" s="3">
        <f t="shared" si="0"/>
        <v>2380.85140600652</v>
      </c>
      <c r="F11" s="3">
        <v>80</v>
      </c>
      <c r="G11" s="13">
        <f t="shared" si="1"/>
        <v>2300.85140600652</v>
      </c>
      <c r="H11" s="12">
        <f t="shared" si="2"/>
        <v>2070.76626540587</v>
      </c>
    </row>
    <row r="12" spans="2:8">
      <c r="B12" s="2">
        <v>6</v>
      </c>
      <c r="C12" s="3">
        <f>INCOME!B64</f>
        <v>12835.7369377295</v>
      </c>
      <c r="D12" s="3">
        <f>-EXPENSES!B121</f>
        <v>-10171.21114228</v>
      </c>
      <c r="E12" s="3">
        <f t="shared" si="0"/>
        <v>2664.52579544952</v>
      </c>
      <c r="F12" s="3">
        <v>80</v>
      </c>
      <c r="G12" s="13">
        <f t="shared" si="1"/>
        <v>2584.52579544952</v>
      </c>
      <c r="H12" s="12">
        <f t="shared" si="2"/>
        <v>2326.07321590457</v>
      </c>
    </row>
    <row r="13" spans="2:8">
      <c r="B13" s="2">
        <v>7</v>
      </c>
      <c r="C13" s="3">
        <f>INCOME!B65</f>
        <v>13985.4167161631</v>
      </c>
      <c r="D13" s="3">
        <f>-EXPENSES!B122</f>
        <v>-10342.5372010774</v>
      </c>
      <c r="E13" s="3">
        <f t="shared" si="0"/>
        <v>3642.87951508566</v>
      </c>
      <c r="F13" s="3">
        <v>80</v>
      </c>
      <c r="G13" s="13">
        <f t="shared" si="1"/>
        <v>3562.87951508566</v>
      </c>
      <c r="H13" s="12">
        <f t="shared" si="2"/>
        <v>3206.5915635771</v>
      </c>
    </row>
    <row r="14" spans="2:8">
      <c r="B14" s="2">
        <v>8</v>
      </c>
      <c r="C14" s="3">
        <f>INCOME!B66</f>
        <v>15246.1684321015</v>
      </c>
      <c r="D14" s="3">
        <f>-EXPENSES!B123</f>
        <v>-11249.136254677</v>
      </c>
      <c r="E14" s="3">
        <f t="shared" si="0"/>
        <v>3997.03217742451</v>
      </c>
      <c r="F14" s="3">
        <v>80</v>
      </c>
      <c r="G14" s="13">
        <f t="shared" si="1"/>
        <v>3917.03217742451</v>
      </c>
      <c r="H14" s="12">
        <f t="shared" si="2"/>
        <v>3525.32895968206</v>
      </c>
    </row>
    <row r="15" spans="2:8">
      <c r="B15" s="2">
        <v>9</v>
      </c>
      <c r="C15" s="3">
        <f>INCOME!B67</f>
        <v>16629.408237801</v>
      </c>
      <c r="D15" s="3">
        <f>-EXPENSES!B124</f>
        <v>-12243.100263676</v>
      </c>
      <c r="E15" s="3">
        <f t="shared" si="0"/>
        <v>4386.307974125</v>
      </c>
      <c r="F15" s="3">
        <v>80</v>
      </c>
      <c r="G15" s="13">
        <f t="shared" si="1"/>
        <v>4306.307974125</v>
      </c>
      <c r="H15" s="12">
        <f t="shared" si="2"/>
        <v>3875.6771767125</v>
      </c>
    </row>
    <row r="16" ht="14.75" spans="2:8">
      <c r="B16" s="2">
        <v>10</v>
      </c>
      <c r="C16" s="3">
        <f>INCOME!B68</f>
        <v>18147.779915183</v>
      </c>
      <c r="D16" s="3">
        <f>-EXPENSES!B125</f>
        <v>-13333.4697774869</v>
      </c>
      <c r="E16" s="3">
        <f t="shared" si="0"/>
        <v>4814.31013769604</v>
      </c>
      <c r="F16" s="3">
        <v>80</v>
      </c>
      <c r="G16" s="13">
        <f t="shared" si="1"/>
        <v>4734.31013769604</v>
      </c>
      <c r="H16" s="24">
        <f t="shared" si="2"/>
        <v>4260.87912392643</v>
      </c>
    </row>
    <row r="23" spans="2:8">
      <c r="B23" s="26" t="s">
        <v>131</v>
      </c>
      <c r="C23" s="27"/>
      <c r="D23" s="27"/>
      <c r="E23" s="27"/>
      <c r="F23" s="27"/>
      <c r="G23" s="27"/>
      <c r="H23" s="31"/>
    </row>
    <row r="24" spans="2:8">
      <c r="B24" s="1" t="s">
        <v>124</v>
      </c>
      <c r="C24" s="1" t="s">
        <v>125</v>
      </c>
      <c r="D24" s="1" t="s">
        <v>126</v>
      </c>
      <c r="E24" s="1" t="s">
        <v>127</v>
      </c>
      <c r="F24" s="1" t="s">
        <v>128</v>
      </c>
      <c r="G24" s="32" t="s">
        <v>129</v>
      </c>
      <c r="H24" s="33" t="s">
        <v>130</v>
      </c>
    </row>
    <row r="25" spans="2:8">
      <c r="B25" s="2">
        <v>0</v>
      </c>
      <c r="C25" s="2"/>
      <c r="D25" s="2" t="e">
        <f>-EXPENSES!K115</f>
        <v>#VALUE!</v>
      </c>
      <c r="E25" s="2" t="e">
        <f>C25+D25</f>
        <v>#VALUE!</v>
      </c>
      <c r="F25" s="2"/>
      <c r="G25" s="11"/>
      <c r="H25" s="22"/>
    </row>
    <row r="26" spans="2:8">
      <c r="B26" s="2">
        <v>1</v>
      </c>
      <c r="C26" s="2">
        <f>INCOME!N59</f>
        <v>8145.375</v>
      </c>
      <c r="D26" s="2">
        <f>-EXPENSES!K116</f>
        <v>-6569.57175</v>
      </c>
      <c r="E26" s="2">
        <f t="shared" ref="E26:E35" si="3">C26+D26</f>
        <v>1575.80325</v>
      </c>
      <c r="F26" s="2">
        <v>80</v>
      </c>
      <c r="G26" s="11">
        <f>E26-F26</f>
        <v>1495.80325</v>
      </c>
      <c r="H26" s="22">
        <f>G26*(1-$G$3)</f>
        <v>1346.222925</v>
      </c>
    </row>
    <row r="27" spans="2:8">
      <c r="B27" s="2">
        <v>2</v>
      </c>
      <c r="C27" s="2">
        <f>INCOME!N60</f>
        <v>8850.92053125</v>
      </c>
      <c r="D27" s="2">
        <f>-EXPENSES!K117</f>
        <v>-7039.4940664125</v>
      </c>
      <c r="E27" s="2">
        <f t="shared" si="3"/>
        <v>1811.4264648375</v>
      </c>
      <c r="F27" s="2">
        <v>80</v>
      </c>
      <c r="G27" s="11">
        <f t="shared" ref="G27:G35" si="4">E27-F27</f>
        <v>1731.4264648375</v>
      </c>
      <c r="H27" s="22">
        <f t="shared" ref="H27:H35" si="5">G27*(1-$G$3)</f>
        <v>1558.28381835375</v>
      </c>
    </row>
    <row r="28" spans="2:8">
      <c r="B28" s="2">
        <v>3</v>
      </c>
      <c r="C28" s="2">
        <f>INCOME!N61</f>
        <v>9622.65918124219</v>
      </c>
      <c r="D28" s="2">
        <f>-EXPENSES!K118</f>
        <v>-7583.01545026745</v>
      </c>
      <c r="E28" s="2">
        <f t="shared" si="3"/>
        <v>2039.64373097474</v>
      </c>
      <c r="F28" s="2">
        <v>80</v>
      </c>
      <c r="G28" s="11">
        <f t="shared" si="4"/>
        <v>1959.64373097474</v>
      </c>
      <c r="H28" s="22">
        <f t="shared" si="5"/>
        <v>1763.67935787727</v>
      </c>
    </row>
    <row r="29" spans="2:8">
      <c r="B29" s="2">
        <v>4</v>
      </c>
      <c r="C29" s="2">
        <f>INCOME!N62</f>
        <v>10467.2502552911</v>
      </c>
      <c r="D29" s="2">
        <f>-EXPENSES!K119</f>
        <v>-8175.89531021362</v>
      </c>
      <c r="E29" s="2">
        <f t="shared" si="3"/>
        <v>2291.35494507752</v>
      </c>
      <c r="F29" s="2">
        <v>80</v>
      </c>
      <c r="G29" s="11">
        <f t="shared" si="4"/>
        <v>2211.35494507752</v>
      </c>
      <c r="H29" s="22">
        <f t="shared" si="5"/>
        <v>1990.21945056977</v>
      </c>
    </row>
    <row r="30" spans="2:8">
      <c r="B30" s="2">
        <v>5</v>
      </c>
      <c r="C30" s="2">
        <f>INCOME!N63</f>
        <v>11392.0596860896</v>
      </c>
      <c r="D30" s="2">
        <f>-EXPENSES!K120</f>
        <v>-8823.06564691046</v>
      </c>
      <c r="E30" s="2">
        <f t="shared" si="3"/>
        <v>2568.99403917914</v>
      </c>
      <c r="F30" s="2">
        <v>80</v>
      </c>
      <c r="G30" s="11">
        <f t="shared" si="4"/>
        <v>2488.99403917914</v>
      </c>
      <c r="H30" s="22">
        <f t="shared" si="5"/>
        <v>2240.09463526123</v>
      </c>
    </row>
    <row r="31" spans="2:8">
      <c r="B31" s="2">
        <v>6</v>
      </c>
      <c r="C31" s="2">
        <f>INCOME!N64</f>
        <v>12405.2378071018</v>
      </c>
      <c r="D31" s="2">
        <f>-EXPENSES!K121</f>
        <v>-9529.98255294554</v>
      </c>
      <c r="E31" s="2">
        <f t="shared" si="3"/>
        <v>2875.2552541563</v>
      </c>
      <c r="F31" s="2">
        <v>80</v>
      </c>
      <c r="G31" s="11">
        <f t="shared" si="4"/>
        <v>2795.2552541563</v>
      </c>
      <c r="H31" s="22">
        <f t="shared" si="5"/>
        <v>2515.72972874067</v>
      </c>
    </row>
    <row r="32" spans="2:8">
      <c r="B32" s="2">
        <v>7</v>
      </c>
      <c r="C32" s="2">
        <f>INCOME!N65</f>
        <v>13515.8058874806</v>
      </c>
      <c r="D32" s="2">
        <f>-EXPENSES!K122</f>
        <v>-9636.77714299239</v>
      </c>
      <c r="E32" s="2">
        <f t="shared" si="3"/>
        <v>3879.02874448817</v>
      </c>
      <c r="F32" s="2">
        <v>80</v>
      </c>
      <c r="G32" s="11">
        <f t="shared" si="4"/>
        <v>3799.02874448817</v>
      </c>
      <c r="H32" s="22">
        <f t="shared" si="5"/>
        <v>3419.12587003935</v>
      </c>
    </row>
    <row r="33" spans="2:8">
      <c r="B33" s="2">
        <v>8</v>
      </c>
      <c r="C33" s="2">
        <f>INCOME!N66</f>
        <v>14733.7524295606</v>
      </c>
      <c r="D33" s="2">
        <f>-EXPENSES!K123</f>
        <v>-10471.9591588825</v>
      </c>
      <c r="E33" s="2">
        <f t="shared" si="3"/>
        <v>4261.79327067811</v>
      </c>
      <c r="F33" s="2">
        <v>80</v>
      </c>
      <c r="G33" s="11">
        <f t="shared" si="4"/>
        <v>4181.79327067811</v>
      </c>
      <c r="H33" s="22">
        <f t="shared" si="5"/>
        <v>3763.6139436103</v>
      </c>
    </row>
    <row r="34" spans="2:8">
      <c r="B34" s="2">
        <v>9</v>
      </c>
      <c r="C34" s="2">
        <f>INCOME!N67</f>
        <v>16070.1403453124</v>
      </c>
      <c r="D34" s="2">
        <f>-EXPENSES!K124</f>
        <v>-11386.8629744751</v>
      </c>
      <c r="E34" s="2">
        <f t="shared" si="3"/>
        <v>4683.27737083732</v>
      </c>
      <c r="F34" s="2">
        <v>80</v>
      </c>
      <c r="G34" s="11">
        <f t="shared" si="4"/>
        <v>4603.27737083732</v>
      </c>
      <c r="H34" s="22">
        <f t="shared" si="5"/>
        <v>4142.94963375359</v>
      </c>
    </row>
    <row r="35" ht="14.75" spans="2:8">
      <c r="B35" s="2">
        <v>10</v>
      </c>
      <c r="C35" s="2">
        <f>INCOME!N68</f>
        <v>17537.2262568186</v>
      </c>
      <c r="D35" s="2">
        <f>-EXPENSES!K125</f>
        <v>-12389.6868172032</v>
      </c>
      <c r="E35" s="2">
        <f t="shared" si="3"/>
        <v>5147.53943961541</v>
      </c>
      <c r="F35" s="2">
        <v>80</v>
      </c>
      <c r="G35" s="11">
        <f t="shared" si="4"/>
        <v>5067.53943961541</v>
      </c>
      <c r="H35" s="15">
        <f t="shared" si="5"/>
        <v>4560.78549565387</v>
      </c>
    </row>
  </sheetData>
  <mergeCells count="2">
    <mergeCell ref="B4:H4"/>
    <mergeCell ref="B23:H23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70:K144"/>
  <sheetViews>
    <sheetView zoomScale="80" zoomScaleNormal="80" topLeftCell="A71" workbookViewId="0">
      <selection activeCell="C125" sqref="C125:C144"/>
    </sheetView>
  </sheetViews>
  <sheetFormatPr defaultColWidth="9" defaultRowHeight="14"/>
  <cols>
    <col min="2" max="2" width="17.828125" customWidth="1"/>
    <col min="3" max="3" width="15.3671875" customWidth="1"/>
    <col min="4" max="4" width="13.671875" customWidth="1"/>
    <col min="5" max="5" width="17.8359375" customWidth="1"/>
    <col min="6" max="6" width="19.3671875" customWidth="1"/>
    <col min="7" max="7" width="19.0390625" customWidth="1"/>
    <col min="8" max="8" width="14.578125" customWidth="1"/>
    <col min="9" max="9" width="20.6640625" customWidth="1"/>
  </cols>
  <sheetData>
    <row r="70" spans="1:11">
      <c r="A70" s="6" t="s">
        <v>132</v>
      </c>
      <c r="B70" s="6"/>
      <c r="C70" s="6"/>
      <c r="D70" s="6"/>
      <c r="E70" s="6"/>
      <c r="F70" s="6"/>
      <c r="G70" s="6"/>
      <c r="H70" s="6"/>
      <c r="I70" s="25"/>
      <c r="J70" s="25"/>
      <c r="K70" s="25"/>
    </row>
    <row r="71" spans="1:8">
      <c r="A71" s="7" t="s">
        <v>133</v>
      </c>
      <c r="B71" s="7" t="s">
        <v>134</v>
      </c>
      <c r="C71" s="8" t="s">
        <v>135</v>
      </c>
      <c r="D71" s="9" t="s">
        <v>136</v>
      </c>
      <c r="E71" s="20" t="s">
        <v>137</v>
      </c>
      <c r="F71" s="8" t="s">
        <v>138</v>
      </c>
      <c r="G71" s="9" t="s">
        <v>139</v>
      </c>
      <c r="H71" s="9" t="s">
        <v>140</v>
      </c>
    </row>
    <row r="72" spans="1:8">
      <c r="A72" s="2">
        <v>0</v>
      </c>
      <c r="B72" s="10">
        <f>INCOME!B10+INCOME!C10</f>
        <v>75</v>
      </c>
      <c r="C72" s="11">
        <f>100</f>
        <v>100</v>
      </c>
      <c r="D72" s="12">
        <f>B72*C72</f>
        <v>7500</v>
      </c>
      <c r="E72" s="21">
        <f>INCOME!B27</f>
        <v>5</v>
      </c>
      <c r="F72" s="11">
        <v>50</v>
      </c>
      <c r="G72" s="12">
        <f>E72*F72</f>
        <v>250</v>
      </c>
      <c r="H72" s="22">
        <v>30</v>
      </c>
    </row>
    <row r="73" spans="1:8">
      <c r="A73" s="2">
        <v>1</v>
      </c>
      <c r="B73" s="10">
        <f>INCOME!B11+INCOME!C11</f>
        <v>80.25</v>
      </c>
      <c r="C73" s="13">
        <f>C72*(1+INCOME!$E$6)</f>
        <v>101.5</v>
      </c>
      <c r="D73" s="12">
        <f t="shared" ref="D73:D92" si="0">B73*C73</f>
        <v>8145.375</v>
      </c>
      <c r="E73" s="23">
        <f>E72*(1+INCOME!$C$24)</f>
        <v>5.4</v>
      </c>
      <c r="F73" s="13">
        <f>F72*(1+INCOME!$E$6)</f>
        <v>50.75</v>
      </c>
      <c r="G73" s="12">
        <f t="shared" ref="G73:G93" si="1">E73*F73</f>
        <v>274.05</v>
      </c>
      <c r="H73" s="12">
        <f>H72*(1+INCOME!$C$41)</f>
        <v>30.9</v>
      </c>
    </row>
    <row r="74" spans="1:8">
      <c r="A74" s="2">
        <v>2</v>
      </c>
      <c r="B74" s="10">
        <f>INCOME!B12+INCOME!C12</f>
        <v>85.9125</v>
      </c>
      <c r="C74" s="13">
        <f>C73*(1+INCOME!$E$6)</f>
        <v>103.0225</v>
      </c>
      <c r="D74" s="12">
        <f t="shared" si="0"/>
        <v>8850.92053125</v>
      </c>
      <c r="E74" s="23">
        <f>E73*(1+INCOME!$C$24)</f>
        <v>5.832</v>
      </c>
      <c r="F74" s="13">
        <f>F73*(1+INCOME!$E$6)</f>
        <v>51.51125</v>
      </c>
      <c r="G74" s="12">
        <f t="shared" si="1"/>
        <v>300.41361</v>
      </c>
      <c r="H74" s="12">
        <f>H73*(1+INCOME!$C$41)</f>
        <v>31.827</v>
      </c>
    </row>
    <row r="75" spans="1:8">
      <c r="A75" s="2">
        <v>3</v>
      </c>
      <c r="B75" s="10">
        <f>INCOME!B13+INCOME!C13</f>
        <v>92.023125</v>
      </c>
      <c r="C75" s="13">
        <f>C74*(1+INCOME!$E$6)</f>
        <v>104.5678375</v>
      </c>
      <c r="D75" s="12">
        <f t="shared" si="0"/>
        <v>9622.65918124219</v>
      </c>
      <c r="E75" s="23">
        <f>E74*(1+INCOME!$C$24)</f>
        <v>6.29856</v>
      </c>
      <c r="F75" s="13">
        <f>F74*(1+INCOME!$E$6)</f>
        <v>52.28391875</v>
      </c>
      <c r="G75" s="12">
        <f t="shared" si="1"/>
        <v>329.313399282</v>
      </c>
      <c r="H75" s="12">
        <f>H74*(1+INCOME!$C$41)</f>
        <v>32.78181</v>
      </c>
    </row>
    <row r="76" spans="1:8">
      <c r="A76" s="2">
        <v>4</v>
      </c>
      <c r="B76" s="10">
        <f>INCOME!B14+INCOME!C14</f>
        <v>98.62078125</v>
      </c>
      <c r="C76" s="13">
        <f>C75*(1+INCOME!$E$6)</f>
        <v>106.1363550625</v>
      </c>
      <c r="D76" s="12">
        <f t="shared" si="0"/>
        <v>10467.2502552911</v>
      </c>
      <c r="E76" s="23">
        <f>E75*(1+INCOME!$C$24)</f>
        <v>6.8024448</v>
      </c>
      <c r="F76" s="13">
        <f>F75*(1+INCOME!$E$6)</f>
        <v>53.06817753125</v>
      </c>
      <c r="G76" s="12">
        <f t="shared" si="1"/>
        <v>360.993348292928</v>
      </c>
      <c r="H76" s="12">
        <f>H75*(1+INCOME!$C$41)</f>
        <v>33.7652643</v>
      </c>
    </row>
    <row r="77" spans="1:8">
      <c r="A77" s="2">
        <v>5</v>
      </c>
      <c r="B77" s="10">
        <f>INCOME!B15+INCOME!C15</f>
        <v>105.7479703125</v>
      </c>
      <c r="C77" s="13">
        <f>C76*(1+INCOME!$E$6)</f>
        <v>107.728400388437</v>
      </c>
      <c r="D77" s="12">
        <f t="shared" si="0"/>
        <v>11392.0596860896</v>
      </c>
      <c r="E77" s="23">
        <f>E76*(1+INCOME!$C$24)</f>
        <v>7.346640384</v>
      </c>
      <c r="F77" s="13">
        <f>F76*(1+INCOME!$E$6)</f>
        <v>53.8642001942187</v>
      </c>
      <c r="G77" s="12">
        <f t="shared" si="1"/>
        <v>395.720908398708</v>
      </c>
      <c r="H77" s="12">
        <f>H76*(1+INCOME!$C$41)</f>
        <v>34.778222229</v>
      </c>
    </row>
    <row r="78" spans="1:8">
      <c r="A78" s="2">
        <v>6</v>
      </c>
      <c r="B78" s="10">
        <f>INCOME!B16+INCOME!C16</f>
        <v>113.451133828125</v>
      </c>
      <c r="C78" s="13">
        <f>C77*(1+INCOME!$E$6)</f>
        <v>109.344326394264</v>
      </c>
      <c r="D78" s="12">
        <f t="shared" si="0"/>
        <v>12405.2378071018</v>
      </c>
      <c r="E78" s="23">
        <f>E77*(1+INCOME!$C$24)</f>
        <v>7.93437161472</v>
      </c>
      <c r="F78" s="13">
        <f>F77*(1+INCOME!$E$6)</f>
        <v>54.672163197132</v>
      </c>
      <c r="G78" s="12">
        <f t="shared" si="1"/>
        <v>433.789259786664</v>
      </c>
      <c r="H78" s="12">
        <f>H77*(1+INCOME!$C$41)</f>
        <v>35.82156889587</v>
      </c>
    </row>
    <row r="79" spans="1:8">
      <c r="A79" s="2">
        <v>7</v>
      </c>
      <c r="B79" s="10">
        <f>INCOME!B17+INCOME!C17</f>
        <v>121.781032019531</v>
      </c>
      <c r="C79" s="13">
        <f>C78*(1+INCOME!$E$6)</f>
        <v>110.984491290178</v>
      </c>
      <c r="D79" s="12">
        <f t="shared" si="0"/>
        <v>13515.8058874806</v>
      </c>
      <c r="E79" s="23">
        <f>E78*(1+INCOME!$C$24)</f>
        <v>8.5691213438976</v>
      </c>
      <c r="F79" s="13">
        <f>F78*(1+INCOME!$E$6)</f>
        <v>55.492245645089</v>
      </c>
      <c r="G79" s="12">
        <f t="shared" si="1"/>
        <v>475.519786578141</v>
      </c>
      <c r="H79" s="12">
        <f>H78*(1+INCOME!$C$41)</f>
        <v>36.8962159627461</v>
      </c>
    </row>
    <row r="80" spans="1:8">
      <c r="A80" s="2">
        <v>8</v>
      </c>
      <c r="B80" s="10">
        <f>INCOME!B18+INCOME!C18</f>
        <v>130.793159270508</v>
      </c>
      <c r="C80" s="13">
        <f>C79*(1+INCOME!$E$6)</f>
        <v>112.649258659531</v>
      </c>
      <c r="D80" s="12">
        <f t="shared" si="0"/>
        <v>14733.7524295606</v>
      </c>
      <c r="E80" s="23">
        <f>E79*(1+INCOME!$C$24)</f>
        <v>9.25465105140941</v>
      </c>
      <c r="F80" s="13">
        <f>F79*(1+INCOME!$E$6)</f>
        <v>56.3246293297653</v>
      </c>
      <c r="G80" s="12">
        <f t="shared" si="1"/>
        <v>521.264790046958</v>
      </c>
      <c r="H80" s="12">
        <f>H79*(1+INCOME!$C$41)</f>
        <v>38.0031024416285</v>
      </c>
    </row>
    <row r="81" spans="1:8">
      <c r="A81" s="2">
        <v>9</v>
      </c>
      <c r="B81" s="10">
        <f>INCOME!B19+INCOME!C19</f>
        <v>140.548200449033</v>
      </c>
      <c r="C81" s="13">
        <f>C80*(1+INCOME!$E$6)</f>
        <v>114.338997539424</v>
      </c>
      <c r="D81" s="12">
        <f t="shared" si="0"/>
        <v>16070.1403453124</v>
      </c>
      <c r="E81" s="23">
        <f>E80*(1+INCOME!$C$24)</f>
        <v>9.99502313552217</v>
      </c>
      <c r="F81" s="13">
        <f>F80*(1+INCOME!$E$6)</f>
        <v>57.1694987697118</v>
      </c>
      <c r="G81" s="12">
        <f t="shared" si="1"/>
        <v>571.410462849475</v>
      </c>
      <c r="H81" s="12">
        <f>H80*(1+INCOME!$C$41)</f>
        <v>39.1431955148773</v>
      </c>
    </row>
    <row r="82" spans="1:8">
      <c r="A82" s="2">
        <v>10</v>
      </c>
      <c r="B82" s="10">
        <f>INCOME!B20+INCOME!C20</f>
        <v>151.112532007985</v>
      </c>
      <c r="C82" s="13">
        <f>C81*(1+INCOME!$E$6)</f>
        <v>116.054082502515</v>
      </c>
      <c r="D82" s="12">
        <f t="shared" si="0"/>
        <v>17537.2262568186</v>
      </c>
      <c r="E82" s="23">
        <f>E81*(1+INCOME!$C$24)</f>
        <v>10.7946249863639</v>
      </c>
      <c r="F82" s="13">
        <f>F81*(1+INCOME!$E$6)</f>
        <v>58.0270412512575</v>
      </c>
      <c r="G82" s="12">
        <f t="shared" si="1"/>
        <v>626.380149375595</v>
      </c>
      <c r="H82" s="12">
        <f>H81*(1+INCOME!$C$41)</f>
        <v>40.3174913803237</v>
      </c>
    </row>
    <row r="83" spans="1:8">
      <c r="A83" s="2">
        <v>11</v>
      </c>
      <c r="B83" s="14">
        <v>151</v>
      </c>
      <c r="C83" s="13">
        <f>C82*(1+INCOME!$E$6)</f>
        <v>117.794893740053</v>
      </c>
      <c r="D83" s="12">
        <f t="shared" si="0"/>
        <v>17787.0289547479</v>
      </c>
      <c r="E83" s="23">
        <f>E82*(1+INCOME!$C$24)</f>
        <v>11.6581949852731</v>
      </c>
      <c r="F83" s="13">
        <f>F82*(1+INCOME!$E$6)</f>
        <v>58.8974468700263</v>
      </c>
      <c r="G83" s="12">
        <f t="shared" si="1"/>
        <v>686.637919745527</v>
      </c>
      <c r="H83" s="12">
        <f>H82*(1+INCOME!$C$41)</f>
        <v>41.5270161217334</v>
      </c>
    </row>
    <row r="84" spans="1:8">
      <c r="A84" s="2">
        <v>12</v>
      </c>
      <c r="B84" s="14">
        <v>151</v>
      </c>
      <c r="C84" s="13">
        <f>C83*(1+INCOME!$E$6)</f>
        <v>119.561817146153</v>
      </c>
      <c r="D84" s="12">
        <f t="shared" si="0"/>
        <v>18053.8343890692</v>
      </c>
      <c r="E84" s="23">
        <f>E83*(1+INCOME!$C$24)</f>
        <v>12.5908505840949</v>
      </c>
      <c r="F84" s="13">
        <f>F83*(1+INCOME!$E$6)</f>
        <v>59.7809085730767</v>
      </c>
      <c r="G84" s="12">
        <f t="shared" si="1"/>
        <v>752.692487625047</v>
      </c>
      <c r="H84" s="12">
        <f>H83*(1+INCOME!$C$41)</f>
        <v>42.7728266053854</v>
      </c>
    </row>
    <row r="85" spans="1:8">
      <c r="A85" s="2">
        <v>13</v>
      </c>
      <c r="B85" s="10">
        <v>151</v>
      </c>
      <c r="C85" s="13">
        <f>C84*(1+INCOME!$E$6)</f>
        <v>121.355244403346</v>
      </c>
      <c r="D85" s="12">
        <f t="shared" si="0"/>
        <v>18324.6419049052</v>
      </c>
      <c r="E85" s="23">
        <f>E84*(1+INCOME!$C$24)</f>
        <v>13.5981186308225</v>
      </c>
      <c r="F85" s="13">
        <f>F84*(1+INCOME!$E$6)</f>
        <v>60.6776222016728</v>
      </c>
      <c r="G85" s="12">
        <f t="shared" si="1"/>
        <v>825.101504934576</v>
      </c>
      <c r="H85" s="12">
        <f>H84*(1+INCOME!$C$41)</f>
        <v>44.0560114035469</v>
      </c>
    </row>
    <row r="86" spans="1:8">
      <c r="A86" s="2">
        <v>14</v>
      </c>
      <c r="B86" s="14">
        <v>151</v>
      </c>
      <c r="C86" s="13">
        <f>C85*(1+INCOME!$E$6)</f>
        <v>123.175573069396</v>
      </c>
      <c r="D86" s="12">
        <f t="shared" si="0"/>
        <v>18599.5115334788</v>
      </c>
      <c r="E86" s="23">
        <f>E85*(1+INCOME!$C$24)</f>
        <v>14.6859681212883</v>
      </c>
      <c r="F86" s="13">
        <f>F85*(1+INCOME!$E$6)</f>
        <v>61.5877865346979</v>
      </c>
      <c r="G86" s="12">
        <f t="shared" si="1"/>
        <v>904.476269709283</v>
      </c>
      <c r="H86" s="12">
        <f>H85*(1+INCOME!$C$41)</f>
        <v>45.3776917456534</v>
      </c>
    </row>
    <row r="87" spans="1:8">
      <c r="A87" s="2">
        <v>15</v>
      </c>
      <c r="B87" s="14">
        <v>151</v>
      </c>
      <c r="C87" s="13">
        <f>C86*(1+INCOME!$E$6)</f>
        <v>125.023206665437</v>
      </c>
      <c r="D87" s="12">
        <f t="shared" si="0"/>
        <v>18878.504206481</v>
      </c>
      <c r="E87" s="23">
        <f>E86*(1+INCOME!$C$24)</f>
        <v>15.8608455709914</v>
      </c>
      <c r="F87" s="13">
        <f>F86*(1+INCOME!$E$6)</f>
        <v>62.5116033327184</v>
      </c>
      <c r="G87" s="12">
        <f t="shared" si="1"/>
        <v>991.486886855315</v>
      </c>
      <c r="H87" s="12">
        <f>H86*(1+INCOME!$C$41)</f>
        <v>46.739022498023</v>
      </c>
    </row>
    <row r="88" spans="1:8">
      <c r="A88" s="2">
        <v>16</v>
      </c>
      <c r="B88" s="10">
        <v>151</v>
      </c>
      <c r="C88" s="13">
        <f>C87*(1+INCOME!$E$6)</f>
        <v>126.898554765418</v>
      </c>
      <c r="D88" s="12">
        <f t="shared" si="0"/>
        <v>19161.6817695782</v>
      </c>
      <c r="E88" s="23">
        <f>E87*(1+INCOME!$C$24)</f>
        <v>17.1297132166707</v>
      </c>
      <c r="F88" s="13">
        <f>F87*(1+INCOME!$E$6)</f>
        <v>63.4492773827092</v>
      </c>
      <c r="G88" s="12">
        <f t="shared" si="1"/>
        <v>1086.8679253708</v>
      </c>
      <c r="H88" s="12">
        <f>H87*(1+INCOME!$C$41)</f>
        <v>48.1411931729636</v>
      </c>
    </row>
    <row r="89" spans="1:8">
      <c r="A89" s="2">
        <v>17</v>
      </c>
      <c r="B89" s="14">
        <v>151</v>
      </c>
      <c r="C89" s="13">
        <f>C88*(1+INCOME!$E$6)</f>
        <v>128.8020330869</v>
      </c>
      <c r="D89" s="12">
        <f t="shared" si="0"/>
        <v>19449.1069961218</v>
      </c>
      <c r="E89" s="23">
        <f>E88*(1+INCOME!$C$24)</f>
        <v>18.5000902740043</v>
      </c>
      <c r="F89" s="13">
        <f>F88*(1+INCOME!$E$6)</f>
        <v>64.4010165434498</v>
      </c>
      <c r="G89" s="12">
        <f t="shared" si="1"/>
        <v>1191.42461979147</v>
      </c>
      <c r="H89" s="12">
        <f>H88*(1+INCOME!$C$41)</f>
        <v>49.5854289681526</v>
      </c>
    </row>
    <row r="90" spans="1:8">
      <c r="A90" s="2">
        <v>18</v>
      </c>
      <c r="B90" s="14">
        <v>151</v>
      </c>
      <c r="C90" s="13">
        <f>C89*(1+INCOME!$E$6)</f>
        <v>130.734063583203</v>
      </c>
      <c r="D90" s="12">
        <f t="shared" si="0"/>
        <v>19740.8436010637</v>
      </c>
      <c r="E90" s="23">
        <f>E89*(1+INCOME!$C$24)</f>
        <v>19.9800974959247</v>
      </c>
      <c r="F90" s="13">
        <f>F89*(1+INCOME!$E$6)</f>
        <v>65.3670317916015</v>
      </c>
      <c r="G90" s="12">
        <f t="shared" si="1"/>
        <v>1306.03966821541</v>
      </c>
      <c r="H90" s="12">
        <f>H89*(1+INCOME!$C$41)</f>
        <v>51.0729918371971</v>
      </c>
    </row>
    <row r="91" spans="1:8">
      <c r="A91" s="2">
        <v>19</v>
      </c>
      <c r="B91" s="10">
        <v>151</v>
      </c>
      <c r="C91" s="13">
        <f>C90*(1+INCOME!$E$6)</f>
        <v>132.695074536951</v>
      </c>
      <c r="D91" s="12">
        <f t="shared" si="0"/>
        <v>20036.9562550796</v>
      </c>
      <c r="E91" s="23">
        <f>E90*(1+INCOME!$C$24)</f>
        <v>21.5785052955987</v>
      </c>
      <c r="F91" s="13">
        <f>F90*(1+INCOME!$E$6)</f>
        <v>66.3475372684755</v>
      </c>
      <c r="G91" s="12">
        <f t="shared" si="1"/>
        <v>1431.68068429773</v>
      </c>
      <c r="H91" s="12">
        <f>H90*(1+INCOME!$C$41)</f>
        <v>52.6051815923131</v>
      </c>
    </row>
    <row r="92" spans="1:8">
      <c r="A92" s="2">
        <v>20</v>
      </c>
      <c r="B92" s="14">
        <v>151</v>
      </c>
      <c r="C92" s="13">
        <f>C91*(1+INCOME!$E$6)</f>
        <v>134.685500655005</v>
      </c>
      <c r="D92" s="12">
        <f t="shared" si="0"/>
        <v>20337.5105989058</v>
      </c>
      <c r="E92" s="23">
        <f>E91*(1+INCOME!$C$24)</f>
        <v>23.3047857192465</v>
      </c>
      <c r="F92" s="13">
        <f>F91*(1+INCOME!$E$6)</f>
        <v>67.3427503275027</v>
      </c>
      <c r="G92" s="12">
        <f t="shared" si="1"/>
        <v>1569.40836612717</v>
      </c>
      <c r="H92" s="12">
        <f>H91*(1+INCOME!$C$41)</f>
        <v>54.1833370400824</v>
      </c>
    </row>
    <row r="93" ht="14.75" spans="1:8">
      <c r="A93" s="2"/>
      <c r="B93" s="2"/>
      <c r="C93" s="11"/>
      <c r="D93" s="15"/>
      <c r="E93" s="21"/>
      <c r="F93" s="11"/>
      <c r="G93" s="24"/>
      <c r="H93" s="15"/>
    </row>
    <row r="96" spans="1:10">
      <c r="A96" s="16" t="s">
        <v>141</v>
      </c>
      <c r="B96" s="17"/>
      <c r="C96" s="17"/>
      <c r="D96" s="17"/>
      <c r="E96" s="17"/>
      <c r="F96" s="17"/>
      <c r="G96" s="17"/>
      <c r="H96" s="17"/>
      <c r="I96" s="17"/>
      <c r="J96" s="17"/>
    </row>
    <row r="97" spans="1:10">
      <c r="A97" t="s">
        <v>124</v>
      </c>
      <c r="B97" t="s">
        <v>142</v>
      </c>
      <c r="C97" t="s">
        <v>143</v>
      </c>
      <c r="D97" t="s">
        <v>144</v>
      </c>
      <c r="E97" t="s">
        <v>145</v>
      </c>
      <c r="F97" t="s">
        <v>146</v>
      </c>
      <c r="G97" t="s">
        <v>147</v>
      </c>
      <c r="H97" t="s">
        <v>148</v>
      </c>
      <c r="I97" t="s">
        <v>149</v>
      </c>
      <c r="J97" t="s">
        <v>150</v>
      </c>
    </row>
    <row r="98" spans="1:3">
      <c r="A98">
        <v>0</v>
      </c>
      <c r="B98">
        <v>1000</v>
      </c>
      <c r="C98">
        <v>150</v>
      </c>
    </row>
    <row r="99" spans="1:1">
      <c r="A99">
        <v>1</v>
      </c>
    </row>
    <row r="100" spans="1:1">
      <c r="A100">
        <v>2</v>
      </c>
    </row>
    <row r="101" spans="1:1">
      <c r="A101">
        <v>3</v>
      </c>
    </row>
    <row r="102" spans="1:1">
      <c r="A102">
        <v>4</v>
      </c>
    </row>
    <row r="103" spans="1:1">
      <c r="A103">
        <v>5</v>
      </c>
    </row>
    <row r="104" spans="1:1">
      <c r="A104">
        <v>6</v>
      </c>
    </row>
    <row r="105" spans="1:1">
      <c r="A105">
        <v>7</v>
      </c>
    </row>
    <row r="106" spans="1:1">
      <c r="A106">
        <v>8</v>
      </c>
    </row>
    <row r="107" spans="1:1">
      <c r="A107">
        <v>9</v>
      </c>
    </row>
    <row r="108" spans="1:1">
      <c r="A108">
        <v>10</v>
      </c>
    </row>
    <row r="109" spans="1:1">
      <c r="A109">
        <v>11</v>
      </c>
    </row>
    <row r="110" spans="1:1">
      <c r="A110">
        <v>12</v>
      </c>
    </row>
    <row r="111" spans="1:1">
      <c r="A111">
        <v>13</v>
      </c>
    </row>
    <row r="112" spans="1:1">
      <c r="A112">
        <v>14</v>
      </c>
    </row>
    <row r="113" spans="1:1">
      <c r="A113">
        <v>15</v>
      </c>
    </row>
    <row r="114" spans="1:1">
      <c r="A114">
        <v>16</v>
      </c>
    </row>
    <row r="115" spans="1:1">
      <c r="A115">
        <v>17</v>
      </c>
    </row>
    <row r="116" spans="1:1">
      <c r="A116">
        <v>18</v>
      </c>
    </row>
    <row r="117" spans="1:1">
      <c r="A117">
        <v>19</v>
      </c>
    </row>
    <row r="118" spans="1:1">
      <c r="A118">
        <v>20</v>
      </c>
    </row>
    <row r="122" spans="2:5">
      <c r="B122" s="18" t="s">
        <v>151</v>
      </c>
      <c r="C122" s="18"/>
      <c r="D122" s="18"/>
      <c r="E122" s="18"/>
    </row>
    <row r="123" spans="1:5">
      <c r="A123" t="s">
        <v>133</v>
      </c>
      <c r="B123" t="s">
        <v>152</v>
      </c>
      <c r="C123" t="s">
        <v>153</v>
      </c>
      <c r="D123" t="s">
        <v>154</v>
      </c>
      <c r="E123" t="s">
        <v>17</v>
      </c>
    </row>
    <row r="124" spans="1:3">
      <c r="A124">
        <v>0</v>
      </c>
      <c r="B124">
        <v>360</v>
      </c>
      <c r="C124">
        <v>40</v>
      </c>
    </row>
    <row r="125" spans="1:3">
      <c r="A125">
        <v>1</v>
      </c>
      <c r="B125" s="19">
        <f>B124*(1+EXPENSES!$C$62)</f>
        <v>378</v>
      </c>
      <c r="C125" s="19">
        <f>C124*(1+EXPENSES!$C$62)</f>
        <v>42</v>
      </c>
    </row>
    <row r="126" spans="1:3">
      <c r="A126">
        <v>2</v>
      </c>
      <c r="B126" s="19">
        <f>B125*(1+EXPENSES!$C$62)</f>
        <v>396.9</v>
      </c>
      <c r="C126" s="19">
        <f>C125*(1+EXPENSES!$C$62)</f>
        <v>44.1</v>
      </c>
    </row>
    <row r="127" spans="1:3">
      <c r="A127">
        <v>3</v>
      </c>
      <c r="B127" s="19">
        <f>B126*(1+EXPENSES!$C$62)</f>
        <v>416.745</v>
      </c>
      <c r="C127" s="19">
        <f>C126*(1+EXPENSES!$C$62)</f>
        <v>46.305</v>
      </c>
    </row>
    <row r="128" spans="1:3">
      <c r="A128">
        <v>4</v>
      </c>
      <c r="B128" s="19">
        <f>B127*(1+EXPENSES!$C$62)</f>
        <v>437.58225</v>
      </c>
      <c r="C128" s="19">
        <f>C127*(1+EXPENSES!$C$62)</f>
        <v>48.62025</v>
      </c>
    </row>
    <row r="129" spans="1:3">
      <c r="A129">
        <v>5</v>
      </c>
      <c r="B129" s="19">
        <f>B128*(1+EXPENSES!$C$62)</f>
        <v>459.4613625</v>
      </c>
      <c r="C129" s="19">
        <f>C128*(1+EXPENSES!$C$62)</f>
        <v>51.0512625</v>
      </c>
    </row>
    <row r="130" spans="1:3">
      <c r="A130">
        <v>6</v>
      </c>
      <c r="B130" s="19">
        <f>B129*(1+EXPENSES!$C$62)</f>
        <v>482.434430625</v>
      </c>
      <c r="C130" s="19">
        <f>C129*(1+EXPENSES!$C$62)</f>
        <v>53.603825625</v>
      </c>
    </row>
    <row r="131" spans="1:3">
      <c r="A131">
        <v>7</v>
      </c>
      <c r="B131" s="19">
        <f>B130*(1+EXPENSES!$C$62)</f>
        <v>506.55615215625</v>
      </c>
      <c r="C131" s="19">
        <f>C130*(1+EXPENSES!$C$62)</f>
        <v>56.28401690625</v>
      </c>
    </row>
    <row r="132" spans="1:3">
      <c r="A132">
        <v>8</v>
      </c>
      <c r="B132" s="19">
        <f>B131*(1+EXPENSES!$C$62)</f>
        <v>531.883959764063</v>
      </c>
      <c r="C132" s="19">
        <f>C131*(1+EXPENSES!$C$62)</f>
        <v>59.0982177515625</v>
      </c>
    </row>
    <row r="133" spans="1:3">
      <c r="A133">
        <v>9</v>
      </c>
      <c r="B133" s="19">
        <f>B132*(1+EXPENSES!$C$62)</f>
        <v>558.478157752266</v>
      </c>
      <c r="C133" s="19">
        <f>C132*(1+EXPENSES!$C$62)</f>
        <v>62.0531286391407</v>
      </c>
    </row>
    <row r="134" spans="1:3">
      <c r="A134">
        <v>10</v>
      </c>
      <c r="B134" s="19">
        <f>B133*(1+EXPENSES!$C$62)</f>
        <v>586.402065639879</v>
      </c>
      <c r="C134" s="19">
        <f>C133*(1+EXPENSES!$C$62)</f>
        <v>65.1557850710977</v>
      </c>
    </row>
    <row r="135" spans="1:3">
      <c r="A135">
        <v>11</v>
      </c>
      <c r="B135" s="19">
        <f>B134*(1+EXPENSES!$C$62)</f>
        <v>615.722168921873</v>
      </c>
      <c r="C135" s="19">
        <f>C134*(1+EXPENSES!$C$62)</f>
        <v>68.4135743246526</v>
      </c>
    </row>
    <row r="136" spans="1:3">
      <c r="A136">
        <v>12</v>
      </c>
      <c r="B136" s="19">
        <f>B135*(1+EXPENSES!$C$62)</f>
        <v>646.508277367967</v>
      </c>
      <c r="C136" s="19">
        <f>C135*(1+EXPENSES!$C$62)</f>
        <v>71.8342530408852</v>
      </c>
    </row>
    <row r="137" spans="1:3">
      <c r="A137">
        <v>13</v>
      </c>
      <c r="B137" s="19">
        <f>B136*(1+EXPENSES!$C$62)</f>
        <v>678.833691236365</v>
      </c>
      <c r="C137" s="19">
        <f>C136*(1+EXPENSES!$C$62)</f>
        <v>75.4259656929295</v>
      </c>
    </row>
    <row r="138" spans="1:3">
      <c r="A138">
        <v>14</v>
      </c>
      <c r="B138" s="19">
        <f>B137*(1+EXPENSES!$C$62)</f>
        <v>712.775375798184</v>
      </c>
      <c r="C138" s="19">
        <f>C137*(1+EXPENSES!$C$62)</f>
        <v>79.1972639775759</v>
      </c>
    </row>
    <row r="139" spans="1:3">
      <c r="A139">
        <v>15</v>
      </c>
      <c r="B139" s="19">
        <f>B138*(1+EXPENSES!$C$62)</f>
        <v>748.414144588093</v>
      </c>
      <c r="C139" s="19">
        <f>C138*(1+EXPENSES!$C$62)</f>
        <v>83.1571271764548</v>
      </c>
    </row>
    <row r="140" spans="1:3">
      <c r="A140">
        <v>16</v>
      </c>
      <c r="B140" s="19">
        <f>B139*(1+EXPENSES!$C$62)</f>
        <v>785.834851817497</v>
      </c>
      <c r="C140" s="19">
        <f>C139*(1+EXPENSES!$C$62)</f>
        <v>87.3149835352775</v>
      </c>
    </row>
    <row r="141" spans="1:3">
      <c r="A141">
        <v>17</v>
      </c>
      <c r="B141" s="19">
        <f>B140*(1+EXPENSES!$C$62)</f>
        <v>825.126594408372</v>
      </c>
      <c r="C141" s="19">
        <f>C140*(1+EXPENSES!$C$62)</f>
        <v>91.6807327120414</v>
      </c>
    </row>
    <row r="142" spans="1:3">
      <c r="A142">
        <v>18</v>
      </c>
      <c r="B142" s="19">
        <f>B141*(1+EXPENSES!$C$62)</f>
        <v>866.382924128791</v>
      </c>
      <c r="C142" s="19">
        <f>C141*(1+EXPENSES!$C$62)</f>
        <v>96.2647693476435</v>
      </c>
    </row>
    <row r="143" spans="1:3">
      <c r="A143">
        <v>19</v>
      </c>
      <c r="B143" s="19">
        <f>B142*(1+EXPENSES!$C$62)</f>
        <v>909.702070335231</v>
      </c>
      <c r="C143" s="19">
        <f>C142*(1+EXPENSES!$C$62)</f>
        <v>101.078007815026</v>
      </c>
    </row>
    <row r="144" spans="1:3">
      <c r="A144">
        <v>20</v>
      </c>
      <c r="B144" s="19">
        <f>B143*(1+EXPENSES!$C$62)</f>
        <v>955.187173851992</v>
      </c>
      <c r="C144" s="19">
        <f>C143*(1+EXPENSES!$C$62)</f>
        <v>106.131908205777</v>
      </c>
    </row>
  </sheetData>
  <mergeCells count="3">
    <mergeCell ref="A70:K70"/>
    <mergeCell ref="A96:J96"/>
    <mergeCell ref="B122:E122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3:J14"/>
  <sheetViews>
    <sheetView workbookViewId="0">
      <selection activeCell="J4" sqref="J4"/>
    </sheetView>
  </sheetViews>
  <sheetFormatPr defaultColWidth="9" defaultRowHeight="14"/>
  <cols>
    <col min="4" max="4" width="12.6875"/>
    <col min="10" max="10" width="10.5625"/>
  </cols>
  <sheetData>
    <row r="3" spans="3:10">
      <c r="C3" s="1" t="s">
        <v>124</v>
      </c>
      <c r="D3" s="1" t="s">
        <v>155</v>
      </c>
      <c r="I3" s="1" t="s">
        <v>156</v>
      </c>
      <c r="J3" s="1" t="s">
        <v>157</v>
      </c>
    </row>
    <row r="4" spans="3:10">
      <c r="C4" s="2">
        <v>0</v>
      </c>
      <c r="D4" s="2">
        <f>'QUESTION 1'!E6</f>
        <v>-1150</v>
      </c>
      <c r="I4" s="4">
        <v>0.05</v>
      </c>
      <c r="J4" s="5">
        <f>NPV(I4,$D$5,$D$6,$D$7,$D$8,$D$9,$D$10,$D$11,$D$12,$D$13,$D$14)+$D$4</f>
        <v>19753.9617004156</v>
      </c>
    </row>
    <row r="5" spans="3:10">
      <c r="C5" s="2">
        <v>1</v>
      </c>
      <c r="D5" s="3">
        <f>'QUESTION 1'!H7</f>
        <v>1263.820725</v>
      </c>
      <c r="I5" s="4">
        <v>0.07</v>
      </c>
      <c r="J5" s="5">
        <f t="shared" ref="J5:J14" si="0">NPV(I5,$D$5,$D$6,$D$7,$D$8,$D$9,$D$10,$D$11,$D$12,$D$13,$D$14)+$D$4</f>
        <v>17305.3629656329</v>
      </c>
    </row>
    <row r="6" spans="3:10">
      <c r="C6" s="2">
        <v>2</v>
      </c>
      <c r="D6" s="3">
        <f>'QUESTION 1'!H8</f>
        <v>1437.35527299375</v>
      </c>
      <c r="I6" s="4">
        <v>0.09</v>
      </c>
      <c r="J6" s="5">
        <f t="shared" si="0"/>
        <v>15229.8152380996</v>
      </c>
    </row>
    <row r="7" spans="3:10">
      <c r="C7" s="2">
        <v>3</v>
      </c>
      <c r="D7" s="3">
        <f>'QUESTION 1'!H9</f>
        <v>1628.47438164283</v>
      </c>
      <c r="I7" s="4">
        <v>0.11</v>
      </c>
      <c r="J7" s="5">
        <f t="shared" si="0"/>
        <v>13461.8999524881</v>
      </c>
    </row>
    <row r="8" spans="3:10">
      <c r="C8" s="2">
        <v>4</v>
      </c>
      <c r="D8" s="3">
        <f>'QUESTION 1'!H10</f>
        <v>1838.95662982505</v>
      </c>
      <c r="I8" s="4">
        <v>0.13</v>
      </c>
      <c r="J8" s="5">
        <f t="shared" si="0"/>
        <v>11948.880206289</v>
      </c>
    </row>
    <row r="9" spans="3:10">
      <c r="C9" s="2">
        <v>5</v>
      </c>
      <c r="D9" s="3">
        <f>'QUESTION 1'!H11</f>
        <v>2070.76626540587</v>
      </c>
      <c r="I9" s="4">
        <v>0.15</v>
      </c>
      <c r="J9" s="5">
        <f t="shared" si="0"/>
        <v>10648.0374382372</v>
      </c>
    </row>
    <row r="10" spans="3:10">
      <c r="C10" s="2">
        <v>6</v>
      </c>
      <c r="D10" s="3">
        <f>'QUESTION 1'!H12</f>
        <v>2326.07321590457</v>
      </c>
      <c r="I10" s="4">
        <v>0.17</v>
      </c>
      <c r="J10" s="5">
        <f t="shared" si="0"/>
        <v>9524.60659251802</v>
      </c>
    </row>
    <row r="11" spans="3:10">
      <c r="C11" s="2">
        <v>7</v>
      </c>
      <c r="D11" s="3">
        <f>'QUESTION 1'!H13</f>
        <v>3206.5915635771</v>
      </c>
      <c r="I11" s="4">
        <v>0.19</v>
      </c>
      <c r="J11" s="5">
        <f t="shared" si="0"/>
        <v>8550.16709961242</v>
      </c>
    </row>
    <row r="12" spans="3:10">
      <c r="C12" s="2">
        <v>8</v>
      </c>
      <c r="D12" s="3">
        <f>'QUESTION 1'!H14</f>
        <v>3525.32895968206</v>
      </c>
      <c r="I12" s="4">
        <v>0.21</v>
      </c>
      <c r="J12" s="5">
        <f t="shared" si="0"/>
        <v>7701.38285184787</v>
      </c>
    </row>
    <row r="13" spans="3:10">
      <c r="C13" s="2">
        <v>9</v>
      </c>
      <c r="D13" s="3">
        <f>'QUESTION 1'!H15</f>
        <v>3875.6771767125</v>
      </c>
      <c r="I13" s="4">
        <v>0.23</v>
      </c>
      <c r="J13" s="5">
        <f t="shared" si="0"/>
        <v>6959.01075339439</v>
      </c>
    </row>
    <row r="14" spans="3:10">
      <c r="C14" s="2">
        <v>10</v>
      </c>
      <c r="D14" s="3">
        <f>'QUESTION 1'!H16+EXPENSES!E109</f>
        <v>8071.91290611485</v>
      </c>
      <c r="I14" s="4">
        <v>0.25</v>
      </c>
      <c r="J14" s="5">
        <f t="shared" si="0"/>
        <v>6307.11697981994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EXPENSES</vt:lpstr>
      <vt:lpstr>INCOME</vt:lpstr>
      <vt:lpstr>QUESTION 1</vt:lpstr>
      <vt:lpstr>QUESTION 3 CALCULATIONS</vt:lpstr>
      <vt:lpstr>QUESTION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raghavchugh</dc:creator>
  <dcterms:created xsi:type="dcterms:W3CDTF">2022-02-18T21:26:00Z</dcterms:created>
  <dcterms:modified xsi:type="dcterms:W3CDTF">2022-02-20T22:53:35Z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1033-3.2.0.6370</vt:lpwstr>
  </property>
</Properties>
</file>