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tan Company" sheetId="1" r:id="rId4"/>
    <sheet state="visible" name="Information for Titan" sheetId="2" r:id="rId5"/>
    <sheet state="visible" name="DATA - TRENTS" sheetId="3" r:id="rId6"/>
    <sheet state="visible" name="Ratio Analysis Trent" sheetId="4" r:id="rId7"/>
    <sheet state="visible" name="BATA Data 69" sheetId="5" r:id="rId8"/>
    <sheet state="visible" name="RATIOS BATA" sheetId="6" r:id="rId9"/>
    <sheet state="visible" name="67 - Avenue Supermarts" sheetId="7" r:id="rId10"/>
  </sheets>
  <definedNames/>
  <calcPr/>
  <extLst>
    <ext uri="GoogleSheetsCustomDataVersion1">
      <go:sheetsCustomData xmlns:go="http://customooxmlschemas.google.com/" r:id="rId11" roundtripDataSignature="AMtx7mhZFfv9kpmKE08XLN4fna0dp+5lq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35">
      <text>
        <t xml:space="preserve">======
ID#AAAAZyesmGc
Het Shah    (2022-05-29 15:30:21)
all the ratio and value are taken from the money control site.</t>
      </text>
    </comment>
    <comment authorId="0" ref="A40">
      <text>
        <t xml:space="preserve">======
ID#AAAAZyesmGY
Het Shah    (2022-05-29 15:29:05)
Formula used:
assets
--------------------
share capital</t>
      </text>
    </comment>
    <comment authorId="0" ref="A39">
      <text>
        <t xml:space="preserve">======
ID#AAAAZyesmGU
Het Shah    (2022-05-29 15:28:17)
Formula used:
sales
-----------
assets</t>
      </text>
    </comment>
    <comment authorId="0" ref="A38">
      <text>
        <t xml:space="preserve">======
ID#AAAAZyesmGQ
Het Shah    (2022-05-29 15:27:04)
Formula used:
net profit
----------------
sales</t>
      </text>
    </comment>
    <comment authorId="0" ref="A19">
      <text>
        <t xml:space="preserve">======
ID#AAAAZ01sBwY
Formula used    (2022-05-29 08:44:51)
net profit
--------------------------- X 100
share capital + reserve</t>
      </text>
    </comment>
    <comment authorId="0" ref="A31">
      <text>
        <t xml:space="preserve">======
ID#AAAAZ01sBwM
Formula used    (2022-05-29 08:44:51)
MPS
------
ID#AAAAZ01sBwQ
a    (2022-05-29 08:44:51)
EPS</t>
      </text>
    </comment>
    <comment authorId="0" ref="A33">
      <text>
        <t xml:space="preserve">======
ID#AAAAZ01sBwU
Formula used    (2022-05-29 08:44:51)
EPS
-----
DPS</t>
      </text>
    </comment>
    <comment authorId="0" ref="A24">
      <text>
        <t xml:space="preserve">======
ID#AAAAZ01sBwI
a    (2022-05-29 08:44:51)
Formula used;
Borrowing
--------------
Equity</t>
      </text>
    </comment>
    <comment authorId="0" ref="A16">
      <text>
        <t xml:space="preserve">======
ID#AAAAZ01sBwE
Formula used     (2022-05-29 08:44:51)
profit Before Tax
----------------------------- X 100
Share Capital+Reserve</t>
      </text>
    </comment>
    <comment authorId="0" ref="A21">
      <text>
        <t xml:space="preserve">======
ID#AAAAZ01sBwA
a    (2022-05-29 08:44:51)
all the values are taken from the Screener site.</t>
      </text>
    </comment>
    <comment authorId="0" ref="A17">
      <text>
        <t xml:space="preserve">======
ID#AAAAZ01sBv8
Formula used    (2022-05-29 08:44:51)
sales
------------------------------------------------
share capital + reserve+long term debt</t>
      </text>
    </comment>
    <comment authorId="0" ref="A13">
      <text>
        <t xml:space="preserve">======
ID#AAAAZ01sBv4
a    (2022-05-29 08:44:51)
all the values had been taken from the Screener site.</t>
      </text>
    </comment>
    <comment authorId="0" ref="A30">
      <text>
        <t xml:space="preserve">======
ID#AAAAZ01sBv0
Formula used    (2022-05-29 08:44:51)
Net Profit
---------------------
Number of Share</t>
      </text>
    </comment>
    <comment authorId="0" ref="A27">
      <text>
        <t xml:space="preserve">======
ID#AAAAZ01sBvw
a    (2022-05-29 08:44:51)
Information for the following Ratio are taken from Money Control Site.</t>
      </text>
    </comment>
    <comment authorId="0" ref="A6">
      <text>
        <t xml:space="preserve">======
ID#AAAAZ01sBvs
a    (2022-05-29 08:44:51)
values are taken from the Money Control Site.</t>
      </text>
    </comment>
    <comment authorId="0" ref="A10">
      <text>
        <t xml:space="preserve">======
ID#AAAAZ01sBvo
a    (2022-05-29 08:44:51)
Formula used;
Current asset - Inventries
---------------------------------
Current liability</t>
      </text>
    </comment>
    <comment authorId="0" ref="A32">
      <text>
        <t xml:space="preserve">======
ID#AAAAZ01sBvg
Formula used    (2022-05-29 08:44:51)
DPS
------
ID#AAAAZ01sBvk
a    (2022-05-29 08:44:51)
MPS</t>
      </text>
    </comment>
    <comment authorId="0" ref="A25">
      <text>
        <t xml:space="preserve">======
ID#AAAAZ01sBvc
Formula used    (2022-05-29 08:44:51)
interest on borrowing
-----------------------------------
profit before interest and tax</t>
      </text>
    </comment>
    <comment authorId="0" ref="A9">
      <text>
        <t xml:space="preserve">======
ID#AAAAZ01sBvY
Formula used    (2022-05-29 08:44:51)
Current asset
------------------
Current liability</t>
      </text>
    </comment>
    <comment authorId="0" ref="A18">
      <text>
        <t xml:space="preserve">======
ID#AAAAZ01sBvU
Formula used    (2022-05-29 08:44:51)
profit before tax and interest
------------------------------------
                 sales</t>
      </text>
    </comment>
  </commentList>
  <extLst>
    <ext uri="GoogleSheetsCustomDataVersion1">
      <go:sheetsCustomData xmlns:go="http://customooxmlschemas.google.com/" r:id="rId1" roundtripDataSignature="AMtx7mibMhCTjdMQSNC+cUMe2fvO6zVgiQ=="/>
    </ext>
  </extLst>
</comments>
</file>

<file path=xl/sharedStrings.xml><?xml version="1.0" encoding="utf-8"?>
<sst xmlns="http://schemas.openxmlformats.org/spreadsheetml/2006/main" count="241" uniqueCount="160">
  <si>
    <t>TITAN COMPANY  LTD.</t>
  </si>
  <si>
    <t>Roll no</t>
  </si>
  <si>
    <t>Class</t>
  </si>
  <si>
    <t>FY B Sc [B]</t>
  </si>
  <si>
    <t>Liquidity Ratio</t>
  </si>
  <si>
    <t>Curent Ratio</t>
  </si>
  <si>
    <t>Quick Ratio</t>
  </si>
  <si>
    <t>Profitability Ratio</t>
  </si>
  <si>
    <t>Return on Capital Employee</t>
  </si>
  <si>
    <t>Asset Utilisation Ratio</t>
  </si>
  <si>
    <t>Profit Margin</t>
  </si>
  <si>
    <t>Return on Equity</t>
  </si>
  <si>
    <t>Gearing Ratio</t>
  </si>
  <si>
    <t>Asset Gearing</t>
  </si>
  <si>
    <t>Income Gearing</t>
  </si>
  <si>
    <t>Inventors Ratio</t>
  </si>
  <si>
    <t>Earning Per Share</t>
  </si>
  <si>
    <t>Price to earning ratio</t>
  </si>
  <si>
    <t>Dividend yeild</t>
  </si>
  <si>
    <t>Dividend Cover</t>
  </si>
  <si>
    <t>Dupont Analysis</t>
  </si>
  <si>
    <t>Asset turnover</t>
  </si>
  <si>
    <t>Financial Levearge</t>
  </si>
  <si>
    <t>Information</t>
  </si>
  <si>
    <t xml:space="preserve">Share Capital </t>
  </si>
  <si>
    <t>Reserves</t>
  </si>
  <si>
    <t>Borrowings</t>
  </si>
  <si>
    <t xml:space="preserve">Other Liabilities </t>
  </si>
  <si>
    <t>Total Liabilities</t>
  </si>
  <si>
    <t xml:space="preserve">Fixed Assets </t>
  </si>
  <si>
    <t>CWIP</t>
  </si>
  <si>
    <t>Investments</t>
  </si>
  <si>
    <t xml:space="preserve">Other Assets </t>
  </si>
  <si>
    <t>Total Assets</t>
  </si>
  <si>
    <t xml:space="preserve">Sales </t>
  </si>
  <si>
    <t xml:space="preserve">Expenses </t>
  </si>
  <si>
    <t>Operating Profit</t>
  </si>
  <si>
    <t>OPM %</t>
  </si>
  <si>
    <t xml:space="preserve">Other Income </t>
  </si>
  <si>
    <t>Interest</t>
  </si>
  <si>
    <t>Depreciation</t>
  </si>
  <si>
    <t>Profit before tax</t>
  </si>
  <si>
    <t>Tax %</t>
  </si>
  <si>
    <t>Net Profit</t>
  </si>
  <si>
    <t>EPS in Rs</t>
  </si>
  <si>
    <t>Dividend Payout %</t>
  </si>
  <si>
    <t>TRENT LTD. - 70</t>
  </si>
  <si>
    <t>COMPREHENSIVE INCOME STATEMENT</t>
  </si>
  <si>
    <t>PARTICULARS</t>
  </si>
  <si>
    <t>Sales</t>
  </si>
  <si>
    <t>Expenses</t>
  </si>
  <si>
    <t>Other Income</t>
  </si>
  <si>
    <t>FINANCIAL STATEMENT</t>
  </si>
  <si>
    <t>Share Capital</t>
  </si>
  <si>
    <t>Other Liabilities</t>
  </si>
  <si>
    <t>Fixed Assets</t>
  </si>
  <si>
    <t>Other Assets</t>
  </si>
  <si>
    <t>Inventories</t>
  </si>
  <si>
    <t>Intangible Assets</t>
  </si>
  <si>
    <t>Ratio Aanlysis of Trent Ltd.</t>
  </si>
  <si>
    <t>Liquidity Ratios</t>
  </si>
  <si>
    <t>Current Ratio</t>
  </si>
  <si>
    <t>Profitablitiy Ratios</t>
  </si>
  <si>
    <t>ROCE</t>
  </si>
  <si>
    <t>Asset utlization ratio</t>
  </si>
  <si>
    <t>Gearing Ratios</t>
  </si>
  <si>
    <t>Investors Ratio</t>
  </si>
  <si>
    <t>Shareholders Equity Ratio</t>
  </si>
  <si>
    <t>Asset Turnover Ratio</t>
  </si>
  <si>
    <t>Financial Leverage</t>
  </si>
  <si>
    <t>Dupont's ROE</t>
  </si>
  <si>
    <t>ROLL NO 69.</t>
  </si>
  <si>
    <t>RATIOS FOR BATA INDIA LTD. (FY 2013-2022)</t>
  </si>
  <si>
    <t>A) LIQUIDITY RATIOS :</t>
  </si>
  <si>
    <t>DEFINITION :</t>
  </si>
  <si>
    <t>While it is important for a business to be profitable, profit is not sufficient on its own to guarantee survival. There must be</t>
  </si>
  <si>
    <t>sufficient liquid assets available to ensure that short term commitments can be met. Otherwise the company could be forced into</t>
  </si>
  <si>
    <t>liquidation.</t>
  </si>
  <si>
    <t>TYPES OF LIQUIDITY RATIOS :</t>
  </si>
  <si>
    <t>1)CURRENT RATIO:</t>
  </si>
  <si>
    <t>The current ratio is a liquidity ratio that measures a company's ability to pay short-term obligations or those due within one year.</t>
  </si>
  <si>
    <t>FORMULA:</t>
  </si>
  <si>
    <t>Current Assets/Current Liabilities</t>
  </si>
  <si>
    <t>YEAR</t>
  </si>
  <si>
    <t>CURRENT ASSETS</t>
  </si>
  <si>
    <t>CURRENT LIABILITIES</t>
  </si>
  <si>
    <t>CURRENT RATIO</t>
  </si>
  <si>
    <t>2)QUICK RATIO:</t>
  </si>
  <si>
    <t>The quick ratio is a calculation that measures a company's ability to meet its short-term obligations with its most liquid assets.</t>
  </si>
  <si>
    <t>Current Assets - Inventories/Current Liabilities</t>
  </si>
  <si>
    <t>INVENTORIES</t>
  </si>
  <si>
    <t>QUICK RATIO</t>
  </si>
  <si>
    <t>B) PROFITABILITY RATIOS:</t>
  </si>
  <si>
    <t>Profitability ratios are a class of financial metrics that are used to assess a business's ability</t>
  </si>
  <si>
    <t>to generate earnings relative to its revenue, operating costs, balance sheet assets, or</t>
  </si>
  <si>
    <t>shareholders' equity over time, using data from a specific point in time.</t>
  </si>
  <si>
    <t>TYPES OF PROFITABILITY RATIOS:</t>
  </si>
  <si>
    <t>1)ROCE :</t>
  </si>
  <si>
    <t>RETURN OF CAPITAL EMPLOYED</t>
  </si>
  <si>
    <t>FORMULA</t>
  </si>
  <si>
    <t>(EBIT/SHARE CAP +RESERVES+ LONG TERM DEBT)*100</t>
  </si>
  <si>
    <t>EBIT</t>
  </si>
  <si>
    <t>SHARE CAP</t>
  </si>
  <si>
    <t>RESERVES</t>
  </si>
  <si>
    <t>LONG TERM DEBT</t>
  </si>
  <si>
    <t>2)PROFIT MARGIN RATIO:</t>
  </si>
  <si>
    <t>(ros)</t>
  </si>
  <si>
    <t>SALES</t>
  </si>
  <si>
    <t>ROS</t>
  </si>
  <si>
    <t>D)INVENTORS RATIO</t>
  </si>
  <si>
    <t>1)SHAREHOLDERS EQUITY RATIO</t>
  </si>
  <si>
    <t>Shareholders equity - intangibles/total assets - current liab - intangibles</t>
  </si>
  <si>
    <t>shareholders eq.</t>
  </si>
  <si>
    <t>intangibles</t>
  </si>
  <si>
    <t>total assets</t>
  </si>
  <si>
    <t>current liab</t>
  </si>
  <si>
    <t>Shareholders eq ratio</t>
  </si>
  <si>
    <t>GEARING RATIO</t>
  </si>
  <si>
    <t>1)INCOME GEARING</t>
  </si>
  <si>
    <t>INTEREST ON BORROWINGS/EBIT</t>
  </si>
  <si>
    <t>INTEREST ON BORR</t>
  </si>
  <si>
    <t>INC GEARING</t>
  </si>
  <si>
    <t>2)GEARING RATIO</t>
  </si>
  <si>
    <t>Borrowings/Equity+borrowing</t>
  </si>
  <si>
    <t>Equity</t>
  </si>
  <si>
    <t>Gearing ratio</t>
  </si>
  <si>
    <t>E)DUPONT ANALYSIS</t>
  </si>
  <si>
    <t>TYPES:</t>
  </si>
  <si>
    <t>1)PROFIT MARGIN:</t>
  </si>
  <si>
    <t>EBIT/SALES</t>
  </si>
  <si>
    <t>2)ASSET TURNOVER RATIO</t>
  </si>
  <si>
    <t>NET SALES /TOTAL ASSETS</t>
  </si>
  <si>
    <t>NET SALES</t>
  </si>
  <si>
    <t>TOTAL ASSETS</t>
  </si>
  <si>
    <t>ASSET TURNOVER RATIO</t>
  </si>
  <si>
    <t>3)DUPONT'S ROE</t>
  </si>
  <si>
    <t xml:space="preserve">It is a measure of financial performance calculated by dividing net income by shareholders' equity.		</t>
  </si>
  <si>
    <t>net income/((total shareholder equity for prev yr + current yr)/2)</t>
  </si>
  <si>
    <t>NET INCOME</t>
  </si>
  <si>
    <t>PREV YEAR</t>
  </si>
  <si>
    <t>CURRENT YEAR</t>
  </si>
  <si>
    <t>ROE</t>
  </si>
  <si>
    <t>-</t>
  </si>
  <si>
    <t>1)</t>
  </si>
  <si>
    <t>2)</t>
  </si>
  <si>
    <t xml:space="preserve">PROFIT MARGIN RATIO  </t>
  </si>
  <si>
    <t xml:space="preserve">C)GEARING RATIO	</t>
  </si>
  <si>
    <t>INCOME GEARING</t>
  </si>
  <si>
    <t>SHAREHOLDERS EQUITY RATIO</t>
  </si>
  <si>
    <t>PE Ratio</t>
  </si>
  <si>
    <t>PROFIT MARGIN</t>
  </si>
  <si>
    <t>3)</t>
  </si>
  <si>
    <t>DUPONT'S ROE</t>
  </si>
  <si>
    <t xml:space="preserve">Avenue Supermarts </t>
  </si>
  <si>
    <t xml:space="preserve">Liquidity Ratio </t>
  </si>
  <si>
    <t xml:space="preserve">current ratio
</t>
  </si>
  <si>
    <t>quick ratio</t>
  </si>
  <si>
    <t>inventory turnover period</t>
  </si>
  <si>
    <t>Year</t>
  </si>
  <si>
    <t>Profitability ratios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</si>
</sst>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 yyyy"/>
    <numFmt numFmtId="165" formatCode="mmm-d"/>
    <numFmt numFmtId="166" formatCode="0.0%"/>
  </numFmts>
  <fonts count="36">
    <font>
      <sz val="11.0"/>
      <color theme="1"/>
      <name val="Calibri"/>
      <scheme val="minor"/>
    </font>
    <font>
      <b/>
      <sz val="11.0"/>
      <color theme="1"/>
      <name val="Rockwell"/>
    </font>
    <font>
      <color theme="1"/>
      <name val="Calibri"/>
      <scheme val="minor"/>
    </font>
    <font>
      <b/>
      <u/>
      <sz val="11.0"/>
      <color theme="1"/>
      <name val="Times New Roman"/>
    </font>
    <font>
      <sz val="11.0"/>
      <color theme="1"/>
      <name val="Calibri"/>
    </font>
    <font>
      <b/>
      <sz val="11.0"/>
      <color theme="1"/>
      <name val="Calibri"/>
    </font>
    <font>
      <sz val="11.0"/>
      <color rgb="FF333333"/>
      <name val="Arial"/>
    </font>
    <font>
      <sz val="11.0"/>
      <color rgb="FF22222F"/>
      <name val="Calibri"/>
    </font>
    <font>
      <b/>
      <u/>
      <sz val="11.0"/>
      <color theme="1"/>
      <name val="Calibri"/>
    </font>
    <font>
      <i/>
      <color theme="1"/>
      <name val="Calibri"/>
      <scheme val="minor"/>
    </font>
    <font>
      <color rgb="FF22222F"/>
      <name val="&quot;Inter var&quot;"/>
    </font>
    <font>
      <sz val="11.0"/>
      <color rgb="FF22222F"/>
      <name val="Inter var"/>
    </font>
    <font>
      <sz val="11.0"/>
      <color rgb="FF22222F"/>
      <name val="Arial"/>
    </font>
    <font>
      <color theme="1"/>
      <name val="Arial"/>
    </font>
    <font>
      <color rgb="FF22222F"/>
      <name val="Arial"/>
    </font>
    <font>
      <b/>
      <sz val="16.0"/>
      <color rgb="FF000000"/>
      <name val="Calibri"/>
    </font>
    <font>
      <sz val="16.0"/>
      <color rgb="FF000000"/>
      <name val="Calibri"/>
    </font>
    <font>
      <b/>
      <u/>
      <sz val="28.0"/>
      <color rgb="FFFFFFFF"/>
      <name val="Calibri"/>
    </font>
    <font>
      <b/>
      <u/>
      <sz val="24.0"/>
      <color rgb="FFFFFFFF"/>
      <name val="Calibri"/>
    </font>
    <font/>
    <font>
      <sz val="16.0"/>
      <color rgb="FF22222F"/>
      <name val="Calibri"/>
    </font>
    <font>
      <b/>
      <sz val="16.0"/>
      <color rgb="FF22222F"/>
      <name val="Arial"/>
    </font>
    <font>
      <b/>
      <sz val="16.0"/>
      <color rgb="FFFFFFFF"/>
      <name val="Calibri"/>
    </font>
    <font>
      <sz val="11.0"/>
      <color rgb="FF000000"/>
      <name val="Calibri"/>
    </font>
    <font>
      <b/>
      <sz val="11.0"/>
      <color theme="1"/>
      <name val="Arial Black"/>
    </font>
    <font>
      <b/>
      <sz val="11.0"/>
      <color rgb="FF000000"/>
      <name val="&quot;Arial Black&quot;"/>
    </font>
    <font>
      <color rgb="FF202124"/>
      <name val="Arial"/>
    </font>
    <font>
      <sz val="11.0"/>
      <color rgb="FF333333"/>
      <name val="Calibri"/>
    </font>
    <font>
      <sz val="11.0"/>
      <color rgb="FFFFFFFF"/>
      <name val="Calibri"/>
    </font>
    <font>
      <sz val="11.0"/>
      <color rgb="FF4D5156"/>
      <name val="Calibri"/>
    </font>
    <font>
      <sz val="11.0"/>
      <color rgb="FF000000"/>
      <name val="Docs-Calibri"/>
    </font>
    <font>
      <sz val="12.0"/>
      <color rgb="FF000000"/>
      <name val="Arial"/>
    </font>
    <font>
      <sz val="12.0"/>
      <color rgb="FF333333"/>
      <name val="Arial"/>
    </font>
    <font>
      <sz val="8.0"/>
      <color rgb="FF333333"/>
      <name val="Arial"/>
    </font>
    <font>
      <sz val="11.0"/>
      <color rgb="FF000000"/>
      <name val="Arial"/>
    </font>
    <font>
      <b/>
      <i/>
      <sz val="16.0"/>
      <color rgb="FFFF0000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00FFFF"/>
        <bgColor rgb="FF00FFFF"/>
      </patternFill>
    </fill>
    <fill>
      <patternFill patternType="solid">
        <fgColor rgb="FF2E75B6"/>
        <bgColor rgb="FF2E75B6"/>
      </patternFill>
    </fill>
    <fill>
      <patternFill patternType="solid">
        <fgColor rgb="FFBCD6EE"/>
        <bgColor rgb="FFBCD6EE"/>
      </patternFill>
    </fill>
    <fill>
      <patternFill patternType="solid">
        <fgColor rgb="FFDEEBF6"/>
        <bgColor rgb="FFDEEBF6"/>
      </patternFill>
    </fill>
    <fill>
      <patternFill patternType="solid">
        <fgColor rgb="FFFCE4D6"/>
        <bgColor rgb="FFFCE4D6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F6F8FB"/>
        <bgColor rgb="FFF6F8FB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horizontal="right" readingOrder="0"/>
    </xf>
    <xf borderId="1" fillId="2" fontId="3" numFmtId="0" xfId="0" applyAlignment="1" applyBorder="1" applyFill="1" applyFont="1">
      <alignment horizontal="center" vertical="center"/>
    </xf>
    <xf borderId="1" fillId="0" fontId="4" numFmtId="0" xfId="0" applyBorder="1" applyFont="1"/>
    <xf borderId="1" fillId="0" fontId="5" numFmtId="0" xfId="0" applyBorder="1" applyFont="1"/>
    <xf borderId="1" fillId="0" fontId="6" numFmtId="2" xfId="0" applyBorder="1" applyFont="1" applyNumberFormat="1"/>
    <xf borderId="1" fillId="3" fontId="6" numFmtId="4" xfId="0" applyBorder="1" applyFill="1" applyFont="1" applyNumberFormat="1"/>
    <xf borderId="1" fillId="0" fontId="4" numFmtId="4" xfId="0" applyBorder="1" applyFont="1" applyNumberFormat="1"/>
    <xf borderId="1" fillId="0" fontId="6" numFmtId="4" xfId="0" applyBorder="1" applyFont="1" applyNumberFormat="1"/>
    <xf borderId="1" fillId="0" fontId="4" numFmtId="2" xfId="0" applyBorder="1" applyFont="1" applyNumberFormat="1"/>
    <xf borderId="1" fillId="4" fontId="7" numFmtId="0" xfId="0" applyAlignment="1" applyBorder="1" applyFill="1" applyFont="1">
      <alignment shrinkToFit="0" wrapText="1"/>
    </xf>
    <xf borderId="0" fillId="0" fontId="5" numFmtId="0" xfId="0" applyFont="1"/>
    <xf borderId="0" fillId="0" fontId="4" numFmtId="0" xfId="0" applyFont="1"/>
    <xf borderId="1" fillId="2" fontId="8" numFmtId="0" xfId="0" applyAlignment="1" applyBorder="1" applyFont="1">
      <alignment horizontal="center" vertical="center"/>
    </xf>
    <xf borderId="1" fillId="0" fontId="2" numFmtId="0" xfId="0" applyBorder="1" applyFont="1"/>
    <xf borderId="1" fillId="0" fontId="2" numFmtId="2" xfId="0" applyBorder="1" applyFont="1" applyNumberFormat="1"/>
    <xf borderId="0" fillId="0" fontId="9" numFmtId="0" xfId="0" applyAlignment="1" applyFont="1">
      <alignment horizontal="center" readingOrder="0"/>
    </xf>
    <xf borderId="1" fillId="5" fontId="10" numFmtId="164" xfId="0" applyAlignment="1" applyBorder="1" applyFill="1" applyFont="1" applyNumberFormat="1">
      <alignment horizontal="right" readingOrder="0"/>
    </xf>
    <xf borderId="1" fillId="5" fontId="11" numFmtId="164" xfId="0" applyAlignment="1" applyBorder="1" applyFont="1" applyNumberFormat="1">
      <alignment horizontal="right" vertical="bottom"/>
    </xf>
    <xf borderId="1" fillId="5" fontId="12" numFmtId="164" xfId="0" applyAlignment="1" applyBorder="1" applyFont="1" applyNumberFormat="1">
      <alignment horizontal="right" readingOrder="0" vertical="bottom"/>
    </xf>
    <xf borderId="1" fillId="6" fontId="13" numFmtId="0" xfId="0" applyAlignment="1" applyBorder="1" applyFill="1" applyFont="1">
      <alignment horizontal="left" readingOrder="0" shrinkToFit="0" wrapText="0"/>
    </xf>
    <xf borderId="1" fillId="6" fontId="10" numFmtId="3" xfId="0" applyAlignment="1" applyBorder="1" applyFont="1" applyNumberFormat="1">
      <alignment horizontal="right" readingOrder="0"/>
    </xf>
    <xf borderId="1" fillId="6" fontId="14" numFmtId="3" xfId="0" applyAlignment="1" applyBorder="1" applyFont="1" applyNumberFormat="1">
      <alignment horizontal="right" readingOrder="0"/>
    </xf>
    <xf borderId="1" fillId="6" fontId="10" numFmtId="0" xfId="0" applyAlignment="1" applyBorder="1" applyFont="1">
      <alignment horizontal="left" readingOrder="0" shrinkToFit="0" wrapText="0"/>
    </xf>
    <xf borderId="1" fillId="6" fontId="10" numFmtId="0" xfId="0" applyAlignment="1" applyBorder="1" applyFont="1">
      <alignment horizontal="right" readingOrder="0"/>
    </xf>
    <xf borderId="0" fillId="0" fontId="10" numFmtId="0" xfId="0" applyAlignment="1" applyFont="1">
      <alignment horizontal="left" readingOrder="0" shrinkToFit="0" wrapText="0"/>
    </xf>
    <xf borderId="0" fillId="4" fontId="10" numFmtId="0" xfId="0" applyAlignment="1" applyFont="1">
      <alignment horizontal="right" readingOrder="0"/>
    </xf>
    <xf borderId="0" fillId="4" fontId="10" numFmtId="9" xfId="0" applyAlignment="1" applyFont="1" applyNumberFormat="1">
      <alignment horizontal="right" readingOrder="0"/>
    </xf>
    <xf borderId="1" fillId="5" fontId="2" numFmtId="0" xfId="0" applyBorder="1" applyFont="1"/>
    <xf borderId="0" fillId="4" fontId="11" numFmtId="164" xfId="0" applyAlignment="1" applyFont="1" applyNumberFormat="1">
      <alignment horizontal="right" vertical="bottom"/>
    </xf>
    <xf borderId="0" fillId="4" fontId="10" numFmtId="3" xfId="0" applyAlignment="1" applyFont="1" applyNumberFormat="1">
      <alignment horizontal="right" readingOrder="0"/>
    </xf>
    <xf borderId="1" fillId="6" fontId="10" numFmtId="9" xfId="0" applyAlignment="1" applyBorder="1" applyFont="1" applyNumberFormat="1">
      <alignment horizontal="right" readingOrder="0"/>
    </xf>
    <xf borderId="0" fillId="0" fontId="15" numFmtId="0" xfId="0" applyAlignment="1" applyFont="1">
      <alignment shrinkToFit="0" vertical="bottom" wrapText="0"/>
    </xf>
    <xf borderId="0" fillId="7" fontId="16" numFmtId="0" xfId="0" applyAlignment="1" applyFill="1" applyFont="1">
      <alignment shrinkToFit="0" vertical="bottom" wrapText="0"/>
    </xf>
    <xf borderId="0" fillId="7" fontId="17" numFmtId="0" xfId="0" applyAlignment="1" applyFont="1">
      <alignment horizontal="center" readingOrder="0" shrinkToFit="0" vertical="bottom" wrapText="0"/>
    </xf>
    <xf borderId="0" fillId="0" fontId="16" numFmtId="0" xfId="0" applyAlignment="1" applyFont="1">
      <alignment shrinkToFit="0" vertical="bottom" wrapText="0"/>
    </xf>
    <xf borderId="2" fillId="7" fontId="18" numFmtId="0" xfId="0" applyAlignment="1" applyBorder="1" applyFont="1">
      <alignment horizontal="center" readingOrder="0" shrinkToFit="0" vertical="bottom" wrapText="0"/>
    </xf>
    <xf borderId="2" fillId="0" fontId="19" numFmtId="0" xfId="0" applyBorder="1" applyFont="1"/>
    <xf borderId="1" fillId="8" fontId="15" numFmtId="0" xfId="0" applyAlignment="1" applyBorder="1" applyFill="1" applyFont="1">
      <alignment readingOrder="0" shrinkToFit="0" vertical="bottom" wrapText="0"/>
    </xf>
    <xf borderId="3" fillId="8" fontId="15" numFmtId="165" xfId="0" applyAlignment="1" applyBorder="1" applyFont="1" applyNumberFormat="1">
      <alignment horizontal="right" readingOrder="0" shrinkToFit="0" vertical="bottom" wrapText="0"/>
    </xf>
    <xf borderId="4" fillId="8" fontId="15" numFmtId="165" xfId="0" applyAlignment="1" applyBorder="1" applyFont="1" applyNumberFormat="1">
      <alignment horizontal="right" readingOrder="0" shrinkToFit="0" vertical="bottom" wrapText="0"/>
    </xf>
    <xf borderId="5" fillId="8" fontId="15" numFmtId="0" xfId="0" applyAlignment="1" applyBorder="1" applyFont="1">
      <alignment readingOrder="0" shrinkToFit="0" vertical="bottom" wrapText="0"/>
    </xf>
    <xf borderId="3" fillId="4" fontId="20" numFmtId="0" xfId="0" applyAlignment="1" applyBorder="1" applyFont="1">
      <alignment horizontal="right" readingOrder="0"/>
    </xf>
    <xf borderId="3" fillId="4" fontId="20" numFmtId="3" xfId="0" applyAlignment="1" applyBorder="1" applyFont="1" applyNumberFormat="1">
      <alignment horizontal="right" readingOrder="0"/>
    </xf>
    <xf borderId="5" fillId="7" fontId="15" numFmtId="0" xfId="0" applyAlignment="1" applyBorder="1" applyFont="1">
      <alignment readingOrder="0" shrinkToFit="0" vertical="bottom" wrapText="0"/>
    </xf>
    <xf borderId="3" fillId="7" fontId="20" numFmtId="0" xfId="0" applyAlignment="1" applyBorder="1" applyFont="1">
      <alignment horizontal="right" readingOrder="0"/>
    </xf>
    <xf borderId="3" fillId="4" fontId="20" numFmtId="9" xfId="0" applyAlignment="1" applyBorder="1" applyFont="1" applyNumberFormat="1">
      <alignment horizontal="right" readingOrder="0"/>
    </xf>
    <xf borderId="3" fillId="9" fontId="16" numFmtId="0" xfId="0" applyAlignment="1" applyBorder="1" applyFill="1" applyFont="1">
      <alignment horizontal="right" readingOrder="0" shrinkToFit="0" vertical="bottom" wrapText="0"/>
    </xf>
    <xf borderId="3" fillId="4" fontId="16" numFmtId="0" xfId="0" applyAlignment="1" applyBorder="1" applyFont="1">
      <alignment horizontal="right" readingOrder="0"/>
    </xf>
    <xf borderId="3" fillId="4" fontId="16" numFmtId="3" xfId="0" applyAlignment="1" applyBorder="1" applyFont="1" applyNumberFormat="1">
      <alignment horizontal="right" readingOrder="0"/>
    </xf>
    <xf borderId="3" fillId="7" fontId="16" numFmtId="3" xfId="0" applyAlignment="1" applyBorder="1" applyFont="1" applyNumberFormat="1">
      <alignment horizontal="right" readingOrder="0"/>
    </xf>
    <xf borderId="1" fillId="8" fontId="21" numFmtId="0" xfId="0" applyAlignment="1" applyBorder="1" applyFont="1">
      <alignment horizontal="left" readingOrder="0" shrinkToFit="0" wrapText="0"/>
    </xf>
    <xf borderId="4" fillId="0" fontId="16" numFmtId="0" xfId="0" applyAlignment="1" applyBorder="1" applyFont="1">
      <alignment horizontal="right" readingOrder="0"/>
    </xf>
    <xf borderId="3" fillId="0" fontId="16" numFmtId="0" xfId="0" applyAlignment="1" applyBorder="1" applyFont="1">
      <alignment horizontal="right" readingOrder="0" shrinkToFit="0" vertical="bottom" wrapText="0"/>
    </xf>
    <xf borderId="0" fillId="7" fontId="22" numFmtId="0" xfId="0" applyAlignment="1" applyFont="1">
      <alignment horizontal="center" readingOrder="0" shrinkToFit="0" vertical="bottom" wrapText="0"/>
    </xf>
    <xf borderId="0" fillId="7" fontId="22" numFmtId="0" xfId="0" applyAlignment="1" applyFont="1">
      <alignment readingOrder="0" shrinkToFit="0" vertical="bottom" wrapText="0"/>
    </xf>
    <xf borderId="0" fillId="7" fontId="22" numFmtId="164" xfId="0" applyAlignment="1" applyFont="1" applyNumberFormat="1">
      <alignment readingOrder="0" shrinkToFit="0" vertical="bottom" wrapText="0"/>
    </xf>
    <xf borderId="0" fillId="0" fontId="16" numFmtId="0" xfId="0" applyAlignment="1" applyFont="1">
      <alignment readingOrder="0" shrinkToFit="0" vertical="bottom" wrapText="0"/>
    </xf>
    <xf borderId="0" fillId="0" fontId="16" numFmtId="0" xfId="0" applyAlignment="1" applyFont="1">
      <alignment horizontal="right" readingOrder="0" shrinkToFit="0" vertical="bottom" wrapText="0"/>
    </xf>
    <xf borderId="0" fillId="0" fontId="16" numFmtId="10" xfId="0" applyAlignment="1" applyFont="1" applyNumberFormat="1">
      <alignment horizontal="right" readingOrder="0" shrinkToFit="0" vertical="bottom" wrapText="0"/>
    </xf>
    <xf borderId="0" fillId="0" fontId="23" numFmtId="0" xfId="0" applyAlignment="1" applyFont="1">
      <alignment shrinkToFit="0" vertical="bottom" wrapText="0"/>
    </xf>
    <xf borderId="0" fillId="10" fontId="4" numFmtId="0" xfId="0" applyAlignment="1" applyFill="1" applyFont="1">
      <alignment readingOrder="0" vertical="bottom"/>
    </xf>
    <xf borderId="0" fillId="10" fontId="24" numFmtId="0" xfId="0" applyAlignment="1" applyFont="1">
      <alignment vertical="bottom"/>
    </xf>
    <xf borderId="0" fillId="10" fontId="25" numFmtId="0" xfId="0" applyAlignment="1" applyFont="1">
      <alignment readingOrder="0" shrinkToFit="0" vertical="bottom" wrapText="0"/>
    </xf>
    <xf borderId="0" fillId="10" fontId="23" numFmtId="0" xfId="0" applyAlignment="1" applyFont="1">
      <alignment shrinkToFit="0" vertical="bottom" wrapText="0"/>
    </xf>
    <xf borderId="0" fillId="11" fontId="23" numFmtId="0" xfId="0" applyAlignment="1" applyFill="1" applyFont="1">
      <alignment readingOrder="0" shrinkToFit="0" vertical="bottom" wrapText="0"/>
    </xf>
    <xf borderId="0" fillId="11" fontId="23" numFmtId="0" xfId="0" applyAlignment="1" applyFont="1">
      <alignment shrinkToFit="0" vertical="bottom" wrapText="0"/>
    </xf>
    <xf borderId="0" fillId="12" fontId="23" numFmtId="0" xfId="0" applyAlignment="1" applyFill="1" applyFont="1">
      <alignment readingOrder="0" shrinkToFit="0" vertical="bottom" wrapText="0"/>
    </xf>
    <xf borderId="0" fillId="12" fontId="23" numFmtId="0" xfId="0" applyAlignment="1" applyFont="1">
      <alignment shrinkToFit="0" vertical="bottom" wrapText="0"/>
    </xf>
    <xf borderId="0" fillId="13" fontId="23" numFmtId="0" xfId="0" applyAlignment="1" applyFill="1" applyFont="1">
      <alignment readingOrder="0" shrinkToFit="0" vertical="bottom" wrapText="0"/>
    </xf>
    <xf borderId="0" fillId="11" fontId="23" numFmtId="0" xfId="0" applyAlignment="1" applyFont="1">
      <alignment horizontal="left" readingOrder="0" shrinkToFit="0" vertical="bottom" wrapText="0"/>
    </xf>
    <xf borderId="0" fillId="0" fontId="23" numFmtId="0" xfId="0" applyAlignment="1" applyFont="1">
      <alignment horizontal="left" shrinkToFit="0" vertical="bottom" wrapText="0"/>
    </xf>
    <xf borderId="0" fillId="0" fontId="23" numFmtId="0" xfId="0" applyAlignment="1" applyFont="1">
      <alignment readingOrder="0" shrinkToFit="0" vertical="bottom" wrapText="0"/>
    </xf>
    <xf borderId="0" fillId="0" fontId="23" numFmtId="0" xfId="0" applyAlignment="1" applyFont="1">
      <alignment horizontal="right" readingOrder="0" shrinkToFit="0" vertical="bottom" wrapText="0"/>
    </xf>
    <xf borderId="0" fillId="12" fontId="23" numFmtId="0" xfId="0" applyAlignment="1" applyFont="1">
      <alignment readingOrder="0" shrinkToFit="0" vertical="bottom" wrapText="0"/>
    </xf>
    <xf borderId="0" fillId="12" fontId="26" numFmtId="0" xfId="0" applyAlignment="1" applyFont="1">
      <alignment readingOrder="0" shrinkToFit="0" vertical="bottom" wrapText="0"/>
    </xf>
    <xf borderId="0" fillId="13" fontId="23" numFmtId="0" xfId="0" applyAlignment="1" applyFont="1">
      <alignment readingOrder="0" shrinkToFit="0" vertical="bottom" wrapText="0"/>
    </xf>
    <xf borderId="0" fillId="13" fontId="23" numFmtId="0" xfId="0" applyAlignment="1" applyFont="1">
      <alignment shrinkToFit="0" vertical="bottom" wrapText="0"/>
    </xf>
    <xf borderId="0" fillId="14" fontId="27" numFmtId="0" xfId="0" applyAlignment="1" applyFill="1" applyFont="1">
      <alignment horizontal="right" readingOrder="0" vertical="top"/>
    </xf>
    <xf borderId="6" fillId="0" fontId="23" numFmtId="0" xfId="0" applyAlignment="1" applyBorder="1" applyFont="1">
      <alignment horizontal="right" readingOrder="0" shrinkToFit="0" vertical="bottom" wrapText="0"/>
    </xf>
    <xf borderId="6" fillId="0" fontId="23" numFmtId="4" xfId="0" applyAlignment="1" applyBorder="1" applyFont="1" applyNumberFormat="1">
      <alignment horizontal="right" readingOrder="0" shrinkToFit="0" vertical="bottom" wrapText="0"/>
    </xf>
    <xf borderId="0" fillId="0" fontId="23" numFmtId="10" xfId="0" applyAlignment="1" applyFont="1" applyNumberFormat="1">
      <alignment horizontal="right" readingOrder="0" shrinkToFit="0" vertical="bottom" wrapText="0"/>
    </xf>
    <xf borderId="0" fillId="4" fontId="28" numFmtId="4" xfId="0" applyAlignment="1" applyFont="1" applyNumberFormat="1">
      <alignment horizontal="right" readingOrder="0" shrinkToFit="0" vertical="bottom" wrapText="0"/>
    </xf>
    <xf borderId="6" fillId="0" fontId="28" numFmtId="4" xfId="0" applyAlignment="1" applyBorder="1" applyFont="1" applyNumberFormat="1">
      <alignment horizontal="right" readingOrder="0" shrinkToFit="0" vertical="bottom" wrapText="0"/>
    </xf>
    <xf borderId="6" fillId="0" fontId="28" numFmtId="0" xfId="0" applyAlignment="1" applyBorder="1" applyFont="1">
      <alignment horizontal="right" readingOrder="0" shrinkToFit="0" vertical="bottom" wrapText="0"/>
    </xf>
    <xf borderId="0" fillId="4" fontId="28" numFmtId="0" xfId="0" applyAlignment="1" applyFont="1">
      <alignment horizontal="right" readingOrder="0" shrinkToFit="0" vertical="bottom" wrapText="0"/>
    </xf>
    <xf borderId="6" fillId="4" fontId="28" numFmtId="0" xfId="0" applyAlignment="1" applyBorder="1" applyFont="1">
      <alignment horizontal="right" readingOrder="0" shrinkToFit="0" vertical="bottom" wrapText="0"/>
    </xf>
    <xf borderId="6" fillId="4" fontId="28" numFmtId="4" xfId="0" applyAlignment="1" applyBorder="1" applyFont="1" applyNumberFormat="1">
      <alignment horizontal="right" readingOrder="0" shrinkToFit="0" vertical="bottom" wrapText="0"/>
    </xf>
    <xf borderId="0" fillId="0" fontId="23" numFmtId="166" xfId="0" applyAlignment="1" applyFont="1" applyNumberFormat="1">
      <alignment horizontal="right" readingOrder="0" shrinkToFit="0" vertical="bottom" wrapText="0"/>
    </xf>
    <xf borderId="0" fillId="4" fontId="28" numFmtId="0" xfId="0" applyAlignment="1" applyFont="1">
      <alignment shrinkToFit="0" vertical="bottom" wrapText="0"/>
    </xf>
    <xf borderId="6" fillId="0" fontId="23" numFmtId="166" xfId="0" applyAlignment="1" applyBorder="1" applyFont="1" applyNumberFormat="1">
      <alignment horizontal="right" readingOrder="0" shrinkToFit="0" vertical="bottom" wrapText="0"/>
    </xf>
    <xf borderId="6" fillId="4" fontId="28" numFmtId="3" xfId="0" applyAlignment="1" applyBorder="1" applyFont="1" applyNumberFormat="1">
      <alignment horizontal="right" readingOrder="0" shrinkToFit="0" vertical="bottom" wrapText="0"/>
    </xf>
    <xf borderId="6" fillId="0" fontId="23" numFmtId="3" xfId="0" applyAlignment="1" applyBorder="1" applyFont="1" applyNumberFormat="1">
      <alignment horizontal="right" readingOrder="0" shrinkToFit="0" vertical="bottom" wrapText="0"/>
    </xf>
    <xf borderId="6" fillId="0" fontId="23" numFmtId="9" xfId="0" applyAlignment="1" applyBorder="1" applyFont="1" applyNumberFormat="1">
      <alignment horizontal="right" readingOrder="0" shrinkToFit="0" vertical="bottom" wrapText="0"/>
    </xf>
    <xf borderId="0" fillId="0" fontId="23" numFmtId="9" xfId="0" applyAlignment="1" applyFont="1" applyNumberFormat="1">
      <alignment horizontal="right" readingOrder="0" shrinkToFit="0" vertical="bottom" wrapText="0"/>
    </xf>
    <xf borderId="0" fillId="3" fontId="23" numFmtId="4" xfId="0" applyAlignment="1" applyFont="1" applyNumberFormat="1">
      <alignment horizontal="right" readingOrder="0" shrinkToFit="0" vertical="bottom" wrapText="0"/>
    </xf>
    <xf borderId="6" fillId="3" fontId="23" numFmtId="4" xfId="0" applyAlignment="1" applyBorder="1" applyFont="1" applyNumberFormat="1">
      <alignment horizontal="right" readingOrder="0" shrinkToFit="0" vertical="bottom" wrapText="0"/>
    </xf>
    <xf borderId="0" fillId="11" fontId="23" numFmtId="0" xfId="0" applyAlignment="1" applyFont="1">
      <alignment readingOrder="0" shrinkToFit="0" vertical="bottom" wrapText="0"/>
    </xf>
    <xf borderId="0" fillId="11" fontId="23" numFmtId="0" xfId="0" applyAlignment="1" applyFont="1">
      <alignment shrinkToFit="0" vertical="bottom" wrapText="0"/>
    </xf>
    <xf borderId="0" fillId="11" fontId="29" numFmtId="0" xfId="0" applyAlignment="1" applyFont="1">
      <alignment readingOrder="0" shrinkToFit="0" vertical="bottom" wrapText="0"/>
    </xf>
    <xf borderId="0" fillId="4" fontId="23" numFmtId="0" xfId="0" applyAlignment="1" applyFont="1">
      <alignment shrinkToFit="0" vertical="bottom" wrapText="0"/>
    </xf>
    <xf borderId="7" fillId="13" fontId="23" numFmtId="0" xfId="0" applyAlignment="1" applyBorder="1" applyFont="1">
      <alignment readingOrder="0" shrinkToFit="0" vertical="bottom" wrapText="0"/>
    </xf>
    <xf borderId="8" fillId="13" fontId="23" numFmtId="0" xfId="0" applyAlignment="1" applyBorder="1" applyFont="1">
      <alignment readingOrder="0" shrinkToFit="0" vertical="bottom" wrapText="0"/>
    </xf>
    <xf borderId="4" fillId="0" fontId="19" numFmtId="0" xfId="0" applyBorder="1" applyFont="1"/>
    <xf borderId="0" fillId="0" fontId="23" numFmtId="0" xfId="0" applyAlignment="1" applyFont="1">
      <alignment horizontal="center" readingOrder="0" shrinkToFit="0" vertical="bottom" wrapText="0"/>
    </xf>
    <xf borderId="0" fillId="10" fontId="23" numFmtId="10" xfId="0" applyAlignment="1" applyFont="1" applyNumberFormat="1">
      <alignment horizontal="right" readingOrder="0" shrinkToFit="0" vertical="bottom" wrapText="0"/>
    </xf>
    <xf borderId="0" fillId="0" fontId="23" numFmtId="0" xfId="0" applyAlignment="1" applyFont="1">
      <alignment horizontal="center" readingOrder="0" shrinkToFit="0" wrapText="0"/>
    </xf>
    <xf borderId="0" fillId="10" fontId="23" numFmtId="0" xfId="0" applyAlignment="1" applyFont="1">
      <alignment horizontal="center" readingOrder="0" shrinkToFit="0" wrapText="0"/>
    </xf>
    <xf borderId="1" fillId="0" fontId="23" numFmtId="0" xfId="0" applyAlignment="1" applyBorder="1" applyFont="1">
      <alignment readingOrder="0" shrinkToFit="0" vertical="bottom" wrapText="0"/>
    </xf>
    <xf borderId="1" fillId="0" fontId="23" numFmtId="0" xfId="0" applyAlignment="1" applyBorder="1" applyFont="1">
      <alignment horizontal="right" readingOrder="0" shrinkToFit="0" vertical="bottom" wrapText="0"/>
    </xf>
    <xf borderId="1" fillId="10" fontId="23" numFmtId="0" xfId="0" applyAlignment="1" applyBorder="1" applyFont="1">
      <alignment readingOrder="0" shrinkToFit="0" vertical="bottom" wrapText="0"/>
    </xf>
    <xf borderId="1" fillId="10" fontId="23" numFmtId="0" xfId="0" applyAlignment="1" applyBorder="1" applyFont="1">
      <alignment horizontal="right" readingOrder="0" shrinkToFit="0" vertical="bottom" wrapText="0"/>
    </xf>
    <xf borderId="1" fillId="10" fontId="2" numFmtId="0" xfId="0" applyAlignment="1" applyBorder="1" applyFont="1">
      <alignment readingOrder="0"/>
    </xf>
    <xf borderId="1" fillId="10" fontId="23" numFmtId="10" xfId="0" applyAlignment="1" applyBorder="1" applyFont="1" applyNumberFormat="1">
      <alignment horizontal="right" readingOrder="0" shrinkToFit="0" vertical="bottom" wrapText="0"/>
    </xf>
    <xf borderId="7" fillId="0" fontId="23" numFmtId="0" xfId="0" applyAlignment="1" applyBorder="1" applyFont="1">
      <alignment readingOrder="0" shrinkToFit="0" vertical="bottom" wrapText="0"/>
    </xf>
    <xf borderId="1" fillId="10" fontId="23" numFmtId="0" xfId="0" applyAlignment="1" applyBorder="1" applyFont="1">
      <alignment horizontal="left" readingOrder="0" shrinkToFit="0" vertical="bottom" wrapText="0"/>
    </xf>
    <xf borderId="1" fillId="10" fontId="23" numFmtId="166" xfId="0" applyAlignment="1" applyBorder="1" applyFont="1" applyNumberFormat="1">
      <alignment horizontal="right" readingOrder="0" shrinkToFit="0" vertical="bottom" wrapText="0"/>
    </xf>
    <xf borderId="1" fillId="10" fontId="4" numFmtId="166" xfId="0" applyAlignment="1" applyBorder="1" applyFont="1" applyNumberFormat="1">
      <alignment horizontal="right" vertical="bottom"/>
    </xf>
    <xf borderId="0" fillId="11" fontId="2" numFmtId="0" xfId="0" applyAlignment="1" applyFont="1">
      <alignment readingOrder="0"/>
    </xf>
    <xf borderId="1" fillId="10" fontId="30" numFmtId="0" xfId="0" applyAlignment="1" applyBorder="1" applyFont="1">
      <alignment horizontal="left" readingOrder="0"/>
    </xf>
    <xf borderId="1" fillId="0" fontId="23" numFmtId="10" xfId="0" applyAlignment="1" applyBorder="1" applyFont="1" applyNumberFormat="1">
      <alignment horizontal="right" readingOrder="0" shrinkToFit="0" vertical="bottom" wrapText="0"/>
    </xf>
    <xf borderId="1" fillId="10" fontId="23" numFmtId="0" xfId="0" applyAlignment="1" applyBorder="1" applyFont="1">
      <alignment horizontal="left" readingOrder="0"/>
    </xf>
    <xf borderId="1" fillId="10" fontId="23" numFmtId="9" xfId="0" applyAlignment="1" applyBorder="1" applyFont="1" applyNumberFormat="1">
      <alignment horizontal="right" readingOrder="0" shrinkToFit="0" vertical="bottom" wrapText="0"/>
    </xf>
    <xf borderId="1" fillId="10" fontId="23" numFmtId="166" xfId="0" applyAlignment="1" applyBorder="1" applyFont="1" applyNumberFormat="1">
      <alignment horizontal="center" readingOrder="0" shrinkToFit="0" wrapText="0"/>
    </xf>
    <xf borderId="0" fillId="0" fontId="2" numFmtId="0" xfId="0" applyAlignment="1" applyFont="1">
      <alignment readingOrder="0"/>
    </xf>
    <xf borderId="0" fillId="0" fontId="23" numFmtId="0" xfId="0" applyAlignment="1" applyFont="1">
      <alignment shrinkToFit="0" vertical="bottom" wrapText="0"/>
    </xf>
    <xf borderId="0" fillId="0" fontId="31" numFmtId="0" xfId="0" applyAlignment="1" applyFont="1">
      <alignment horizontal="right" readingOrder="0" shrinkToFit="0" vertical="bottom" wrapText="0"/>
    </xf>
    <xf borderId="0" fillId="0" fontId="32" numFmtId="0" xfId="0" applyAlignment="1" applyFont="1">
      <alignment horizontal="right" readingOrder="0" shrinkToFit="0" vertical="bottom" wrapText="0"/>
    </xf>
    <xf borderId="0" fillId="0" fontId="33" numFmtId="0" xfId="0" applyAlignment="1" applyFont="1">
      <alignment horizontal="right" readingOrder="0" shrinkToFit="0" vertical="bottom" wrapText="0"/>
    </xf>
    <xf borderId="0" fillId="0" fontId="34" numFmtId="0" xfId="0" applyAlignment="1" applyFont="1">
      <alignment horizontal="right" readingOrder="0" shrinkToFit="0" vertical="bottom" wrapText="0"/>
    </xf>
    <xf borderId="0" fillId="4" fontId="33" numFmtId="0" xfId="0" applyAlignment="1" applyFont="1">
      <alignment horizontal="right" readingOrder="0" vertical="top"/>
    </xf>
    <xf borderId="0" fillId="0" fontId="35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'BATA Data 69'!$F$77:$F$78</c:f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'BATA Data 69'!$F$79:$F$88</c:f>
            </c:strRef>
          </c:cat>
          <c:val>
            <c:numRef>
              <c:f>'BATA Data 69'!$F$79:$F$88</c:f>
              <c:numCache/>
            </c:numRef>
          </c:val>
          <c:smooth val="0"/>
        </c:ser>
        <c:axId val="1651342354"/>
        <c:axId val="1369227077"/>
      </c:lineChart>
      <c:catAx>
        <c:axId val="16513423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69227077"/>
      </c:catAx>
      <c:valAx>
        <c:axId val="136922707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5134235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5.png"/><Relationship Id="rId3" Type="http://schemas.openxmlformats.org/officeDocument/2006/relationships/image" Target="../media/image1.png"/><Relationship Id="rId4" Type="http://schemas.openxmlformats.org/officeDocument/2006/relationships/image" Target="../media/image2.png"/><Relationship Id="rId5" Type="http://schemas.openxmlformats.org/officeDocument/2006/relationships/image" Target="../media/image3.png"/><Relationship Id="rId6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266700</xdr:colOff>
      <xdr:row>79</xdr:row>
      <xdr:rowOff>0</xdr:rowOff>
    </xdr:from>
    <xdr:ext cx="3019425" cy="1885950"/>
    <xdr:graphicFrame>
      <xdr:nvGraphicFramePr>
        <xdr:cNvPr id="2012355804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523875</xdr:colOff>
      <xdr:row>11</xdr:row>
      <xdr:rowOff>95250</xdr:rowOff>
    </xdr:from>
    <xdr:ext cx="2790825" cy="180022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28</xdr:row>
      <xdr:rowOff>9525</xdr:rowOff>
    </xdr:from>
    <xdr:ext cx="2733675" cy="158115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47</xdr:row>
      <xdr:rowOff>152400</xdr:rowOff>
    </xdr:from>
    <xdr:ext cx="3124200" cy="1885950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63</xdr:row>
      <xdr:rowOff>19050</xdr:rowOff>
    </xdr:from>
    <xdr:ext cx="3076575" cy="2057400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685800</xdr:colOff>
      <xdr:row>155</xdr:row>
      <xdr:rowOff>142875</xdr:rowOff>
    </xdr:from>
    <xdr:ext cx="2733675" cy="1733550"/>
    <xdr:pic>
      <xdr:nvPicPr>
        <xdr:cNvPr id="0" name="image4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57"/>
    <col customWidth="1" min="2" max="11" width="9.57"/>
    <col customWidth="1" min="12" max="13" width="8.71"/>
    <col customWidth="1" min="14" max="14" width="11.14"/>
    <col customWidth="1" min="15" max="26" width="8.71"/>
  </cols>
  <sheetData>
    <row r="1" ht="17.25" customHeight="1">
      <c r="D1" s="1" t="s">
        <v>0</v>
      </c>
    </row>
    <row r="2">
      <c r="M2" s="2" t="s">
        <v>1</v>
      </c>
      <c r="N2" s="2">
        <v>66.0</v>
      </c>
    </row>
    <row r="3">
      <c r="M3" s="2" t="s">
        <v>2</v>
      </c>
      <c r="N3" s="3" t="s">
        <v>3</v>
      </c>
    </row>
    <row r="6" ht="23.25" customHeight="1">
      <c r="A6" s="4" t="s">
        <v>4</v>
      </c>
    </row>
    <row r="8">
      <c r="A8" s="5"/>
      <c r="B8" s="6">
        <v>2013.0</v>
      </c>
      <c r="C8" s="6">
        <v>2014.0</v>
      </c>
      <c r="D8" s="6">
        <v>2015.0</v>
      </c>
      <c r="E8" s="6">
        <v>2016.0</v>
      </c>
      <c r="F8" s="6">
        <v>2017.0</v>
      </c>
      <c r="G8" s="6">
        <v>2018.0</v>
      </c>
      <c r="H8" s="6">
        <v>2019.0</v>
      </c>
      <c r="I8" s="6">
        <v>2020.0</v>
      </c>
      <c r="J8" s="6">
        <v>2021.0</v>
      </c>
      <c r="K8" s="6">
        <v>2022.0</v>
      </c>
    </row>
    <row r="9" ht="18.0" customHeight="1">
      <c r="A9" s="6" t="s">
        <v>5</v>
      </c>
      <c r="B9" s="7">
        <f>701.25/3847.02</f>
        <v>0.1822839497</v>
      </c>
      <c r="C9" s="7">
        <f>868.75/3511.3</f>
        <v>0.2474154871</v>
      </c>
      <c r="D9" s="8">
        <f>1033.29/2692.78</f>
        <v>0.383726112</v>
      </c>
      <c r="E9" s="8">
        <f>1244.77/2692.78</f>
        <v>0.4622620489</v>
      </c>
      <c r="F9" s="9">
        <f>1626.46/3896.09</f>
        <v>0.4174595556</v>
      </c>
      <c r="G9" s="8">
        <f>7277.32/4098.48</f>
        <v>1.775614374</v>
      </c>
      <c r="H9" s="10">
        <f>9085.26/5169.25</f>
        <v>1.75755864</v>
      </c>
      <c r="I9" s="10">
        <f>9534.83/5243.88</f>
        <v>1.818277688</v>
      </c>
      <c r="J9" s="11">
        <f>12501/7193</f>
        <v>1.737939664</v>
      </c>
      <c r="K9" s="11">
        <f>16379.35/9560.15</f>
        <v>1.713294247</v>
      </c>
    </row>
    <row r="10">
      <c r="A10" s="6" t="s">
        <v>6</v>
      </c>
      <c r="B10" s="7">
        <f>(5173.53-3677.94)/3847.02</f>
        <v>0.3887658499</v>
      </c>
      <c r="C10" s="7">
        <f>(5238.27-3867.19)/3511.3</f>
        <v>0.3904764617</v>
      </c>
      <c r="D10" s="8">
        <f>(4838.95-4047.43)/2692.78</f>
        <v>0.2939415771</v>
      </c>
      <c r="E10" s="8">
        <f>(5131.76-4442.24)/2755.01</f>
        <v>0.2502785834</v>
      </c>
      <c r="F10" s="9">
        <f>(6691.07-4806.49)/3896.06</f>
        <v>0.4837143165</v>
      </c>
      <c r="G10" s="8">
        <f>(7277.32-5749.2)/4098.48</f>
        <v>0.3728504226</v>
      </c>
      <c r="H10" s="10">
        <f>(9085.26-6719.18)/5169.29</f>
        <v>0.4577185648</v>
      </c>
      <c r="I10" s="10">
        <f>(9534.83-7740.62)/5243.88</f>
        <v>0.3421531385</v>
      </c>
      <c r="J10" s="11">
        <f>(12501-7984)/7193</f>
        <v>0.6279716391</v>
      </c>
      <c r="K10" s="11">
        <f>(16379.35-12787)/9560.15</f>
        <v>0.3757629326</v>
      </c>
    </row>
    <row r="13" ht="23.25" customHeight="1">
      <c r="A13" s="4" t="s">
        <v>7</v>
      </c>
    </row>
    <row r="15">
      <c r="A15" s="5"/>
      <c r="B15" s="6">
        <v>2013.0</v>
      </c>
      <c r="C15" s="6">
        <v>2014.0</v>
      </c>
      <c r="D15" s="6">
        <v>2015.0</v>
      </c>
      <c r="E15" s="6">
        <v>2016.0</v>
      </c>
      <c r="F15" s="6">
        <v>2017.0</v>
      </c>
      <c r="G15" s="6">
        <v>2018.0</v>
      </c>
      <c r="H15" s="6">
        <v>2019.0</v>
      </c>
      <c r="I15" s="6">
        <v>2020.0</v>
      </c>
      <c r="J15" s="6">
        <v>2021.0</v>
      </c>
      <c r="K15" s="6">
        <v>2022.0</v>
      </c>
    </row>
    <row r="16">
      <c r="A16" s="6" t="s">
        <v>8</v>
      </c>
      <c r="B16" s="11">
        <f>(1006/1965)*100</f>
        <v>51.19592875</v>
      </c>
      <c r="C16" s="11">
        <f>(1016/(89+2435))*100</f>
        <v>40.25356577</v>
      </c>
      <c r="D16" s="11">
        <f>(1056/(89+3003))*100</f>
        <v>34.15265201</v>
      </c>
      <c r="E16" s="11">
        <f>(888/(89+3446))*100</f>
        <v>25.12022631</v>
      </c>
      <c r="F16" s="11">
        <f>(1033/(89+4223))*100</f>
        <v>23.95640074</v>
      </c>
      <c r="G16" s="11">
        <f>(1571/(89+5105))*100</f>
        <v>30.2464382</v>
      </c>
      <c r="H16" s="11">
        <f>(1927/(89+2288))*100</f>
        <v>81.06857383</v>
      </c>
      <c r="I16" s="11">
        <f>(2105/(89+6736))*100</f>
        <v>30.84249084</v>
      </c>
      <c r="J16" s="11">
        <f>(1233/(89+7464))*100</f>
        <v>16.32463922</v>
      </c>
      <c r="K16" s="11">
        <f>(2932/(89+9284))*100</f>
        <v>31.28134002</v>
      </c>
    </row>
    <row r="17">
      <c r="A17" s="6" t="s">
        <v>9</v>
      </c>
      <c r="B17" s="11">
        <f>10113/(89+1876+0)</f>
        <v>5.146564885</v>
      </c>
      <c r="C17" s="11">
        <f>10916/(89+2435+806)</f>
        <v>3.278078078</v>
      </c>
      <c r="D17" s="11">
        <f>11903/(89+3003+100)</f>
        <v>3.729010025</v>
      </c>
      <c r="E17" s="11">
        <f>11084/(89+3446+113)</f>
        <v>3.038377193</v>
      </c>
      <c r="F17" s="11">
        <f>12897/(89+4223+1867)</f>
        <v>2.087230944</v>
      </c>
      <c r="G17" s="11">
        <f>15621/(89+5105+1604)</f>
        <v>2.29788173</v>
      </c>
      <c r="H17" s="11">
        <f>19070/(89+6093+2288)</f>
        <v>2.251475797</v>
      </c>
      <c r="I17" s="11">
        <f>20010/(89+6736+3269)</f>
        <v>1.982365762</v>
      </c>
      <c r="J17" s="11">
        <f>20602/(89+7464+5243)</f>
        <v>1.610034386</v>
      </c>
      <c r="K17" s="11">
        <f>27210/(89+9284+6610)</f>
        <v>1.702433836</v>
      </c>
    </row>
    <row r="18">
      <c r="A18" s="6" t="s">
        <v>10</v>
      </c>
      <c r="B18" s="11">
        <f>(1006+51)/10113</f>
        <v>0.104518936</v>
      </c>
      <c r="C18" s="11">
        <f>(1016+87)/10916</f>
        <v>0.1010443386</v>
      </c>
      <c r="D18" s="11">
        <f>(1056+81)/11903</f>
        <v>0.09552213728</v>
      </c>
      <c r="E18" s="11">
        <f>(888+42)/11084</f>
        <v>0.08390472754</v>
      </c>
      <c r="F18" s="11">
        <f>(1033+37)/12897</f>
        <v>0.08296503063</v>
      </c>
      <c r="G18" s="11">
        <f>(1571+48)/15621</f>
        <v>0.1036425325</v>
      </c>
      <c r="H18" s="11">
        <f>(1927+44)/19070</f>
        <v>0.1033560566</v>
      </c>
      <c r="I18" s="11">
        <f>(2105+149)/20010</f>
        <v>0.1126436782</v>
      </c>
      <c r="J18" s="11">
        <f>(1233+181)/20602</f>
        <v>0.06863411319</v>
      </c>
      <c r="K18" s="11">
        <f>(2932+195)/27210</f>
        <v>0.1149209849</v>
      </c>
    </row>
    <row r="19">
      <c r="A19" s="6" t="s">
        <v>11</v>
      </c>
      <c r="B19" s="11">
        <f>(725/(89+1876))*100</f>
        <v>36.8956743</v>
      </c>
      <c r="C19" s="11">
        <f>(741/(89+2435))*100</f>
        <v>29.35816165</v>
      </c>
      <c r="D19" s="11">
        <f>(823/(89+3003))*100</f>
        <v>26.61707633</v>
      </c>
      <c r="E19" s="11">
        <f>(698/(89+3446))*100</f>
        <v>19.74540311</v>
      </c>
      <c r="F19" s="11">
        <f>(762/(89+4223))*100</f>
        <v>17.6716141</v>
      </c>
      <c r="G19" s="11">
        <f>(1163/(89+5105))*100</f>
        <v>22.39122064</v>
      </c>
      <c r="H19" s="11">
        <f>(1374/(89+6093))*100</f>
        <v>22.22581689</v>
      </c>
      <c r="I19" s="11">
        <f>(1517/(89+6736))*100</f>
        <v>22.22710623</v>
      </c>
      <c r="J19" s="11">
        <f>(877/(89+7464))*100</f>
        <v>11.61128029</v>
      </c>
      <c r="K19" s="11">
        <f>(2180/(89+9234))*100</f>
        <v>23.38303121</v>
      </c>
    </row>
    <row r="21" ht="20.25" customHeight="1">
      <c r="A21" s="4" t="s">
        <v>12</v>
      </c>
    </row>
    <row r="23">
      <c r="A23" s="5"/>
      <c r="B23" s="6">
        <v>2013.0</v>
      </c>
      <c r="C23" s="6">
        <v>2014.0</v>
      </c>
      <c r="D23" s="6">
        <v>2015.0</v>
      </c>
      <c r="E23" s="6">
        <v>2016.0</v>
      </c>
      <c r="F23" s="6">
        <v>2017.0</v>
      </c>
      <c r="G23" s="6">
        <v>2018.0</v>
      </c>
      <c r="H23" s="6">
        <v>2019.0</v>
      </c>
      <c r="I23" s="6">
        <v>2020.0</v>
      </c>
      <c r="J23" s="6">
        <v>2021.0</v>
      </c>
      <c r="K23" s="6">
        <v>2022.0</v>
      </c>
    </row>
    <row r="24" ht="15.75" customHeight="1">
      <c r="A24" s="6" t="s">
        <v>13</v>
      </c>
      <c r="B24" s="11">
        <f>0/89</f>
        <v>0</v>
      </c>
      <c r="C24" s="11">
        <f>806/89</f>
        <v>9.056179775</v>
      </c>
      <c r="D24" s="11">
        <f>100/89</f>
        <v>1.123595506</v>
      </c>
      <c r="E24" s="11">
        <f>113/89</f>
        <v>1.269662921</v>
      </c>
      <c r="F24" s="11">
        <f>1867/89</f>
        <v>20.97752809</v>
      </c>
      <c r="G24" s="11">
        <f>1604/89</f>
        <v>18.02247191</v>
      </c>
      <c r="H24" s="11">
        <f>2288/89</f>
        <v>25.70786517</v>
      </c>
      <c r="I24" s="11">
        <f>3269/89</f>
        <v>36.73033708</v>
      </c>
      <c r="J24" s="11">
        <f>5243/89</f>
        <v>58.91011236</v>
      </c>
      <c r="K24" s="11">
        <f>6610/89</f>
        <v>74.26966292</v>
      </c>
    </row>
    <row r="25" ht="15.75" customHeight="1">
      <c r="A25" s="6" t="s">
        <v>14</v>
      </c>
      <c r="B25" s="5">
        <f>51/(1006+51)</f>
        <v>0.04824976348</v>
      </c>
      <c r="C25" s="5">
        <f>87/(1016+87)</f>
        <v>0.07887579329</v>
      </c>
      <c r="D25" s="5">
        <f>81/(1056+81)</f>
        <v>0.07124010554</v>
      </c>
      <c r="E25" s="5">
        <f>42/(888+42)</f>
        <v>0.04516129032</v>
      </c>
      <c r="F25" s="5">
        <f>37/(1033+37)</f>
        <v>0.03457943925</v>
      </c>
      <c r="G25" s="5">
        <f>48/(1571+48)</f>
        <v>0.02964793082</v>
      </c>
      <c r="H25" s="5">
        <f>44/(1927+44)</f>
        <v>0.02232369356</v>
      </c>
      <c r="I25" s="5">
        <f>149/(2105+149)</f>
        <v>0.06610470275</v>
      </c>
      <c r="J25" s="5">
        <f>181/(1233+181)</f>
        <v>0.1280056577</v>
      </c>
      <c r="K25" s="5">
        <f>195/(2932+195)</f>
        <v>0.06236008954</v>
      </c>
    </row>
    <row r="26" ht="15.75" customHeight="1"/>
    <row r="27" ht="21.0" customHeight="1">
      <c r="A27" s="4" t="s">
        <v>15</v>
      </c>
    </row>
    <row r="28" ht="15.75" customHeight="1"/>
    <row r="29" ht="15.75" customHeight="1">
      <c r="A29" s="5"/>
      <c r="B29" s="6">
        <v>2013.0</v>
      </c>
      <c r="C29" s="6">
        <v>2014.0</v>
      </c>
      <c r="D29" s="6">
        <v>2015.0</v>
      </c>
      <c r="E29" s="6">
        <v>2016.0</v>
      </c>
      <c r="F29" s="6">
        <v>2017.0</v>
      </c>
      <c r="G29" s="6">
        <v>2018.0</v>
      </c>
      <c r="H29" s="6">
        <v>2019.0</v>
      </c>
      <c r="I29" s="6">
        <v>2020.0</v>
      </c>
      <c r="J29" s="6">
        <v>2021.0</v>
      </c>
      <c r="K29" s="6">
        <v>2022.0</v>
      </c>
    </row>
    <row r="30" ht="15.75" customHeight="1">
      <c r="A30" s="6" t="s">
        <v>16</v>
      </c>
      <c r="B30" s="12">
        <v>8.17</v>
      </c>
      <c r="C30" s="12">
        <v>8.28</v>
      </c>
      <c r="D30" s="12">
        <v>9.19</v>
      </c>
      <c r="E30" s="12">
        <v>7.6</v>
      </c>
      <c r="F30" s="12">
        <v>8.01</v>
      </c>
      <c r="G30" s="12">
        <v>12.73</v>
      </c>
      <c r="H30" s="12">
        <v>15.82</v>
      </c>
      <c r="I30" s="12">
        <v>16.91</v>
      </c>
      <c r="J30" s="12">
        <v>10.96</v>
      </c>
      <c r="K30" s="12">
        <v>24.48</v>
      </c>
    </row>
    <row r="31" ht="15.75" customHeight="1">
      <c r="A31" s="6" t="s">
        <v>17</v>
      </c>
      <c r="B31" s="5">
        <v>22.13</v>
      </c>
      <c r="C31" s="5">
        <v>28.43</v>
      </c>
      <c r="D31" s="5">
        <v>34.83</v>
      </c>
      <c r="E31" s="5">
        <v>39.59</v>
      </c>
      <c r="F31" s="5">
        <v>48.57</v>
      </c>
      <c r="G31" s="5">
        <v>58.5</v>
      </c>
      <c r="H31" s="5">
        <v>69.63</v>
      </c>
      <c r="I31" s="5">
        <v>76.87</v>
      </c>
      <c r="J31" s="5">
        <v>84.87</v>
      </c>
      <c r="K31" s="5">
        <v>105.57</v>
      </c>
    </row>
    <row r="32" ht="15.75" customHeight="1">
      <c r="A32" s="6" t="s">
        <v>18</v>
      </c>
      <c r="B32" s="5">
        <v>2.1</v>
      </c>
      <c r="C32" s="5">
        <v>2.1</v>
      </c>
      <c r="D32" s="5">
        <v>2.3</v>
      </c>
      <c r="E32" s="5">
        <v>2.2</v>
      </c>
      <c r="F32" s="5">
        <v>2.6</v>
      </c>
      <c r="G32" s="5">
        <v>3.75</v>
      </c>
      <c r="H32" s="5">
        <v>5.0</v>
      </c>
      <c r="I32" s="5">
        <v>4.0</v>
      </c>
      <c r="J32" s="5">
        <v>4.0</v>
      </c>
      <c r="K32" s="5">
        <v>7.5</v>
      </c>
    </row>
    <row r="33" ht="15.75" customHeight="1">
      <c r="A33" s="6" t="s">
        <v>19</v>
      </c>
      <c r="B33" s="11">
        <f t="shared" ref="B33:K33" si="1">B30/B32</f>
        <v>3.89047619</v>
      </c>
      <c r="C33" s="11">
        <f t="shared" si="1"/>
        <v>3.942857143</v>
      </c>
      <c r="D33" s="11">
        <f t="shared" si="1"/>
        <v>3.995652174</v>
      </c>
      <c r="E33" s="11">
        <f t="shared" si="1"/>
        <v>3.454545455</v>
      </c>
      <c r="F33" s="11">
        <f t="shared" si="1"/>
        <v>3.080769231</v>
      </c>
      <c r="G33" s="11">
        <f t="shared" si="1"/>
        <v>3.394666667</v>
      </c>
      <c r="H33" s="11">
        <f t="shared" si="1"/>
        <v>3.164</v>
      </c>
      <c r="I33" s="11">
        <f t="shared" si="1"/>
        <v>4.2275</v>
      </c>
      <c r="J33" s="11">
        <f t="shared" si="1"/>
        <v>2.74</v>
      </c>
      <c r="K33" s="11">
        <f t="shared" si="1"/>
        <v>3.264</v>
      </c>
    </row>
    <row r="34" ht="15.75" customHeight="1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ht="22.5" customHeight="1">
      <c r="A35" s="15" t="s">
        <v>20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ht="15.75" customHeight="1"/>
    <row r="37" ht="15.75" customHeight="1">
      <c r="A37" s="16"/>
      <c r="B37" s="6">
        <v>2013.0</v>
      </c>
      <c r="C37" s="6">
        <v>2014.0</v>
      </c>
      <c r="D37" s="6">
        <v>2015.0</v>
      </c>
      <c r="E37" s="6">
        <v>2016.0</v>
      </c>
      <c r="F37" s="6">
        <v>2017.0</v>
      </c>
      <c r="G37" s="6">
        <v>2018.0</v>
      </c>
      <c r="H37" s="6">
        <v>2019.0</v>
      </c>
      <c r="I37" s="6">
        <v>2020.0</v>
      </c>
      <c r="J37" s="6">
        <v>2021.0</v>
      </c>
      <c r="K37" s="6">
        <v>2022.0</v>
      </c>
    </row>
    <row r="38" ht="15.75" customHeight="1">
      <c r="A38" s="2" t="s">
        <v>10</v>
      </c>
      <c r="B38" s="11">
        <f>(1006+51)/10113</f>
        <v>0.104518936</v>
      </c>
      <c r="C38" s="11">
        <f>(1016+87)/10916</f>
        <v>0.1010443386</v>
      </c>
      <c r="D38" s="11">
        <f>(1056+81)/11903</f>
        <v>0.09552213728</v>
      </c>
      <c r="E38" s="11">
        <f>(888+42)/11084</f>
        <v>0.08390472754</v>
      </c>
      <c r="F38" s="11">
        <f>(1033+37)/12897</f>
        <v>0.08296503063</v>
      </c>
      <c r="G38" s="11">
        <f>(1571+48)/15621</f>
        <v>0.1036425325</v>
      </c>
      <c r="H38" s="11">
        <f>(1927+44)/19070</f>
        <v>0.1033560566</v>
      </c>
      <c r="I38" s="11">
        <f>(2105+149)/20010</f>
        <v>0.1126436782</v>
      </c>
      <c r="J38" s="11">
        <f>(1233+181)/20602</f>
        <v>0.06863411319</v>
      </c>
      <c r="K38" s="11">
        <f>(2932+195)/27210</f>
        <v>0.1149209849</v>
      </c>
    </row>
    <row r="39" ht="15.75" customHeight="1">
      <c r="A39" s="2" t="s">
        <v>21</v>
      </c>
      <c r="B39" s="2">
        <v>172.13</v>
      </c>
      <c r="C39" s="2">
        <v>178.74</v>
      </c>
      <c r="D39" s="2">
        <v>202.7</v>
      </c>
      <c r="E39" s="2">
        <v>176.65</v>
      </c>
      <c r="F39" s="2">
        <v>155.05</v>
      </c>
      <c r="G39" s="2">
        <v>166.24</v>
      </c>
      <c r="H39" s="2">
        <v>166.26</v>
      </c>
      <c r="I39" s="2">
        <v>151.72</v>
      </c>
      <c r="J39" s="2">
        <v>129.89</v>
      </c>
      <c r="K39" s="2">
        <v>135.11</v>
      </c>
    </row>
    <row r="40" ht="15.75" customHeight="1">
      <c r="A40" s="2" t="s">
        <v>22</v>
      </c>
      <c r="B40" s="17">
        <f>5876/89</f>
        <v>66.02247191</v>
      </c>
      <c r="C40" s="17">
        <f>6107/89</f>
        <v>68.61797753</v>
      </c>
      <c r="D40" s="17">
        <f>5872/89</f>
        <v>65.97752809</v>
      </c>
      <c r="E40" s="17">
        <f>6308/89</f>
        <v>70.87640449</v>
      </c>
      <c r="F40" s="17">
        <f>8318/89</f>
        <v>93.46067416</v>
      </c>
      <c r="G40" s="17">
        <f>9396/89</f>
        <v>105.5730337</v>
      </c>
      <c r="H40" s="17">
        <f>11470/89</f>
        <v>128.8764045</v>
      </c>
      <c r="I40" s="17">
        <f>13188/89</f>
        <v>148.1797753</v>
      </c>
      <c r="J40" s="17">
        <f>15860/89</f>
        <v>178.2022472</v>
      </c>
      <c r="K40" s="17">
        <f>20137/89</f>
        <v>226.258427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">
    <mergeCell ref="D1:F1"/>
  </mergeCells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7.43"/>
  </cols>
  <sheetData>
    <row r="1">
      <c r="F1" s="18" t="s">
        <v>23</v>
      </c>
    </row>
    <row r="4">
      <c r="B4" s="19"/>
      <c r="C4" s="20">
        <v>41334.0</v>
      </c>
      <c r="D4" s="20">
        <v>41699.0</v>
      </c>
      <c r="E4" s="20">
        <v>42064.0</v>
      </c>
      <c r="F4" s="21">
        <v>42430.0</v>
      </c>
      <c r="G4" s="20">
        <v>42795.0</v>
      </c>
      <c r="H4" s="20">
        <v>43160.0</v>
      </c>
      <c r="I4" s="20">
        <v>43525.0</v>
      </c>
      <c r="J4" s="20">
        <v>43891.0</v>
      </c>
      <c r="K4" s="20">
        <v>44256.0</v>
      </c>
      <c r="L4" s="20">
        <v>44621.0</v>
      </c>
    </row>
    <row r="5">
      <c r="B5" s="22" t="s">
        <v>24</v>
      </c>
      <c r="C5" s="23">
        <v>89.0</v>
      </c>
      <c r="D5" s="23">
        <v>89.0</v>
      </c>
      <c r="E5" s="23">
        <v>89.0</v>
      </c>
      <c r="F5" s="24">
        <v>89.0</v>
      </c>
      <c r="G5" s="23">
        <v>89.0</v>
      </c>
      <c r="H5" s="23">
        <v>89.0</v>
      </c>
      <c r="I5" s="23">
        <v>89.0</v>
      </c>
      <c r="J5" s="23">
        <v>89.0</v>
      </c>
      <c r="K5" s="23">
        <v>89.0</v>
      </c>
      <c r="L5" s="23">
        <v>89.0</v>
      </c>
    </row>
    <row r="6">
      <c r="B6" s="25" t="s">
        <v>25</v>
      </c>
      <c r="C6" s="23">
        <v>1876.0</v>
      </c>
      <c r="D6" s="23">
        <v>2435.0</v>
      </c>
      <c r="E6" s="23">
        <v>3003.0</v>
      </c>
      <c r="F6" s="23">
        <v>3446.0</v>
      </c>
      <c r="G6" s="23">
        <v>4223.0</v>
      </c>
      <c r="H6" s="23">
        <v>5105.0</v>
      </c>
      <c r="I6" s="23">
        <v>6093.0</v>
      </c>
      <c r="J6" s="23">
        <v>6736.0</v>
      </c>
      <c r="K6" s="23">
        <v>7464.0</v>
      </c>
      <c r="L6" s="23">
        <v>9284.0</v>
      </c>
    </row>
    <row r="7">
      <c r="B7" s="25" t="s">
        <v>26</v>
      </c>
      <c r="C7" s="23">
        <v>0.0</v>
      </c>
      <c r="D7" s="23">
        <v>806.0</v>
      </c>
      <c r="E7" s="23">
        <v>100.0</v>
      </c>
      <c r="F7" s="26">
        <v>113.0</v>
      </c>
      <c r="G7" s="23">
        <v>1867.0</v>
      </c>
      <c r="H7" s="23">
        <v>1604.0</v>
      </c>
      <c r="I7" s="23">
        <v>2288.0</v>
      </c>
      <c r="J7" s="23">
        <v>3269.0</v>
      </c>
      <c r="K7" s="23">
        <v>5243.0</v>
      </c>
      <c r="L7" s="23">
        <v>6610.0</v>
      </c>
    </row>
    <row r="8">
      <c r="B8" s="22" t="s">
        <v>27</v>
      </c>
      <c r="C8" s="23">
        <v>3911.0</v>
      </c>
      <c r="D8" s="23">
        <v>2777.0</v>
      </c>
      <c r="E8" s="23">
        <v>2680.0</v>
      </c>
      <c r="F8" s="23">
        <v>2661.0</v>
      </c>
      <c r="G8" s="23">
        <v>2138.0</v>
      </c>
      <c r="H8" s="23">
        <v>2599.0</v>
      </c>
      <c r="I8" s="23">
        <v>3000.0</v>
      </c>
      <c r="J8" s="23">
        <v>3094.0</v>
      </c>
      <c r="K8" s="23">
        <v>3064.0</v>
      </c>
      <c r="L8" s="23">
        <v>4154.0</v>
      </c>
    </row>
    <row r="9">
      <c r="B9" s="25" t="s">
        <v>28</v>
      </c>
      <c r="C9" s="23">
        <v>5876.0</v>
      </c>
      <c r="D9" s="23">
        <v>6107.0</v>
      </c>
      <c r="E9" s="23">
        <v>5872.0</v>
      </c>
      <c r="F9" s="23">
        <v>6308.0</v>
      </c>
      <c r="G9" s="23">
        <v>8318.0</v>
      </c>
      <c r="H9" s="23">
        <v>9396.0</v>
      </c>
      <c r="I9" s="23">
        <v>11470.0</v>
      </c>
      <c r="J9" s="23">
        <v>13188.0</v>
      </c>
      <c r="K9" s="23">
        <v>15860.0</v>
      </c>
      <c r="L9" s="23">
        <v>20137.0</v>
      </c>
    </row>
    <row r="10">
      <c r="B10" s="22" t="s">
        <v>29</v>
      </c>
      <c r="C10" s="26">
        <v>449.0</v>
      </c>
      <c r="D10" s="26">
        <v>596.0</v>
      </c>
      <c r="E10" s="26">
        <v>683.0</v>
      </c>
      <c r="F10" s="26">
        <v>654.0</v>
      </c>
      <c r="G10" s="26">
        <v>707.0</v>
      </c>
      <c r="H10" s="26">
        <v>974.0</v>
      </c>
      <c r="I10" s="23">
        <v>1069.0</v>
      </c>
      <c r="J10" s="23">
        <v>2053.0</v>
      </c>
      <c r="K10" s="23">
        <v>1959.0</v>
      </c>
      <c r="L10" s="23">
        <v>1935.0</v>
      </c>
    </row>
    <row r="11">
      <c r="B11" s="25" t="s">
        <v>30</v>
      </c>
      <c r="C11" s="26">
        <v>42.0</v>
      </c>
      <c r="D11" s="26">
        <v>33.0</v>
      </c>
      <c r="E11" s="26">
        <v>55.0</v>
      </c>
      <c r="F11" s="26">
        <v>77.0</v>
      </c>
      <c r="G11" s="26">
        <v>148.0</v>
      </c>
      <c r="H11" s="26">
        <v>41.0</v>
      </c>
      <c r="I11" s="26">
        <v>26.0</v>
      </c>
      <c r="J11" s="26">
        <v>14.0</v>
      </c>
      <c r="K11" s="26">
        <v>25.0</v>
      </c>
      <c r="L11" s="26">
        <v>60.0</v>
      </c>
    </row>
    <row r="12">
      <c r="B12" s="25" t="s">
        <v>31</v>
      </c>
      <c r="C12" s="23">
        <v>19.0</v>
      </c>
      <c r="D12" s="23">
        <v>27.0</v>
      </c>
      <c r="E12" s="23">
        <v>33.0</v>
      </c>
      <c r="F12" s="26">
        <v>90.0</v>
      </c>
      <c r="G12" s="23">
        <v>886.0</v>
      </c>
      <c r="H12" s="23">
        <v>734.0</v>
      </c>
      <c r="I12" s="23">
        <v>876.0</v>
      </c>
      <c r="J12" s="23">
        <v>983.0</v>
      </c>
      <c r="K12" s="23">
        <v>3512.0</v>
      </c>
      <c r="L12" s="23">
        <v>884.0</v>
      </c>
    </row>
    <row r="13">
      <c r="B13" s="22" t="s">
        <v>32</v>
      </c>
      <c r="C13" s="23">
        <v>5367.0</v>
      </c>
      <c r="D13" s="23">
        <v>5451.0</v>
      </c>
      <c r="E13" s="23">
        <v>5101.0</v>
      </c>
      <c r="F13" s="23">
        <v>5487.0</v>
      </c>
      <c r="G13" s="23">
        <v>6576.0</v>
      </c>
      <c r="H13" s="23">
        <v>7648.0</v>
      </c>
      <c r="I13" s="23">
        <v>9499.0</v>
      </c>
      <c r="J13" s="23">
        <v>10138.0</v>
      </c>
      <c r="K13" s="23">
        <v>10364.0</v>
      </c>
      <c r="L13" s="23">
        <v>17258.0</v>
      </c>
    </row>
    <row r="14">
      <c r="B14" s="25" t="s">
        <v>33</v>
      </c>
      <c r="C14" s="23">
        <v>5876.0</v>
      </c>
      <c r="D14" s="23">
        <v>6107.0</v>
      </c>
      <c r="E14" s="23">
        <v>5872.0</v>
      </c>
      <c r="F14" s="23">
        <v>6308.0</v>
      </c>
      <c r="G14" s="23">
        <v>8318.0</v>
      </c>
      <c r="H14" s="23">
        <v>9396.0</v>
      </c>
      <c r="I14" s="23">
        <v>11470.0</v>
      </c>
      <c r="J14" s="23">
        <v>13188.0</v>
      </c>
      <c r="K14" s="23">
        <v>15860.0</v>
      </c>
      <c r="L14" s="23">
        <v>20137.0</v>
      </c>
    </row>
    <row r="15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>
      <c r="B16" s="27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>
      <c r="B17" s="30"/>
      <c r="C17" s="20">
        <v>40603.0</v>
      </c>
      <c r="D17" s="20">
        <v>40969.0</v>
      </c>
      <c r="E17" s="20">
        <v>41334.0</v>
      </c>
      <c r="F17" s="20">
        <v>41699.0</v>
      </c>
      <c r="G17" s="20">
        <v>42064.0</v>
      </c>
      <c r="H17" s="20">
        <v>42430.0</v>
      </c>
      <c r="I17" s="20">
        <v>42795.0</v>
      </c>
      <c r="J17" s="20">
        <v>43160.0</v>
      </c>
      <c r="K17" s="20">
        <v>43525.0</v>
      </c>
      <c r="L17" s="20">
        <v>43891.0</v>
      </c>
      <c r="M17" s="31">
        <v>44256.0</v>
      </c>
      <c r="N17" s="31">
        <v>44621.0</v>
      </c>
    </row>
    <row r="18">
      <c r="B18" s="22" t="s">
        <v>34</v>
      </c>
      <c r="C18" s="23">
        <v>6521.0</v>
      </c>
      <c r="D18" s="23">
        <v>8838.0</v>
      </c>
      <c r="E18" s="23">
        <v>10113.0</v>
      </c>
      <c r="F18" s="23">
        <v>10916.0</v>
      </c>
      <c r="G18" s="23">
        <v>11903.0</v>
      </c>
      <c r="H18" s="23">
        <v>11084.0</v>
      </c>
      <c r="I18" s="23">
        <v>12897.0</v>
      </c>
      <c r="J18" s="23">
        <v>15621.0</v>
      </c>
      <c r="K18" s="23">
        <v>19070.0</v>
      </c>
      <c r="L18" s="23">
        <v>20010.0</v>
      </c>
      <c r="M18" s="32">
        <v>20602.0</v>
      </c>
      <c r="N18" s="32">
        <v>27210.0</v>
      </c>
    </row>
    <row r="19">
      <c r="B19" s="22" t="s">
        <v>35</v>
      </c>
      <c r="C19" s="23">
        <v>5907.0</v>
      </c>
      <c r="D19" s="23">
        <v>8003.0</v>
      </c>
      <c r="E19" s="23">
        <v>9100.0</v>
      </c>
      <c r="F19" s="23">
        <v>9864.0</v>
      </c>
      <c r="G19" s="23">
        <v>10746.0</v>
      </c>
      <c r="H19" s="23">
        <v>10135.0</v>
      </c>
      <c r="I19" s="23">
        <v>11693.0</v>
      </c>
      <c r="J19" s="23">
        <v>13886.0</v>
      </c>
      <c r="K19" s="23">
        <v>17064.0</v>
      </c>
      <c r="L19" s="23">
        <v>17592.0</v>
      </c>
      <c r="M19" s="32">
        <v>18896.0</v>
      </c>
      <c r="N19" s="32">
        <v>23931.0</v>
      </c>
    </row>
    <row r="20">
      <c r="B20" s="25" t="s">
        <v>36</v>
      </c>
      <c r="C20" s="26">
        <v>614.0</v>
      </c>
      <c r="D20" s="26">
        <v>835.0</v>
      </c>
      <c r="E20" s="23">
        <v>1012.0</v>
      </c>
      <c r="F20" s="23">
        <v>1051.0</v>
      </c>
      <c r="G20" s="23">
        <v>1158.0</v>
      </c>
      <c r="H20" s="26">
        <v>949.0</v>
      </c>
      <c r="I20" s="23">
        <v>1204.0</v>
      </c>
      <c r="J20" s="23">
        <v>1736.0</v>
      </c>
      <c r="K20" s="23">
        <v>2006.0</v>
      </c>
      <c r="L20" s="23">
        <v>2418.0</v>
      </c>
      <c r="M20" s="32">
        <v>1706.0</v>
      </c>
      <c r="N20" s="32">
        <v>3279.0</v>
      </c>
    </row>
    <row r="21">
      <c r="B21" s="25" t="s">
        <v>37</v>
      </c>
      <c r="C21" s="33">
        <v>0.09</v>
      </c>
      <c r="D21" s="33">
        <v>0.09</v>
      </c>
      <c r="E21" s="33">
        <v>0.1</v>
      </c>
      <c r="F21" s="33">
        <v>0.1</v>
      </c>
      <c r="G21" s="33">
        <v>0.1</v>
      </c>
      <c r="H21" s="33">
        <v>0.09</v>
      </c>
      <c r="I21" s="33">
        <v>0.09</v>
      </c>
      <c r="J21" s="33">
        <v>0.11</v>
      </c>
      <c r="K21" s="33">
        <v>0.11</v>
      </c>
      <c r="L21" s="33">
        <v>0.12</v>
      </c>
      <c r="M21" s="29">
        <v>0.08</v>
      </c>
      <c r="N21" s="29">
        <v>0.12</v>
      </c>
    </row>
    <row r="22">
      <c r="B22" s="22" t="s">
        <v>38</v>
      </c>
      <c r="C22" s="26">
        <v>54.0</v>
      </c>
      <c r="D22" s="26">
        <v>92.0</v>
      </c>
      <c r="E22" s="26">
        <v>99.0</v>
      </c>
      <c r="F22" s="26">
        <v>117.0</v>
      </c>
      <c r="G22" s="26">
        <v>66.0</v>
      </c>
      <c r="H22" s="26">
        <v>69.0</v>
      </c>
      <c r="I22" s="26">
        <v>-40.0</v>
      </c>
      <c r="J22" s="26">
        <v>-7.0</v>
      </c>
      <c r="K22" s="26">
        <v>104.0</v>
      </c>
      <c r="L22" s="26">
        <v>146.0</v>
      </c>
      <c r="M22" s="28">
        <v>39.0</v>
      </c>
      <c r="N22" s="28">
        <v>195.0</v>
      </c>
    </row>
    <row r="23">
      <c r="B23" s="25" t="s">
        <v>39</v>
      </c>
      <c r="C23" s="26">
        <v>35.0</v>
      </c>
      <c r="D23" s="26">
        <v>44.0</v>
      </c>
      <c r="E23" s="26">
        <v>51.0</v>
      </c>
      <c r="F23" s="26">
        <v>87.0</v>
      </c>
      <c r="G23" s="26">
        <v>81.0</v>
      </c>
      <c r="H23" s="26">
        <v>42.0</v>
      </c>
      <c r="I23" s="26">
        <v>37.0</v>
      </c>
      <c r="J23" s="26">
        <v>48.0</v>
      </c>
      <c r="K23" s="26">
        <v>44.0</v>
      </c>
      <c r="L23" s="26">
        <v>149.0</v>
      </c>
      <c r="M23" s="28">
        <v>181.0</v>
      </c>
      <c r="N23" s="28">
        <v>195.0</v>
      </c>
    </row>
    <row r="24">
      <c r="B24" s="25" t="s">
        <v>40</v>
      </c>
      <c r="C24" s="26">
        <v>34.0</v>
      </c>
      <c r="D24" s="26">
        <v>45.0</v>
      </c>
      <c r="E24" s="26">
        <v>54.0</v>
      </c>
      <c r="F24" s="26">
        <v>66.0</v>
      </c>
      <c r="G24" s="26">
        <v>87.0</v>
      </c>
      <c r="H24" s="26">
        <v>87.0</v>
      </c>
      <c r="I24" s="26">
        <v>93.0</v>
      </c>
      <c r="J24" s="26">
        <v>110.0</v>
      </c>
      <c r="K24" s="26">
        <v>139.0</v>
      </c>
      <c r="L24" s="26">
        <v>310.0</v>
      </c>
      <c r="M24" s="28">
        <v>331.0</v>
      </c>
      <c r="N24" s="28">
        <v>347.0</v>
      </c>
    </row>
    <row r="25">
      <c r="B25" s="25" t="s">
        <v>41</v>
      </c>
      <c r="C25" s="26">
        <v>599.0</v>
      </c>
      <c r="D25" s="26">
        <v>838.0</v>
      </c>
      <c r="E25" s="23">
        <v>1006.0</v>
      </c>
      <c r="F25" s="23">
        <v>1016.0</v>
      </c>
      <c r="G25" s="23">
        <v>1056.0</v>
      </c>
      <c r="H25" s="26">
        <v>888.0</v>
      </c>
      <c r="I25" s="23">
        <v>1033.0</v>
      </c>
      <c r="J25" s="23">
        <v>1571.0</v>
      </c>
      <c r="K25" s="23">
        <v>1927.0</v>
      </c>
      <c r="L25" s="23">
        <v>2105.0</v>
      </c>
      <c r="M25" s="32">
        <v>1233.0</v>
      </c>
      <c r="N25" s="32">
        <v>2932.0</v>
      </c>
    </row>
    <row r="26">
      <c r="B26" s="25" t="s">
        <v>42</v>
      </c>
      <c r="C26" s="33">
        <v>0.28</v>
      </c>
      <c r="D26" s="33">
        <v>0.28</v>
      </c>
      <c r="E26" s="33">
        <v>0.28</v>
      </c>
      <c r="F26" s="33">
        <v>0.27</v>
      </c>
      <c r="G26" s="33">
        <v>0.22</v>
      </c>
      <c r="H26" s="33">
        <v>0.21</v>
      </c>
      <c r="I26" s="33">
        <v>0.26</v>
      </c>
      <c r="J26" s="33">
        <v>0.26</v>
      </c>
      <c r="K26" s="33">
        <v>0.29</v>
      </c>
      <c r="L26" s="33">
        <v>0.28</v>
      </c>
      <c r="M26" s="29">
        <v>0.29</v>
      </c>
      <c r="N26" s="29">
        <v>0.26</v>
      </c>
    </row>
    <row r="27">
      <c r="B27" s="25" t="s">
        <v>43</v>
      </c>
      <c r="C27" s="26">
        <v>430.0</v>
      </c>
      <c r="D27" s="26">
        <v>600.0</v>
      </c>
      <c r="E27" s="26">
        <v>725.0</v>
      </c>
      <c r="F27" s="26">
        <v>741.0</v>
      </c>
      <c r="G27" s="26">
        <v>823.0</v>
      </c>
      <c r="H27" s="26">
        <v>698.0</v>
      </c>
      <c r="I27" s="26">
        <v>762.0</v>
      </c>
      <c r="J27" s="23">
        <v>1163.0</v>
      </c>
      <c r="K27" s="23">
        <v>1374.0</v>
      </c>
      <c r="L27" s="23">
        <v>1517.0</v>
      </c>
      <c r="M27" s="28">
        <v>877.0</v>
      </c>
      <c r="N27" s="32">
        <v>2180.0</v>
      </c>
    </row>
    <row r="28">
      <c r="B28" s="25" t="s">
        <v>44</v>
      </c>
      <c r="C28" s="26">
        <v>4.85</v>
      </c>
      <c r="D28" s="26">
        <v>6.76</v>
      </c>
      <c r="E28" s="26">
        <v>8.17</v>
      </c>
      <c r="F28" s="26">
        <v>8.35</v>
      </c>
      <c r="G28" s="26">
        <v>9.27</v>
      </c>
      <c r="H28" s="26">
        <v>7.86</v>
      </c>
      <c r="I28" s="26">
        <v>8.58</v>
      </c>
      <c r="J28" s="26">
        <v>13.1</v>
      </c>
      <c r="K28" s="26">
        <v>15.48</v>
      </c>
      <c r="L28" s="26">
        <v>17.09</v>
      </c>
      <c r="M28" s="28">
        <v>9.88</v>
      </c>
      <c r="N28" s="28">
        <v>24.56</v>
      </c>
    </row>
    <row r="29">
      <c r="B29" s="25" t="s">
        <v>45</v>
      </c>
      <c r="C29" s="33">
        <v>0.13</v>
      </c>
      <c r="D29" s="33">
        <v>0.26</v>
      </c>
      <c r="E29" s="33">
        <v>0.26</v>
      </c>
      <c r="F29" s="33">
        <v>0.25</v>
      </c>
      <c r="G29" s="33">
        <v>0.25</v>
      </c>
      <c r="H29" s="33">
        <v>0.28</v>
      </c>
      <c r="I29" s="33">
        <v>0.3</v>
      </c>
      <c r="J29" s="33">
        <v>0.29</v>
      </c>
      <c r="K29" s="33">
        <v>0.32</v>
      </c>
      <c r="L29" s="33">
        <v>0.23</v>
      </c>
      <c r="M29" s="29">
        <v>0.41</v>
      </c>
      <c r="N29" s="29">
        <v>0.31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4"/>
      <c r="B1" s="35"/>
      <c r="C1" s="36" t="s">
        <v>46</v>
      </c>
      <c r="I1" s="35"/>
      <c r="J1" s="37"/>
      <c r="K1" s="37"/>
      <c r="L1" s="37"/>
    </row>
    <row r="2">
      <c r="A2" s="34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>
      <c r="A3" s="34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>
      <c r="A4" s="34"/>
      <c r="B4" s="38" t="s">
        <v>47</v>
      </c>
      <c r="C4" s="39"/>
      <c r="D4" s="39"/>
      <c r="E4" s="39"/>
      <c r="F4" s="39"/>
      <c r="G4" s="39"/>
      <c r="H4" s="39"/>
      <c r="I4" s="39"/>
      <c r="J4" s="39"/>
      <c r="K4" s="37"/>
      <c r="L4" s="37"/>
    </row>
    <row r="5">
      <c r="A5" s="40" t="s">
        <v>48</v>
      </c>
      <c r="B5" s="41">
        <v>44632.0</v>
      </c>
      <c r="C5" s="41">
        <v>44633.0</v>
      </c>
      <c r="D5" s="41">
        <v>44634.0</v>
      </c>
      <c r="E5" s="41">
        <v>44635.0</v>
      </c>
      <c r="F5" s="41">
        <v>44636.0</v>
      </c>
      <c r="G5" s="41">
        <v>44637.0</v>
      </c>
      <c r="H5" s="41">
        <v>44638.0</v>
      </c>
      <c r="I5" s="41">
        <v>44639.0</v>
      </c>
      <c r="J5" s="41">
        <v>44640.0</v>
      </c>
      <c r="K5" s="42">
        <v>44641.0</v>
      </c>
      <c r="L5" s="42">
        <v>44642.0</v>
      </c>
    </row>
    <row r="6">
      <c r="A6" s="43" t="s">
        <v>49</v>
      </c>
      <c r="B6" s="44">
        <v>822.0</v>
      </c>
      <c r="C6" s="44">
        <v>936.0</v>
      </c>
      <c r="D6" s="45">
        <v>1242.0</v>
      </c>
      <c r="E6" s="45">
        <v>1358.0</v>
      </c>
      <c r="F6" s="45">
        <v>1583.0</v>
      </c>
      <c r="G6" s="45">
        <v>1717.0</v>
      </c>
      <c r="H6" s="45">
        <v>2066.0</v>
      </c>
      <c r="I6" s="45">
        <v>2532.0</v>
      </c>
      <c r="J6" s="45">
        <v>3178.0</v>
      </c>
      <c r="K6" s="45">
        <v>2048.0</v>
      </c>
      <c r="L6" s="45">
        <v>3881.0</v>
      </c>
    </row>
    <row r="7">
      <c r="A7" s="43" t="s">
        <v>50</v>
      </c>
      <c r="B7" s="44">
        <v>827.0</v>
      </c>
      <c r="C7" s="44">
        <v>878.0</v>
      </c>
      <c r="D7" s="45">
        <v>1247.0</v>
      </c>
      <c r="E7" s="45">
        <v>1289.0</v>
      </c>
      <c r="F7" s="45">
        <v>1476.0</v>
      </c>
      <c r="G7" s="45">
        <v>1577.0</v>
      </c>
      <c r="H7" s="45">
        <v>1836.0</v>
      </c>
      <c r="I7" s="45">
        <v>2271.0</v>
      </c>
      <c r="J7" s="45">
        <v>2601.0</v>
      </c>
      <c r="K7" s="45">
        <v>1834.0</v>
      </c>
      <c r="L7" s="45">
        <v>3247.0</v>
      </c>
    </row>
    <row r="8">
      <c r="A8" s="46" t="s">
        <v>36</v>
      </c>
      <c r="B8" s="47">
        <v>-5.0</v>
      </c>
      <c r="C8" s="47">
        <v>58.0</v>
      </c>
      <c r="D8" s="47">
        <v>-5.0</v>
      </c>
      <c r="E8" s="47">
        <v>69.0</v>
      </c>
      <c r="F8" s="47">
        <v>107.0</v>
      </c>
      <c r="G8" s="47">
        <v>139.0</v>
      </c>
      <c r="H8" s="47">
        <v>230.0</v>
      </c>
      <c r="I8" s="47">
        <v>260.0</v>
      </c>
      <c r="J8" s="47">
        <v>577.0</v>
      </c>
      <c r="K8" s="47">
        <v>214.0</v>
      </c>
      <c r="L8" s="47">
        <v>634.0</v>
      </c>
    </row>
    <row r="9">
      <c r="A9" s="43" t="s">
        <v>37</v>
      </c>
      <c r="B9" s="48">
        <v>-0.01</v>
      </c>
      <c r="C9" s="48">
        <v>0.06</v>
      </c>
      <c r="D9" s="48">
        <v>0.0</v>
      </c>
      <c r="E9" s="48">
        <v>0.05</v>
      </c>
      <c r="F9" s="48">
        <v>0.07</v>
      </c>
      <c r="G9" s="48">
        <v>0.08</v>
      </c>
      <c r="H9" s="48">
        <v>0.11</v>
      </c>
      <c r="I9" s="48">
        <v>0.1</v>
      </c>
      <c r="J9" s="48">
        <v>0.18</v>
      </c>
      <c r="K9" s="48">
        <v>0.1</v>
      </c>
      <c r="L9" s="48">
        <v>0.16</v>
      </c>
    </row>
    <row r="10">
      <c r="A10" s="43" t="s">
        <v>51</v>
      </c>
      <c r="B10" s="44">
        <v>79.0</v>
      </c>
      <c r="C10" s="44">
        <v>54.0</v>
      </c>
      <c r="D10" s="44">
        <v>115.0</v>
      </c>
      <c r="E10" s="44">
        <v>127.0</v>
      </c>
      <c r="F10" s="44">
        <v>84.0</v>
      </c>
      <c r="G10" s="44">
        <v>78.0</v>
      </c>
      <c r="H10" s="44">
        <v>26.0</v>
      </c>
      <c r="I10" s="44">
        <v>25.0</v>
      </c>
      <c r="J10" s="44">
        <v>154.0</v>
      </c>
      <c r="K10" s="44">
        <v>197.0</v>
      </c>
      <c r="L10" s="44">
        <v>266.0</v>
      </c>
    </row>
    <row r="11">
      <c r="A11" s="43" t="s">
        <v>39</v>
      </c>
      <c r="B11" s="49">
        <v>91.0</v>
      </c>
      <c r="C11" s="49">
        <v>66.0</v>
      </c>
      <c r="D11" s="49">
        <v>127.0</v>
      </c>
      <c r="E11" s="49">
        <v>139.0</v>
      </c>
      <c r="F11" s="49">
        <v>97.0</v>
      </c>
      <c r="G11" s="49">
        <v>90.0</v>
      </c>
      <c r="H11" s="49">
        <v>38.0</v>
      </c>
      <c r="I11" s="49">
        <v>38.0</v>
      </c>
      <c r="J11" s="49">
        <v>165.0</v>
      </c>
      <c r="K11" s="49">
        <v>208.0</v>
      </c>
      <c r="L11" s="49">
        <v>278.0</v>
      </c>
    </row>
    <row r="12">
      <c r="A12" s="43" t="s">
        <v>40</v>
      </c>
      <c r="B12" s="44">
        <v>16.0</v>
      </c>
      <c r="C12" s="44">
        <v>17.0</v>
      </c>
      <c r="D12" s="44">
        <v>26.0</v>
      </c>
      <c r="E12" s="44">
        <v>40.0</v>
      </c>
      <c r="F12" s="44">
        <v>35.0</v>
      </c>
      <c r="G12" s="44">
        <v>38.0</v>
      </c>
      <c r="H12" s="44">
        <v>42.0</v>
      </c>
      <c r="I12" s="44">
        <v>46.0</v>
      </c>
      <c r="J12" s="44">
        <v>231.0</v>
      </c>
      <c r="K12" s="44">
        <v>236.0</v>
      </c>
      <c r="L12" s="44">
        <v>283.0</v>
      </c>
    </row>
    <row r="13">
      <c r="A13" s="46" t="s">
        <v>41</v>
      </c>
      <c r="B13" s="47">
        <v>45.0</v>
      </c>
      <c r="C13" s="47">
        <v>81.0</v>
      </c>
      <c r="D13" s="47">
        <v>68.0</v>
      </c>
      <c r="E13" s="47">
        <v>139.0</v>
      </c>
      <c r="F13" s="47">
        <v>109.0</v>
      </c>
      <c r="G13" s="47">
        <v>135.0</v>
      </c>
      <c r="H13" s="47">
        <v>172.0</v>
      </c>
      <c r="I13" s="47">
        <v>189.0</v>
      </c>
      <c r="J13" s="47">
        <v>246.0</v>
      </c>
      <c r="K13" s="47">
        <v>-72.0</v>
      </c>
      <c r="L13" s="47">
        <v>323.0</v>
      </c>
    </row>
    <row r="14">
      <c r="A14" s="43" t="s">
        <v>42</v>
      </c>
      <c r="B14" s="48">
        <v>-0.06</v>
      </c>
      <c r="C14" s="48">
        <v>0.23</v>
      </c>
      <c r="D14" s="48">
        <v>0.21</v>
      </c>
      <c r="E14" s="48">
        <v>0.28</v>
      </c>
      <c r="F14" s="48">
        <v>0.21</v>
      </c>
      <c r="G14" s="48">
        <v>0.21</v>
      </c>
      <c r="H14" s="48">
        <v>0.32</v>
      </c>
      <c r="I14" s="48">
        <v>0.33</v>
      </c>
      <c r="J14" s="48">
        <v>0.37</v>
      </c>
      <c r="K14" s="48">
        <v>0.29</v>
      </c>
      <c r="L14" s="48">
        <v>0.23</v>
      </c>
    </row>
    <row r="15">
      <c r="A15" s="46" t="s">
        <v>43</v>
      </c>
      <c r="B15" s="47">
        <v>47.0</v>
      </c>
      <c r="C15" s="47">
        <v>62.0</v>
      </c>
      <c r="D15" s="47">
        <v>54.0</v>
      </c>
      <c r="E15" s="47">
        <v>100.0</v>
      </c>
      <c r="F15" s="47">
        <v>87.0</v>
      </c>
      <c r="G15" s="47">
        <v>107.0</v>
      </c>
      <c r="H15" s="47">
        <v>117.0</v>
      </c>
      <c r="I15" s="47">
        <v>127.0</v>
      </c>
      <c r="J15" s="47">
        <v>155.0</v>
      </c>
      <c r="K15" s="47">
        <v>-51.0</v>
      </c>
      <c r="L15" s="47">
        <v>249.0</v>
      </c>
    </row>
    <row r="16">
      <c r="A16" s="43" t="s">
        <v>44</v>
      </c>
      <c r="B16" s="44">
        <v>1.73</v>
      </c>
      <c r="C16" s="44">
        <v>1.87</v>
      </c>
      <c r="D16" s="44">
        <v>1.63</v>
      </c>
      <c r="E16" s="44">
        <v>3.01</v>
      </c>
      <c r="F16" s="44">
        <v>2.6</v>
      </c>
      <c r="G16" s="44">
        <v>3.22</v>
      </c>
      <c r="H16" s="44">
        <v>3.51</v>
      </c>
      <c r="I16" s="44">
        <v>3.84</v>
      </c>
      <c r="J16" s="44">
        <v>4.35</v>
      </c>
      <c r="K16" s="44">
        <v>-1.44</v>
      </c>
      <c r="L16" s="44">
        <v>6.99</v>
      </c>
    </row>
    <row r="17">
      <c r="A17" s="43" t="s">
        <v>45</v>
      </c>
      <c r="B17" s="48">
        <v>0.37</v>
      </c>
      <c r="C17" s="48">
        <v>0.37</v>
      </c>
      <c r="D17" s="48">
        <v>0.43</v>
      </c>
      <c r="E17" s="48">
        <v>0.33</v>
      </c>
      <c r="F17" s="48">
        <v>0.35</v>
      </c>
      <c r="G17" s="48">
        <v>0.31</v>
      </c>
      <c r="H17" s="48">
        <v>0.33</v>
      </c>
      <c r="I17" s="48">
        <v>0.34</v>
      </c>
      <c r="J17" s="48">
        <v>0.23</v>
      </c>
      <c r="K17" s="48">
        <v>-0.42</v>
      </c>
      <c r="L17" s="48">
        <v>0.24</v>
      </c>
    </row>
    <row r="18">
      <c r="A18" s="3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>
      <c r="A19" s="34"/>
      <c r="B19" s="38" t="s">
        <v>52</v>
      </c>
      <c r="C19" s="39"/>
      <c r="D19" s="39"/>
      <c r="E19" s="39"/>
      <c r="F19" s="39"/>
      <c r="G19" s="39"/>
      <c r="H19" s="39"/>
      <c r="I19" s="39"/>
      <c r="J19" s="39"/>
      <c r="K19" s="37"/>
      <c r="L19" s="37"/>
    </row>
    <row r="20">
      <c r="A20" s="40" t="s">
        <v>48</v>
      </c>
      <c r="B20" s="41">
        <v>44632.0</v>
      </c>
      <c r="C20" s="41">
        <v>44633.0</v>
      </c>
      <c r="D20" s="41">
        <v>44634.0</v>
      </c>
      <c r="E20" s="41">
        <v>44635.0</v>
      </c>
      <c r="F20" s="41">
        <v>44636.0</v>
      </c>
      <c r="G20" s="41">
        <v>44637.0</v>
      </c>
      <c r="H20" s="41">
        <v>44638.0</v>
      </c>
      <c r="I20" s="41">
        <v>44639.0</v>
      </c>
      <c r="J20" s="41">
        <v>44640.0</v>
      </c>
      <c r="K20" s="42">
        <v>44641.0</v>
      </c>
      <c r="L20" s="42">
        <v>44642.0</v>
      </c>
    </row>
    <row r="21">
      <c r="A21" s="43" t="s">
        <v>53</v>
      </c>
      <c r="B21" s="50">
        <v>39.0</v>
      </c>
      <c r="C21" s="50">
        <v>40.0</v>
      </c>
      <c r="D21" s="50">
        <v>33.0</v>
      </c>
      <c r="E21" s="50">
        <v>33.0</v>
      </c>
      <c r="F21" s="50">
        <v>33.0</v>
      </c>
      <c r="G21" s="50">
        <v>33.0</v>
      </c>
      <c r="H21" s="50">
        <v>33.0</v>
      </c>
      <c r="I21" s="50">
        <v>33.0</v>
      </c>
      <c r="J21" s="50">
        <v>36.0</v>
      </c>
      <c r="K21" s="50">
        <v>36.0</v>
      </c>
      <c r="L21" s="50">
        <v>36.0</v>
      </c>
    </row>
    <row r="22">
      <c r="A22" s="43" t="s">
        <v>25</v>
      </c>
      <c r="B22" s="51">
        <v>1315.0</v>
      </c>
      <c r="C22" s="51">
        <v>1499.0</v>
      </c>
      <c r="D22" s="51">
        <v>1283.0</v>
      </c>
      <c r="E22" s="51">
        <v>1339.0</v>
      </c>
      <c r="F22" s="51">
        <v>1400.0</v>
      </c>
      <c r="G22" s="51">
        <v>1508.0</v>
      </c>
      <c r="H22" s="51">
        <v>1584.0</v>
      </c>
      <c r="I22" s="51">
        <v>1664.0</v>
      </c>
      <c r="J22" s="51">
        <v>2463.0</v>
      </c>
      <c r="K22" s="51">
        <v>2480.0</v>
      </c>
      <c r="L22" s="51">
        <v>2684.0</v>
      </c>
    </row>
    <row r="23">
      <c r="A23" s="43" t="s">
        <v>26</v>
      </c>
      <c r="B23" s="50">
        <v>240.0</v>
      </c>
      <c r="C23" s="50">
        <v>225.0</v>
      </c>
      <c r="D23" s="50">
        <v>225.0</v>
      </c>
      <c r="E23" s="50">
        <v>225.0</v>
      </c>
      <c r="F23" s="50">
        <v>396.0</v>
      </c>
      <c r="G23" s="50">
        <v>392.0</v>
      </c>
      <c r="H23" s="50">
        <v>391.0</v>
      </c>
      <c r="I23" s="50">
        <v>494.0</v>
      </c>
      <c r="J23" s="50">
        <v>300.0</v>
      </c>
      <c r="K23" s="50">
        <v>300.0</v>
      </c>
      <c r="L23" s="51">
        <v>4581.0</v>
      </c>
    </row>
    <row r="24">
      <c r="A24" s="43" t="s">
        <v>54</v>
      </c>
      <c r="B24" s="50">
        <v>304.0</v>
      </c>
      <c r="C24" s="50">
        <v>320.0</v>
      </c>
      <c r="D24" s="50">
        <v>361.0</v>
      </c>
      <c r="E24" s="50">
        <v>365.0</v>
      </c>
      <c r="F24" s="50">
        <v>254.0</v>
      </c>
      <c r="G24" s="50">
        <v>255.0</v>
      </c>
      <c r="H24" s="50">
        <v>306.0</v>
      </c>
      <c r="I24" s="50">
        <v>370.0</v>
      </c>
      <c r="J24" s="51">
        <v>2596.0</v>
      </c>
      <c r="K24" s="51">
        <v>2891.0</v>
      </c>
      <c r="L24" s="50">
        <v>511.0</v>
      </c>
    </row>
    <row r="25">
      <c r="A25" s="46" t="s">
        <v>28</v>
      </c>
      <c r="B25" s="52">
        <v>1887.0</v>
      </c>
      <c r="C25" s="52">
        <v>2077.0</v>
      </c>
      <c r="D25" s="52">
        <v>1902.0</v>
      </c>
      <c r="E25" s="52">
        <v>1962.0</v>
      </c>
      <c r="F25" s="52">
        <v>2083.0</v>
      </c>
      <c r="G25" s="52">
        <v>2188.0</v>
      </c>
      <c r="H25" s="52">
        <v>2314.0</v>
      </c>
      <c r="I25" s="52">
        <v>2561.0</v>
      </c>
      <c r="J25" s="52">
        <v>5395.0</v>
      </c>
      <c r="K25" s="52">
        <v>5707.0</v>
      </c>
      <c r="L25" s="52">
        <v>7812.0</v>
      </c>
    </row>
    <row r="26">
      <c r="A26" s="43" t="s">
        <v>55</v>
      </c>
      <c r="B26" s="50">
        <v>284.0</v>
      </c>
      <c r="C26" s="50">
        <v>283.0</v>
      </c>
      <c r="D26" s="50">
        <v>343.0</v>
      </c>
      <c r="E26" s="50">
        <v>388.0</v>
      </c>
      <c r="F26" s="50">
        <v>416.0</v>
      </c>
      <c r="G26" s="50">
        <v>490.0</v>
      </c>
      <c r="H26" s="50">
        <v>578.0</v>
      </c>
      <c r="I26" s="50">
        <v>627.0</v>
      </c>
      <c r="J26" s="51">
        <v>2618.0</v>
      </c>
      <c r="K26" s="51">
        <v>2923.0</v>
      </c>
      <c r="L26" s="51">
        <v>4508.0</v>
      </c>
    </row>
    <row r="27">
      <c r="A27" s="43" t="s">
        <v>30</v>
      </c>
      <c r="B27" s="50">
        <v>21.0</v>
      </c>
      <c r="C27" s="50">
        <v>26.0</v>
      </c>
      <c r="D27" s="50">
        <v>36.0</v>
      </c>
      <c r="E27" s="50">
        <v>46.0</v>
      </c>
      <c r="F27" s="50">
        <v>54.0</v>
      </c>
      <c r="G27" s="50">
        <v>5.0</v>
      </c>
      <c r="H27" s="50">
        <v>10.0</v>
      </c>
      <c r="I27" s="50">
        <v>85.0</v>
      </c>
      <c r="J27" s="50">
        <v>23.0</v>
      </c>
      <c r="K27" s="50">
        <v>34.0</v>
      </c>
      <c r="L27" s="50">
        <v>45.0</v>
      </c>
    </row>
    <row r="28">
      <c r="A28" s="43" t="s">
        <v>31</v>
      </c>
      <c r="B28" s="50">
        <v>705.0</v>
      </c>
      <c r="C28" s="51">
        <v>1040.0</v>
      </c>
      <c r="D28" s="50">
        <v>862.0</v>
      </c>
      <c r="E28" s="51">
        <v>1037.0</v>
      </c>
      <c r="F28" s="51">
        <v>1086.0</v>
      </c>
      <c r="G28" s="51">
        <v>1113.0</v>
      </c>
      <c r="H28" s="51">
        <v>1052.0</v>
      </c>
      <c r="I28" s="50">
        <v>941.0</v>
      </c>
      <c r="J28" s="51">
        <v>1607.0</v>
      </c>
      <c r="K28" s="51">
        <v>1729.0</v>
      </c>
      <c r="L28" s="51">
        <v>1724.0</v>
      </c>
    </row>
    <row r="29">
      <c r="A29" s="43" t="s">
        <v>56</v>
      </c>
      <c r="B29" s="50">
        <v>877.0</v>
      </c>
      <c r="C29" s="50">
        <v>728.0</v>
      </c>
      <c r="D29" s="50">
        <v>661.0</v>
      </c>
      <c r="E29" s="50">
        <v>491.0</v>
      </c>
      <c r="F29" s="50">
        <v>528.0</v>
      </c>
      <c r="G29" s="50">
        <v>579.0</v>
      </c>
      <c r="H29" s="50">
        <v>675.0</v>
      </c>
      <c r="I29" s="50">
        <v>907.0</v>
      </c>
      <c r="J29" s="51">
        <v>1147.0</v>
      </c>
      <c r="K29" s="51">
        <v>1021.0</v>
      </c>
      <c r="L29" s="51">
        <v>1535.0</v>
      </c>
    </row>
    <row r="30">
      <c r="A30" s="46" t="s">
        <v>33</v>
      </c>
      <c r="B30" s="52">
        <v>1887.0</v>
      </c>
      <c r="C30" s="52">
        <v>2077.0</v>
      </c>
      <c r="D30" s="52">
        <v>1902.0</v>
      </c>
      <c r="E30" s="52">
        <v>1962.0</v>
      </c>
      <c r="F30" s="52">
        <v>2083.0</v>
      </c>
      <c r="G30" s="52">
        <v>2188.0</v>
      </c>
      <c r="H30" s="52">
        <v>2314.0</v>
      </c>
      <c r="I30" s="52">
        <v>2561.0</v>
      </c>
      <c r="J30" s="52">
        <v>5395.0</v>
      </c>
      <c r="K30" s="52">
        <v>5707.0</v>
      </c>
      <c r="L30" s="52">
        <v>7812.0</v>
      </c>
    </row>
    <row r="31">
      <c r="A31" s="34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>
      <c r="A32" s="53" t="s">
        <v>57</v>
      </c>
      <c r="B32" s="54">
        <v>179.0</v>
      </c>
      <c r="C32" s="54">
        <v>185.0</v>
      </c>
      <c r="D32" s="54">
        <v>265.0</v>
      </c>
      <c r="E32" s="54">
        <v>250.0</v>
      </c>
      <c r="F32" s="54">
        <v>270.0</v>
      </c>
      <c r="G32" s="54">
        <v>298.0</v>
      </c>
      <c r="H32" s="54">
        <v>339.0</v>
      </c>
      <c r="I32" s="54">
        <v>489.0</v>
      </c>
      <c r="J32" s="54">
        <v>587.0</v>
      </c>
      <c r="K32" s="54">
        <v>395.0</v>
      </c>
      <c r="L32" s="54">
        <v>822.0</v>
      </c>
    </row>
    <row r="33">
      <c r="A33" s="43" t="s">
        <v>58</v>
      </c>
      <c r="B33" s="55">
        <v>0.0</v>
      </c>
      <c r="C33" s="55">
        <v>0.0</v>
      </c>
      <c r="D33" s="55">
        <v>0.0</v>
      </c>
      <c r="E33" s="55">
        <v>0.0</v>
      </c>
      <c r="F33" s="55">
        <v>0.0</v>
      </c>
      <c r="G33" s="55">
        <v>0.0</v>
      </c>
      <c r="H33" s="55">
        <v>57.0</v>
      </c>
      <c r="I33" s="55">
        <v>57.0</v>
      </c>
      <c r="J33" s="55">
        <v>57.0</v>
      </c>
      <c r="K33" s="55">
        <v>57.0</v>
      </c>
      <c r="L33" s="55">
        <v>68.0</v>
      </c>
    </row>
  </sheetData>
  <mergeCells count="3">
    <mergeCell ref="C1:H1"/>
    <mergeCell ref="B4:J4"/>
    <mergeCell ref="B19:J19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7"/>
      <c r="B1" s="56" t="s">
        <v>59</v>
      </c>
      <c r="K1" s="37"/>
      <c r="L1" s="37"/>
    </row>
    <row r="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>
      <c r="A3" s="57" t="s">
        <v>60</v>
      </c>
      <c r="B3" s="58">
        <v>40969.0</v>
      </c>
      <c r="C3" s="58">
        <v>41334.0</v>
      </c>
      <c r="D3" s="58">
        <v>41699.0</v>
      </c>
      <c r="E3" s="58">
        <v>42064.0</v>
      </c>
      <c r="F3" s="58">
        <v>42430.0</v>
      </c>
      <c r="G3" s="58">
        <v>42795.0</v>
      </c>
      <c r="H3" s="58">
        <v>43160.0</v>
      </c>
      <c r="I3" s="58">
        <v>43525.0</v>
      </c>
      <c r="J3" s="58">
        <v>43891.0</v>
      </c>
      <c r="K3" s="58">
        <v>44256.0</v>
      </c>
      <c r="L3" s="58">
        <v>44621.0</v>
      </c>
    </row>
    <row r="4">
      <c r="A4" s="59" t="s">
        <v>61</v>
      </c>
      <c r="B4" s="60">
        <v>2.8848684</v>
      </c>
      <c r="C4" s="60">
        <v>2.275</v>
      </c>
      <c r="D4" s="60">
        <v>1.8310249</v>
      </c>
      <c r="E4" s="60">
        <v>1.3452055</v>
      </c>
      <c r="F4" s="60">
        <v>2.0787402</v>
      </c>
      <c r="G4" s="60">
        <v>2.2705882</v>
      </c>
      <c r="H4" s="60">
        <v>2.2058824</v>
      </c>
      <c r="I4" s="60">
        <v>2.4513514</v>
      </c>
      <c r="J4" s="60">
        <v>0.4418336</v>
      </c>
      <c r="K4" s="60">
        <v>0.353165</v>
      </c>
      <c r="L4" s="60">
        <v>3.0039139</v>
      </c>
    </row>
    <row r="5">
      <c r="A5" s="59" t="s">
        <v>6</v>
      </c>
      <c r="B5" s="60">
        <v>2.2960526</v>
      </c>
      <c r="C5" s="60">
        <v>1.696875</v>
      </c>
      <c r="D5" s="60">
        <v>1.0969529</v>
      </c>
      <c r="E5" s="60">
        <v>0.660274</v>
      </c>
      <c r="F5" s="60">
        <v>1.015748</v>
      </c>
      <c r="G5" s="60">
        <v>1.1019608</v>
      </c>
      <c r="H5" s="60">
        <v>1.0980392</v>
      </c>
      <c r="I5" s="60">
        <v>1.1297297</v>
      </c>
      <c r="J5" s="60">
        <v>0.2157165</v>
      </c>
      <c r="K5" s="60">
        <v>0.2165341</v>
      </c>
      <c r="L5" s="60">
        <v>1.3953033</v>
      </c>
    </row>
    <row r="6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>
      <c r="A8" s="57" t="s">
        <v>62</v>
      </c>
      <c r="B8" s="58">
        <v>40969.0</v>
      </c>
      <c r="C8" s="58">
        <v>41334.0</v>
      </c>
      <c r="D8" s="58">
        <v>41699.0</v>
      </c>
      <c r="E8" s="58">
        <v>42064.0</v>
      </c>
      <c r="F8" s="58">
        <v>42430.0</v>
      </c>
      <c r="G8" s="58">
        <v>42795.0</v>
      </c>
      <c r="H8" s="58">
        <v>43160.0</v>
      </c>
      <c r="I8" s="58">
        <v>43525.0</v>
      </c>
      <c r="J8" s="58">
        <v>43891.0</v>
      </c>
      <c r="K8" s="58">
        <v>44256.0</v>
      </c>
      <c r="L8" s="58">
        <v>44621.0</v>
      </c>
    </row>
    <row r="9">
      <c r="A9" s="59" t="s">
        <v>63</v>
      </c>
      <c r="B9" s="61">
        <v>-0.0031</v>
      </c>
      <c r="C9" s="61">
        <v>0.0329</v>
      </c>
      <c r="D9" s="61">
        <v>-0.0032</v>
      </c>
      <c r="E9" s="61">
        <v>0.0432</v>
      </c>
      <c r="F9" s="61">
        <v>0.0585</v>
      </c>
      <c r="G9" s="61">
        <v>0.0719</v>
      </c>
      <c r="H9" s="61">
        <v>0.1145</v>
      </c>
      <c r="I9" s="61">
        <v>0.1187</v>
      </c>
      <c r="J9" s="61">
        <v>0.2061</v>
      </c>
      <c r="K9" s="61">
        <v>0.076</v>
      </c>
      <c r="L9" s="61">
        <v>0.0868</v>
      </c>
    </row>
    <row r="10">
      <c r="A10" s="59" t="s">
        <v>10</v>
      </c>
      <c r="B10" s="61">
        <v>-0.0061</v>
      </c>
      <c r="C10" s="61">
        <v>0.062</v>
      </c>
      <c r="D10" s="61">
        <v>-0.004</v>
      </c>
      <c r="E10" s="61">
        <v>0.0508</v>
      </c>
      <c r="F10" s="61">
        <v>0.0676</v>
      </c>
      <c r="G10" s="61">
        <v>0.081</v>
      </c>
      <c r="H10" s="61">
        <v>0.1113</v>
      </c>
      <c r="I10" s="61">
        <v>0.1027</v>
      </c>
      <c r="J10" s="61">
        <v>0.1816</v>
      </c>
      <c r="K10" s="61">
        <v>0.1045</v>
      </c>
      <c r="L10" s="61">
        <v>0.1634</v>
      </c>
    </row>
    <row r="11">
      <c r="A11" s="59" t="s">
        <v>64</v>
      </c>
      <c r="B11" s="60">
        <v>0.5156838</v>
      </c>
      <c r="C11" s="60">
        <v>0.5306122</v>
      </c>
      <c r="D11" s="60">
        <v>0.8059701</v>
      </c>
      <c r="E11" s="60">
        <v>0.8503444</v>
      </c>
      <c r="F11" s="60">
        <v>0.8655003</v>
      </c>
      <c r="G11" s="60">
        <v>0.8882566</v>
      </c>
      <c r="H11" s="60">
        <v>1.0288845</v>
      </c>
      <c r="I11" s="60">
        <v>1.1556367</v>
      </c>
      <c r="J11" s="60">
        <v>1.1354055</v>
      </c>
      <c r="K11" s="60">
        <v>0.7272727</v>
      </c>
      <c r="L11" s="60">
        <v>0.531571</v>
      </c>
    </row>
    <row r="12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>
      <c r="A14" s="57" t="s">
        <v>65</v>
      </c>
      <c r="B14" s="58">
        <v>40969.0</v>
      </c>
      <c r="C14" s="58">
        <v>41334.0</v>
      </c>
      <c r="D14" s="58">
        <v>41699.0</v>
      </c>
      <c r="E14" s="58">
        <v>42064.0</v>
      </c>
      <c r="F14" s="58">
        <v>42430.0</v>
      </c>
      <c r="G14" s="58">
        <v>42795.0</v>
      </c>
      <c r="H14" s="58">
        <v>43160.0</v>
      </c>
      <c r="I14" s="58">
        <v>43525.0</v>
      </c>
      <c r="J14" s="58">
        <v>43891.0</v>
      </c>
      <c r="K14" s="58">
        <v>44256.0</v>
      </c>
      <c r="L14" s="58">
        <v>44621.0</v>
      </c>
    </row>
    <row r="15">
      <c r="A15" s="59" t="s">
        <v>12</v>
      </c>
      <c r="B15" s="60">
        <v>6.1538462</v>
      </c>
      <c r="C15" s="60">
        <v>5.625</v>
      </c>
      <c r="D15" s="60">
        <v>6.8181818</v>
      </c>
      <c r="E15" s="60">
        <v>6.8181818</v>
      </c>
      <c r="F15" s="60">
        <v>12.0</v>
      </c>
      <c r="G15" s="60">
        <v>11.878788</v>
      </c>
      <c r="H15" s="60">
        <v>11.848485</v>
      </c>
      <c r="I15" s="60">
        <v>14.969697</v>
      </c>
      <c r="J15" s="60">
        <v>8.3333333</v>
      </c>
      <c r="K15" s="60">
        <v>8.3333333</v>
      </c>
      <c r="L15" s="60">
        <v>127.25</v>
      </c>
    </row>
    <row r="16">
      <c r="A16" s="59" t="s">
        <v>14</v>
      </c>
      <c r="B16" s="60">
        <v>-18.2</v>
      </c>
      <c r="C16" s="60">
        <v>1.137931</v>
      </c>
      <c r="D16" s="60">
        <v>-25.4</v>
      </c>
      <c r="E16" s="60">
        <v>2.0144928</v>
      </c>
      <c r="F16" s="60">
        <v>0.9065421</v>
      </c>
      <c r="G16" s="60">
        <v>0.647482</v>
      </c>
      <c r="H16" s="60">
        <v>0.1652174</v>
      </c>
      <c r="I16" s="60">
        <v>0.1461538</v>
      </c>
      <c r="J16" s="60">
        <v>0.2859619</v>
      </c>
      <c r="K16" s="60">
        <v>0.9719626</v>
      </c>
      <c r="L16" s="60">
        <v>0.4384858</v>
      </c>
    </row>
    <row r="17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>
      <c r="A19" s="57" t="s">
        <v>66</v>
      </c>
      <c r="B19" s="58">
        <v>40969.0</v>
      </c>
      <c r="C19" s="58">
        <v>41334.0</v>
      </c>
      <c r="D19" s="58">
        <v>41699.0</v>
      </c>
      <c r="E19" s="58">
        <v>42064.0</v>
      </c>
      <c r="F19" s="58">
        <v>42430.0</v>
      </c>
      <c r="G19" s="58">
        <v>42795.0</v>
      </c>
      <c r="H19" s="58">
        <v>43160.0</v>
      </c>
      <c r="I19" s="58">
        <v>43525.0</v>
      </c>
      <c r="J19" s="58">
        <v>43891.0</v>
      </c>
      <c r="K19" s="58">
        <v>44256.0</v>
      </c>
      <c r="L19" s="58">
        <v>44621.0</v>
      </c>
    </row>
    <row r="20">
      <c r="A20" s="59" t="s">
        <v>67</v>
      </c>
      <c r="B20" s="60">
        <v>0.0246368</v>
      </c>
      <c r="C20" s="60">
        <v>0.0227661</v>
      </c>
      <c r="D20" s="60">
        <v>0.0214147</v>
      </c>
      <c r="E20" s="60">
        <v>0.0206637</v>
      </c>
      <c r="F20" s="60">
        <v>0.0180426</v>
      </c>
      <c r="G20" s="60">
        <v>0.0170719</v>
      </c>
      <c r="H20" s="60">
        <v>-0.0123014</v>
      </c>
      <c r="I20" s="60">
        <v>-0.0112465</v>
      </c>
      <c r="J20" s="60">
        <v>-0.0076586</v>
      </c>
      <c r="K20" s="60">
        <v>-0.0076115</v>
      </c>
      <c r="L20" s="60">
        <v>-0.0044242</v>
      </c>
    </row>
    <row r="2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>
      <c r="A23" s="57" t="s">
        <v>20</v>
      </c>
      <c r="B23" s="58">
        <v>40969.0</v>
      </c>
      <c r="C23" s="58">
        <v>41334.0</v>
      </c>
      <c r="D23" s="58">
        <v>41699.0</v>
      </c>
      <c r="E23" s="58">
        <v>42064.0</v>
      </c>
      <c r="F23" s="58">
        <v>42430.0</v>
      </c>
      <c r="G23" s="58">
        <v>42795.0</v>
      </c>
      <c r="H23" s="58">
        <v>43160.0</v>
      </c>
      <c r="I23" s="58">
        <v>43525.0</v>
      </c>
      <c r="J23" s="58">
        <v>43891.0</v>
      </c>
      <c r="K23" s="58">
        <v>44256.0</v>
      </c>
      <c r="L23" s="58">
        <v>44621.0</v>
      </c>
    </row>
    <row r="24">
      <c r="A24" s="59" t="s">
        <v>10</v>
      </c>
      <c r="B24" s="61">
        <v>-0.0061</v>
      </c>
      <c r="C24" s="61">
        <v>0.062</v>
      </c>
      <c r="D24" s="61">
        <v>-0.004</v>
      </c>
      <c r="E24" s="61">
        <v>0.0508</v>
      </c>
      <c r="F24" s="61">
        <v>0.0676</v>
      </c>
      <c r="G24" s="61">
        <v>0.081</v>
      </c>
      <c r="H24" s="61">
        <v>0.1113</v>
      </c>
      <c r="I24" s="61">
        <v>0.1027</v>
      </c>
      <c r="J24" s="61">
        <v>0.1816</v>
      </c>
      <c r="K24" s="61">
        <v>0.1045</v>
      </c>
      <c r="L24" s="61">
        <v>0.1634</v>
      </c>
    </row>
    <row r="25">
      <c r="A25" s="59" t="s">
        <v>68</v>
      </c>
      <c r="B25" s="60">
        <v>0.4356121</v>
      </c>
      <c r="C25" s="60">
        <v>0.45065</v>
      </c>
      <c r="D25" s="60">
        <v>0.6529968</v>
      </c>
      <c r="E25" s="60">
        <v>0.6921509</v>
      </c>
      <c r="F25" s="60">
        <v>0.7599616</v>
      </c>
      <c r="G25" s="60">
        <v>0.7847349</v>
      </c>
      <c r="H25" s="60">
        <v>0.8928263</v>
      </c>
      <c r="I25" s="60">
        <v>0.9886763</v>
      </c>
      <c r="J25" s="60">
        <v>0.5890639</v>
      </c>
      <c r="K25" s="60">
        <v>0.3588575</v>
      </c>
      <c r="L25" s="60">
        <v>0.4967998</v>
      </c>
    </row>
    <row r="26">
      <c r="A26" s="59" t="s">
        <v>69</v>
      </c>
      <c r="B26" s="60">
        <v>48.384615</v>
      </c>
      <c r="C26" s="60">
        <v>51.925</v>
      </c>
      <c r="D26" s="60">
        <v>57.636364</v>
      </c>
      <c r="E26" s="60">
        <v>59.454545</v>
      </c>
      <c r="F26" s="60">
        <v>63.121212</v>
      </c>
      <c r="G26" s="60">
        <v>66.30303</v>
      </c>
      <c r="H26" s="60">
        <v>70.121212</v>
      </c>
      <c r="I26" s="60">
        <v>77.606061</v>
      </c>
      <c r="J26" s="60">
        <v>149.86111</v>
      </c>
      <c r="K26" s="60">
        <v>158.52778</v>
      </c>
      <c r="L26" s="60">
        <v>217.0</v>
      </c>
    </row>
    <row r="27">
      <c r="A27" s="59" t="s">
        <v>70</v>
      </c>
      <c r="B27" s="60">
        <v>-0.1282051</v>
      </c>
      <c r="C27" s="60">
        <v>1.45</v>
      </c>
      <c r="D27" s="60">
        <v>-0.1515152</v>
      </c>
      <c r="E27" s="60">
        <v>2.0909091</v>
      </c>
      <c r="F27" s="60">
        <v>3.2424242</v>
      </c>
      <c r="G27" s="60">
        <v>4.2121212</v>
      </c>
      <c r="H27" s="60">
        <v>6.969697</v>
      </c>
      <c r="I27" s="60">
        <v>7.8787879</v>
      </c>
      <c r="J27" s="60">
        <v>16.027778</v>
      </c>
      <c r="K27" s="60">
        <v>5.9444444</v>
      </c>
      <c r="L27" s="60">
        <v>17.611111</v>
      </c>
    </row>
  </sheetData>
  <mergeCells count="1">
    <mergeCell ref="B1:J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8.14"/>
  </cols>
  <sheetData>
    <row r="1">
      <c r="A1" s="62"/>
      <c r="B1" s="62"/>
      <c r="C1" s="62"/>
      <c r="D1" s="63" t="s">
        <v>71</v>
      </c>
      <c r="E1" s="64" t="s">
        <v>72</v>
      </c>
      <c r="K1" s="65"/>
      <c r="L1" s="65"/>
      <c r="M1" s="65"/>
      <c r="N1" s="66"/>
      <c r="O1" s="66"/>
    </row>
    <row r="2">
      <c r="A2" s="67" t="s">
        <v>73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2"/>
    </row>
    <row r="3">
      <c r="A3" s="69" t="s">
        <v>74</v>
      </c>
      <c r="C3" s="69" t="s">
        <v>75</v>
      </c>
      <c r="M3" s="70"/>
      <c r="N3" s="70"/>
      <c r="O3" s="62"/>
    </row>
    <row r="4">
      <c r="A4" s="70"/>
      <c r="B4" s="70"/>
      <c r="C4" s="69" t="s">
        <v>76</v>
      </c>
      <c r="M4" s="70"/>
      <c r="N4" s="70"/>
      <c r="O4" s="62"/>
    </row>
    <row r="5">
      <c r="A5" s="70"/>
      <c r="B5" s="70"/>
      <c r="C5" s="69" t="s">
        <v>77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62"/>
    </row>
    <row r="6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>
      <c r="A7" s="71" t="s">
        <v>78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>
      <c r="A8" s="62"/>
      <c r="B8" s="69" t="s">
        <v>79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>
      <c r="A9" s="72" t="s">
        <v>74</v>
      </c>
      <c r="C9" s="67" t="s">
        <v>80</v>
      </c>
      <c r="M9" s="68"/>
      <c r="N9" s="68"/>
      <c r="O9" s="62"/>
    </row>
    <row r="10">
      <c r="A10" s="67" t="s">
        <v>81</v>
      </c>
      <c r="B10" s="68"/>
      <c r="C10" s="67" t="s">
        <v>82</v>
      </c>
      <c r="F10" s="68"/>
      <c r="G10" s="68"/>
      <c r="H10" s="68"/>
      <c r="I10" s="73"/>
      <c r="J10" s="68"/>
      <c r="K10" s="68"/>
      <c r="L10" s="68"/>
      <c r="M10" s="68"/>
      <c r="N10" s="68"/>
      <c r="O10" s="62"/>
    </row>
    <row r="1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>
      <c r="A12" s="74" t="s">
        <v>83</v>
      </c>
      <c r="B12" s="74" t="s">
        <v>84</v>
      </c>
      <c r="C12" s="74" t="s">
        <v>85</v>
      </c>
      <c r="E12" s="74" t="s">
        <v>86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>
      <c r="A13" s="75">
        <v>2022.0</v>
      </c>
      <c r="B13" s="75">
        <v>1995.94</v>
      </c>
      <c r="C13" s="75">
        <v>817.09</v>
      </c>
      <c r="D13" s="62"/>
      <c r="E13" s="75">
        <v>2.44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>
      <c r="A14" s="75">
        <v>2021.0</v>
      </c>
      <c r="B14" s="75">
        <v>1857.03</v>
      </c>
      <c r="C14" s="75">
        <v>712.47</v>
      </c>
      <c r="D14" s="62"/>
      <c r="E14" s="75">
        <v>2.61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>
      <c r="A15" s="75">
        <v>2020.0</v>
      </c>
      <c r="B15" s="75">
        <v>1999.6</v>
      </c>
      <c r="C15" s="75">
        <v>800.51</v>
      </c>
      <c r="D15" s="62"/>
      <c r="E15" s="75">
        <v>2.5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>
      <c r="A16" s="75">
        <v>2019.0</v>
      </c>
      <c r="B16" s="75">
        <v>1837.47</v>
      </c>
      <c r="C16" s="75">
        <v>629.59</v>
      </c>
      <c r="D16" s="62"/>
      <c r="E16" s="75">
        <v>2.92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>
      <c r="A17" s="75">
        <v>2018.0</v>
      </c>
      <c r="B17" s="75">
        <v>1547.58</v>
      </c>
      <c r="C17" s="75">
        <v>560.22</v>
      </c>
      <c r="D17" s="62"/>
      <c r="E17" s="75">
        <v>2.76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>
      <c r="A18" s="75">
        <v>2017.0</v>
      </c>
      <c r="B18" s="75">
        <v>1349.58</v>
      </c>
      <c r="C18" s="75">
        <v>493.35</v>
      </c>
      <c r="D18" s="62"/>
      <c r="E18" s="75">
        <v>2.74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>
      <c r="A19" s="75">
        <v>2016.0</v>
      </c>
      <c r="B19" s="75">
        <v>1140.06</v>
      </c>
      <c r="C19" s="75">
        <v>460.53</v>
      </c>
      <c r="D19" s="62"/>
      <c r="E19" s="75">
        <v>2.48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>
      <c r="A20" s="75">
        <v>2015.0</v>
      </c>
      <c r="B20" s="75">
        <v>1013.73</v>
      </c>
      <c r="C20" s="75">
        <v>517.53</v>
      </c>
      <c r="D20" s="62"/>
      <c r="E20" s="75">
        <v>1.96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>
      <c r="A21" s="75">
        <v>2014.0</v>
      </c>
      <c r="B21" s="75">
        <v>921.52</v>
      </c>
      <c r="C21" s="75">
        <v>462.47</v>
      </c>
      <c r="D21" s="62"/>
      <c r="E21" s="75">
        <v>1.99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>
      <c r="A22" s="75">
        <v>2013.0</v>
      </c>
      <c r="B22" s="75">
        <v>722.22</v>
      </c>
      <c r="C22" s="75">
        <v>373.99</v>
      </c>
      <c r="D22" s="62"/>
      <c r="E22" s="75">
        <v>1.93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>
      <c r="A25" s="69" t="s">
        <v>87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>
      <c r="A26" s="67" t="s">
        <v>74</v>
      </c>
      <c r="C26" s="67" t="s">
        <v>88</v>
      </c>
      <c r="M26" s="68"/>
      <c r="N26" s="68"/>
      <c r="O26" s="62"/>
    </row>
    <row r="27">
      <c r="A27" s="67" t="s">
        <v>81</v>
      </c>
      <c r="B27" s="68"/>
      <c r="C27" s="67" t="s">
        <v>89</v>
      </c>
      <c r="F27" s="68"/>
      <c r="G27" s="68"/>
      <c r="H27" s="68"/>
      <c r="I27" s="68"/>
      <c r="J27" s="68"/>
      <c r="K27" s="68"/>
      <c r="L27" s="68"/>
      <c r="M27" s="68"/>
      <c r="N27" s="68"/>
      <c r="O27" s="62"/>
    </row>
    <row r="28">
      <c r="A28" s="74" t="s">
        <v>83</v>
      </c>
      <c r="B28" s="74" t="s">
        <v>84</v>
      </c>
      <c r="C28" s="74" t="s">
        <v>90</v>
      </c>
      <c r="D28" s="74" t="s">
        <v>85</v>
      </c>
      <c r="F28" s="62"/>
      <c r="G28" s="74" t="s">
        <v>91</v>
      </c>
      <c r="I28" s="62"/>
      <c r="J28" s="73"/>
      <c r="K28" s="62"/>
      <c r="L28" s="62"/>
      <c r="M28" s="62"/>
      <c r="N28" s="62"/>
      <c r="O28" s="62"/>
    </row>
    <row r="29">
      <c r="A29" s="75">
        <v>2022.0</v>
      </c>
      <c r="B29" s="75">
        <v>1995.94</v>
      </c>
      <c r="C29" s="75">
        <v>870.91</v>
      </c>
      <c r="D29" s="75">
        <v>817.09</v>
      </c>
      <c r="E29" s="62"/>
      <c r="F29" s="62"/>
      <c r="G29" s="75">
        <v>1.38</v>
      </c>
      <c r="H29" s="62"/>
      <c r="I29" s="62"/>
      <c r="J29" s="62"/>
      <c r="K29" s="62"/>
      <c r="L29" s="62"/>
      <c r="M29" s="62"/>
      <c r="N29" s="62"/>
      <c r="O29" s="62"/>
    </row>
    <row r="30">
      <c r="A30" s="75">
        <v>2021.0</v>
      </c>
      <c r="B30" s="75">
        <v>1857.03</v>
      </c>
      <c r="C30" s="75">
        <v>608.28</v>
      </c>
      <c r="D30" s="75">
        <v>712.47</v>
      </c>
      <c r="E30" s="62"/>
      <c r="F30" s="62"/>
      <c r="G30" s="75">
        <v>1.75</v>
      </c>
      <c r="H30" s="62"/>
      <c r="I30" s="62"/>
      <c r="J30" s="62"/>
      <c r="K30" s="62"/>
      <c r="L30" s="62"/>
      <c r="M30" s="62"/>
      <c r="N30" s="62"/>
      <c r="O30" s="62"/>
    </row>
    <row r="31">
      <c r="A31" s="75">
        <v>2020.0</v>
      </c>
      <c r="B31" s="75">
        <v>1999.6</v>
      </c>
      <c r="C31" s="75">
        <v>873.68</v>
      </c>
      <c r="D31" s="75">
        <v>800.51</v>
      </c>
      <c r="E31" s="62"/>
      <c r="F31" s="62"/>
      <c r="G31" s="75">
        <v>1.41</v>
      </c>
      <c r="H31" s="62"/>
      <c r="I31" s="62"/>
      <c r="J31" s="62"/>
      <c r="K31" s="62"/>
      <c r="L31" s="62"/>
      <c r="M31" s="62"/>
      <c r="N31" s="62"/>
      <c r="O31" s="62"/>
    </row>
    <row r="32">
      <c r="A32" s="75">
        <v>2019.0</v>
      </c>
      <c r="B32" s="75">
        <v>1837.47</v>
      </c>
      <c r="C32" s="75">
        <v>839.09</v>
      </c>
      <c r="D32" s="75">
        <v>629.59</v>
      </c>
      <c r="E32" s="62"/>
      <c r="F32" s="62"/>
      <c r="G32" s="75">
        <v>1.59</v>
      </c>
      <c r="H32" s="62"/>
      <c r="I32" s="62"/>
      <c r="J32" s="62"/>
      <c r="K32" s="62"/>
      <c r="L32" s="62"/>
      <c r="M32" s="62"/>
      <c r="N32" s="62"/>
      <c r="O32" s="62"/>
    </row>
    <row r="33">
      <c r="A33" s="75">
        <v>2018.0</v>
      </c>
      <c r="B33" s="75">
        <v>1547.58</v>
      </c>
      <c r="C33" s="75">
        <v>762.11</v>
      </c>
      <c r="D33" s="75">
        <v>560.22</v>
      </c>
      <c r="E33" s="62"/>
      <c r="F33" s="62"/>
      <c r="G33" s="75">
        <v>1.4</v>
      </c>
      <c r="H33" s="62"/>
      <c r="I33" s="62"/>
      <c r="J33" s="62"/>
      <c r="K33" s="62"/>
      <c r="L33" s="62"/>
      <c r="M33" s="62"/>
      <c r="N33" s="62"/>
      <c r="O33" s="62"/>
    </row>
    <row r="34">
      <c r="A34" s="75">
        <v>2017.0</v>
      </c>
      <c r="B34" s="75">
        <v>1349.58</v>
      </c>
      <c r="C34" s="75">
        <v>705.44</v>
      </c>
      <c r="D34" s="75">
        <v>493.35</v>
      </c>
      <c r="E34" s="62"/>
      <c r="F34" s="62"/>
      <c r="G34" s="75">
        <v>1.31</v>
      </c>
      <c r="H34" s="62"/>
      <c r="I34" s="62"/>
      <c r="J34" s="62"/>
      <c r="K34" s="62"/>
      <c r="L34" s="62"/>
      <c r="M34" s="62"/>
      <c r="N34" s="62"/>
      <c r="O34" s="62"/>
    </row>
    <row r="35">
      <c r="A35" s="75">
        <v>2016.0</v>
      </c>
      <c r="B35" s="75">
        <v>1140.06</v>
      </c>
      <c r="C35" s="75">
        <v>678.9</v>
      </c>
      <c r="D35" s="75">
        <v>460.53</v>
      </c>
      <c r="E35" s="62"/>
      <c r="F35" s="62"/>
      <c r="G35" s="75">
        <v>1.0</v>
      </c>
      <c r="H35" s="62"/>
      <c r="I35" s="62"/>
      <c r="J35" s="62"/>
      <c r="K35" s="62"/>
      <c r="L35" s="62"/>
      <c r="M35" s="62"/>
      <c r="N35" s="62"/>
      <c r="O35" s="62"/>
    </row>
    <row r="36">
      <c r="A36" s="75">
        <v>2015.0</v>
      </c>
      <c r="B36" s="75">
        <v>1013.73</v>
      </c>
      <c r="C36" s="75">
        <v>704.7</v>
      </c>
      <c r="D36" s="75">
        <v>517.53</v>
      </c>
      <c r="E36" s="62"/>
      <c r="F36" s="62"/>
      <c r="G36" s="75">
        <v>0.6</v>
      </c>
      <c r="H36" s="62"/>
      <c r="I36" s="62"/>
      <c r="J36" s="62"/>
      <c r="K36" s="62"/>
      <c r="L36" s="62"/>
      <c r="M36" s="62"/>
      <c r="N36" s="62"/>
      <c r="O36" s="62"/>
    </row>
    <row r="37">
      <c r="A37" s="75">
        <v>2014.0</v>
      </c>
      <c r="B37" s="75">
        <v>921.52</v>
      </c>
      <c r="C37" s="75">
        <v>582.69</v>
      </c>
      <c r="D37" s="75">
        <v>462.47</v>
      </c>
      <c r="E37" s="62"/>
      <c r="F37" s="62"/>
      <c r="G37" s="75">
        <v>0.73</v>
      </c>
      <c r="H37" s="62"/>
      <c r="I37" s="62"/>
      <c r="J37" s="62"/>
      <c r="K37" s="62"/>
      <c r="L37" s="62"/>
      <c r="M37" s="62"/>
      <c r="N37" s="62"/>
      <c r="O37" s="62"/>
    </row>
    <row r="38">
      <c r="A38" s="75">
        <v>2013.0</v>
      </c>
      <c r="B38" s="75">
        <v>722.22</v>
      </c>
      <c r="C38" s="75">
        <v>462.09</v>
      </c>
      <c r="D38" s="75">
        <v>373.99</v>
      </c>
      <c r="E38" s="62"/>
      <c r="F38" s="62"/>
      <c r="G38" s="75">
        <v>0.7</v>
      </c>
      <c r="H38" s="62"/>
      <c r="I38" s="62"/>
      <c r="J38" s="62"/>
      <c r="K38" s="62"/>
      <c r="L38" s="62"/>
      <c r="M38" s="62"/>
      <c r="N38" s="62"/>
      <c r="O38" s="62"/>
    </row>
    <row r="39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</row>
    <row r="40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</row>
    <row r="41">
      <c r="A41" s="67" t="s">
        <v>92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2"/>
      <c r="N41" s="62"/>
      <c r="O41" s="62"/>
    </row>
    <row r="42">
      <c r="A42" s="76" t="s">
        <v>74</v>
      </c>
      <c r="C42" s="69" t="s">
        <v>93</v>
      </c>
      <c r="J42" s="70"/>
      <c r="K42" s="70"/>
      <c r="L42" s="70"/>
      <c r="M42" s="62"/>
      <c r="N42" s="62"/>
      <c r="O42" s="62"/>
    </row>
    <row r="43">
      <c r="A43" s="70"/>
      <c r="B43" s="70"/>
      <c r="C43" s="77" t="s">
        <v>94</v>
      </c>
      <c r="I43" s="70"/>
      <c r="J43" s="70"/>
      <c r="K43" s="70"/>
      <c r="L43" s="70"/>
      <c r="M43" s="62"/>
      <c r="N43" s="62"/>
      <c r="O43" s="62"/>
    </row>
    <row r="44">
      <c r="A44" s="70"/>
      <c r="B44" s="70"/>
      <c r="C44" s="77" t="s">
        <v>95</v>
      </c>
      <c r="H44" s="70"/>
      <c r="I44" s="70"/>
      <c r="J44" s="70"/>
      <c r="K44" s="70"/>
      <c r="L44" s="70"/>
      <c r="M44" s="62"/>
      <c r="N44" s="62"/>
      <c r="O44" s="62"/>
    </row>
    <row r="45">
      <c r="A45" s="78" t="s">
        <v>96</v>
      </c>
      <c r="C45" s="79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</row>
    <row r="46">
      <c r="A46" s="69" t="s">
        <v>97</v>
      </c>
      <c r="B46" s="74" t="s">
        <v>98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>
      <c r="A47" s="69" t="s">
        <v>99</v>
      </c>
      <c r="B47" s="74" t="s">
        <v>100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>
      <c r="A49" s="74" t="s">
        <v>83</v>
      </c>
      <c r="B49" s="74" t="s">
        <v>101</v>
      </c>
      <c r="C49" s="74" t="s">
        <v>102</v>
      </c>
      <c r="D49" s="74" t="s">
        <v>103</v>
      </c>
      <c r="E49" s="74" t="s">
        <v>104</v>
      </c>
      <c r="F49" s="74" t="s">
        <v>63</v>
      </c>
      <c r="G49" s="62"/>
      <c r="H49" s="62"/>
      <c r="I49" s="62"/>
      <c r="J49" s="62"/>
      <c r="K49" s="62"/>
      <c r="L49" s="62"/>
      <c r="M49" s="62"/>
      <c r="N49" s="62"/>
      <c r="O49" s="62"/>
    </row>
    <row r="50">
      <c r="A50" s="75">
        <v>2022.0</v>
      </c>
      <c r="B50" s="80">
        <v>136.83</v>
      </c>
      <c r="C50" s="81">
        <v>64.26</v>
      </c>
      <c r="D50" s="82">
        <v>1749.96</v>
      </c>
      <c r="E50" s="81">
        <v>893.32</v>
      </c>
      <c r="F50" s="83">
        <v>0.051</v>
      </c>
      <c r="G50" s="62"/>
      <c r="H50" s="62"/>
      <c r="I50" s="62"/>
      <c r="J50" s="62"/>
      <c r="K50" s="62"/>
      <c r="L50" s="62"/>
      <c r="M50" s="62"/>
      <c r="N50" s="62"/>
      <c r="O50" s="62"/>
    </row>
    <row r="51">
      <c r="A51" s="75">
        <v>2021.0</v>
      </c>
      <c r="B51" s="80">
        <v>-117.69</v>
      </c>
      <c r="C51" s="75">
        <v>64.26</v>
      </c>
      <c r="D51" s="82">
        <v>1695.51</v>
      </c>
      <c r="E51" s="81">
        <v>861.73</v>
      </c>
      <c r="F51" s="83">
        <v>-0.045</v>
      </c>
      <c r="G51" s="62"/>
      <c r="H51" s="62"/>
      <c r="I51" s="84">
        <v>1749.96</v>
      </c>
      <c r="J51" s="85">
        <v>1695.51</v>
      </c>
      <c r="K51" s="85">
        <v>1832.32</v>
      </c>
      <c r="L51" s="85">
        <v>1682.27</v>
      </c>
      <c r="M51" s="85">
        <v>1414.45</v>
      </c>
      <c r="N51" s="62"/>
      <c r="O51" s="62"/>
    </row>
    <row r="52">
      <c r="A52" s="75">
        <v>2020.0</v>
      </c>
      <c r="B52" s="80">
        <v>485.08</v>
      </c>
      <c r="C52" s="75">
        <v>64.26</v>
      </c>
      <c r="D52" s="82">
        <v>1832.32</v>
      </c>
      <c r="E52" s="82">
        <v>1037.85</v>
      </c>
      <c r="F52" s="83">
        <v>0.165</v>
      </c>
      <c r="G52" s="62"/>
      <c r="H52" s="62"/>
      <c r="I52" s="84">
        <v>1261.02</v>
      </c>
      <c r="J52" s="85">
        <v>1091.97</v>
      </c>
      <c r="K52" s="86">
        <v>931.09</v>
      </c>
      <c r="L52" s="86">
        <v>748.79</v>
      </c>
      <c r="M52" s="86">
        <v>607.21</v>
      </c>
      <c r="N52" s="62"/>
      <c r="O52" s="62"/>
    </row>
    <row r="53">
      <c r="A53" s="75">
        <v>2019.0</v>
      </c>
      <c r="B53" s="80">
        <v>478.27</v>
      </c>
      <c r="C53" s="75">
        <v>64.26</v>
      </c>
      <c r="D53" s="82">
        <v>1682.27</v>
      </c>
      <c r="E53" s="81">
        <v>102.52</v>
      </c>
      <c r="F53" s="83">
        <v>0.259</v>
      </c>
      <c r="G53" s="62"/>
      <c r="H53" s="62"/>
      <c r="I53" s="87">
        <v>103.97</v>
      </c>
      <c r="J53" s="88">
        <v>102.87</v>
      </c>
      <c r="K53" s="88">
        <v>97.76</v>
      </c>
      <c r="L53" s="88">
        <v>79.28</v>
      </c>
      <c r="M53" s="88">
        <v>56.11</v>
      </c>
      <c r="N53" s="62"/>
      <c r="O53" s="62"/>
    </row>
    <row r="54">
      <c r="A54" s="75">
        <v>2018.0</v>
      </c>
      <c r="B54" s="80">
        <v>340.01</v>
      </c>
      <c r="C54" s="75">
        <v>64.26</v>
      </c>
      <c r="D54" s="82">
        <v>1414.45</v>
      </c>
      <c r="E54" s="81">
        <v>105.93</v>
      </c>
      <c r="F54" s="83">
        <v>0.215</v>
      </c>
      <c r="G54" s="62"/>
      <c r="H54" s="62"/>
      <c r="I54" s="87">
        <v>893.32</v>
      </c>
      <c r="J54" s="88">
        <v>861.73</v>
      </c>
      <c r="K54" s="89">
        <v>1037.85</v>
      </c>
      <c r="L54" s="88">
        <v>102.52</v>
      </c>
      <c r="M54" s="88">
        <v>105.93</v>
      </c>
      <c r="N54" s="62"/>
      <c r="O54" s="62"/>
    </row>
    <row r="55">
      <c r="A55" s="75">
        <v>2017.0</v>
      </c>
      <c r="B55" s="75">
        <v>233.58</v>
      </c>
      <c r="C55" s="75">
        <v>64.26</v>
      </c>
      <c r="D55" s="82">
        <v>1261.02</v>
      </c>
      <c r="E55" s="81">
        <v>103.97</v>
      </c>
      <c r="F55" s="83">
        <v>0.163</v>
      </c>
      <c r="G55" s="62"/>
      <c r="H55" s="62"/>
      <c r="I55" s="62"/>
      <c r="J55" s="62"/>
      <c r="K55" s="62"/>
      <c r="L55" s="62"/>
      <c r="M55" s="62"/>
      <c r="N55" s="62"/>
      <c r="O55" s="62"/>
    </row>
    <row r="56">
      <c r="A56" s="75">
        <v>2016.0</v>
      </c>
      <c r="B56" s="81">
        <v>298.42</v>
      </c>
      <c r="C56" s="75">
        <v>64.26</v>
      </c>
      <c r="D56" s="82">
        <v>1091.97</v>
      </c>
      <c r="E56" s="81">
        <v>102.87</v>
      </c>
      <c r="F56" s="83">
        <v>0.237</v>
      </c>
      <c r="G56" s="62"/>
      <c r="H56" s="62"/>
      <c r="I56" s="62"/>
      <c r="J56" s="62"/>
      <c r="K56" s="62"/>
      <c r="L56" s="62"/>
      <c r="M56" s="62"/>
      <c r="N56" s="62"/>
      <c r="O56" s="62"/>
    </row>
    <row r="57">
      <c r="A57" s="75">
        <v>2015.0</v>
      </c>
      <c r="B57" s="81">
        <v>328.67</v>
      </c>
      <c r="C57" s="75">
        <v>64.26</v>
      </c>
      <c r="D57" s="81">
        <v>931.09</v>
      </c>
      <c r="E57" s="81">
        <v>97.76</v>
      </c>
      <c r="F57" s="83">
        <v>0.301</v>
      </c>
      <c r="G57" s="62"/>
      <c r="H57" s="62"/>
      <c r="I57" s="62"/>
      <c r="J57" s="62"/>
      <c r="K57" s="62"/>
      <c r="L57" s="62"/>
      <c r="M57" s="62"/>
      <c r="N57" s="62"/>
      <c r="O57" s="62"/>
    </row>
    <row r="58">
      <c r="A58" s="75">
        <v>2014.0</v>
      </c>
      <c r="B58" s="81">
        <v>282.62</v>
      </c>
      <c r="C58" s="75">
        <v>64.26</v>
      </c>
      <c r="D58" s="81">
        <v>748.79</v>
      </c>
      <c r="E58" s="81">
        <v>79.28</v>
      </c>
      <c r="F58" s="83">
        <v>0.317</v>
      </c>
      <c r="G58" s="62"/>
      <c r="H58" s="62"/>
      <c r="I58" s="62"/>
      <c r="J58" s="62"/>
      <c r="K58" s="62"/>
      <c r="L58" s="62"/>
      <c r="M58" s="62"/>
      <c r="N58" s="62"/>
      <c r="O58" s="62"/>
    </row>
    <row r="59">
      <c r="A59" s="75">
        <v>2013.0</v>
      </c>
      <c r="B59" s="81">
        <v>251.96</v>
      </c>
      <c r="C59" s="75">
        <v>64.26</v>
      </c>
      <c r="D59" s="81">
        <v>607.21</v>
      </c>
      <c r="E59" s="81">
        <v>56.11</v>
      </c>
      <c r="F59" s="83">
        <v>0.346</v>
      </c>
      <c r="G59" s="62"/>
      <c r="H59" s="62"/>
      <c r="I59" s="62"/>
      <c r="J59" s="62"/>
      <c r="K59" s="62"/>
      <c r="L59" s="62"/>
      <c r="M59" s="62"/>
      <c r="N59" s="62"/>
      <c r="O59" s="62"/>
    </row>
    <row r="60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</row>
    <row r="61">
      <c r="A61" s="74" t="s">
        <v>105</v>
      </c>
      <c r="C61" s="74" t="s">
        <v>106</v>
      </c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</row>
    <row r="62">
      <c r="A62" s="74" t="s">
        <v>83</v>
      </c>
      <c r="B62" s="74" t="s">
        <v>101</v>
      </c>
      <c r="C62" s="74" t="s">
        <v>107</v>
      </c>
      <c r="D62" s="74" t="s">
        <v>108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>
      <c r="A63" s="75">
        <v>2022.0</v>
      </c>
      <c r="B63" s="75">
        <v>136.83</v>
      </c>
      <c r="C63" s="81">
        <v>2443.62</v>
      </c>
      <c r="D63" s="90">
        <v>0.06</v>
      </c>
      <c r="E63" s="62"/>
      <c r="F63" s="62"/>
      <c r="G63" s="62"/>
      <c r="H63" s="62"/>
      <c r="I63" s="91"/>
      <c r="J63" s="91"/>
      <c r="K63" s="91"/>
      <c r="L63" s="91"/>
      <c r="M63" s="91"/>
      <c r="N63" s="62"/>
      <c r="O63" s="62"/>
    </row>
    <row r="64">
      <c r="A64" s="75">
        <v>2021.0</v>
      </c>
      <c r="B64" s="81">
        <v>-117.69</v>
      </c>
      <c r="C64" s="75">
        <v>1801.33</v>
      </c>
      <c r="D64" s="92">
        <v>-0.07</v>
      </c>
      <c r="E64" s="62"/>
      <c r="F64" s="62"/>
      <c r="G64" s="62"/>
      <c r="H64" s="62"/>
      <c r="I64" s="84">
        <v>1814.23</v>
      </c>
      <c r="J64" s="89">
        <v>1759.77</v>
      </c>
      <c r="K64" s="89">
        <v>1896.58</v>
      </c>
      <c r="L64" s="89">
        <v>1746.53</v>
      </c>
      <c r="M64" s="89">
        <v>1478.71</v>
      </c>
      <c r="N64" s="62"/>
      <c r="O64" s="62"/>
    </row>
    <row r="65">
      <c r="A65" s="75">
        <v>2020.0</v>
      </c>
      <c r="B65" s="81">
        <v>485.08</v>
      </c>
      <c r="C65" s="81">
        <v>3122.29</v>
      </c>
      <c r="D65" s="90">
        <v>0.16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>
      <c r="A66" s="75">
        <v>2019.0</v>
      </c>
      <c r="B66" s="81">
        <v>478.27</v>
      </c>
      <c r="C66" s="81">
        <v>2996.99</v>
      </c>
      <c r="D66" s="90">
        <v>0.16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>
      <c r="A67" s="75">
        <v>2018.0</v>
      </c>
      <c r="B67" s="81">
        <v>340.01</v>
      </c>
      <c r="C67" s="81">
        <v>2680.12</v>
      </c>
      <c r="D67" s="90">
        <v>0.13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>
      <c r="A68" s="75">
        <v>2017.0</v>
      </c>
      <c r="B68" s="75">
        <v>233.58</v>
      </c>
      <c r="C68" s="81">
        <v>2513.81</v>
      </c>
      <c r="D68" s="90">
        <v>0.09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</row>
    <row r="69">
      <c r="A69" s="75">
        <v>2016.0</v>
      </c>
      <c r="B69" s="81">
        <v>298.42</v>
      </c>
      <c r="C69" s="81">
        <v>2448.14</v>
      </c>
      <c r="D69" s="90">
        <v>0.12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</row>
    <row r="70">
      <c r="A70" s="75">
        <v>2015.0</v>
      </c>
      <c r="B70" s="81">
        <v>328.67</v>
      </c>
      <c r="C70" s="81">
        <v>2737.23</v>
      </c>
      <c r="D70" s="90">
        <v>0.12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</row>
    <row r="71">
      <c r="A71" s="75">
        <v>2014.0</v>
      </c>
      <c r="B71" s="81">
        <v>282.62</v>
      </c>
      <c r="C71" s="81">
        <v>2096.52</v>
      </c>
      <c r="D71" s="90">
        <v>0.13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>
      <c r="A72" s="75">
        <v>2013.0</v>
      </c>
      <c r="B72" s="81">
        <v>251.96</v>
      </c>
      <c r="C72" s="81">
        <v>1872.41</v>
      </c>
      <c r="D72" s="90">
        <v>0.13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</row>
    <row r="73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</row>
    <row r="74">
      <c r="A74" s="74" t="s">
        <v>109</v>
      </c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</row>
    <row r="75">
      <c r="A75" s="74" t="s">
        <v>110</v>
      </c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</row>
    <row r="76">
      <c r="A76" s="74" t="s">
        <v>81</v>
      </c>
      <c r="B76" s="74" t="s">
        <v>111</v>
      </c>
      <c r="F76" s="62"/>
      <c r="G76" s="62"/>
      <c r="H76" s="62"/>
      <c r="I76" s="62"/>
      <c r="J76" s="62"/>
      <c r="K76" s="62"/>
      <c r="L76" s="62"/>
      <c r="M76" s="62"/>
      <c r="N76" s="62"/>
      <c r="O76" s="62"/>
    </row>
    <row r="77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</row>
    <row r="78">
      <c r="A78" s="74" t="s">
        <v>83</v>
      </c>
      <c r="B78" s="74" t="s">
        <v>112</v>
      </c>
      <c r="C78" s="74" t="s">
        <v>113</v>
      </c>
      <c r="D78" s="74" t="s">
        <v>114</v>
      </c>
      <c r="E78" s="74" t="s">
        <v>115</v>
      </c>
      <c r="F78" s="74" t="s">
        <v>116</v>
      </c>
      <c r="H78" s="62"/>
      <c r="I78" s="62"/>
      <c r="J78" s="62"/>
      <c r="K78" s="62"/>
      <c r="L78" s="62"/>
      <c r="M78" s="62"/>
      <c r="N78" s="62"/>
      <c r="O78" s="62"/>
    </row>
    <row r="79">
      <c r="A79" s="75">
        <v>2022.0</v>
      </c>
      <c r="B79" s="82">
        <v>1814.23</v>
      </c>
      <c r="C79" s="81">
        <v>0.0</v>
      </c>
      <c r="D79" s="82">
        <v>3524.64</v>
      </c>
      <c r="E79" s="81">
        <v>817.09</v>
      </c>
      <c r="F79" s="75">
        <v>0.67</v>
      </c>
      <c r="G79" s="62"/>
      <c r="H79" s="62"/>
      <c r="I79" s="62"/>
      <c r="J79" s="62"/>
      <c r="K79" s="62"/>
      <c r="L79" s="62"/>
      <c r="M79" s="62"/>
      <c r="N79" s="62"/>
      <c r="O79" s="62"/>
    </row>
    <row r="80">
      <c r="A80" s="75">
        <v>2021.0</v>
      </c>
      <c r="B80" s="82">
        <v>1759.77</v>
      </c>
      <c r="C80" s="81">
        <v>6.74</v>
      </c>
      <c r="D80" s="82">
        <v>3333.97</v>
      </c>
      <c r="E80" s="81">
        <v>712.47</v>
      </c>
      <c r="F80" s="75">
        <v>0.67</v>
      </c>
      <c r="G80" s="62"/>
      <c r="H80" s="62"/>
      <c r="I80" s="62"/>
      <c r="J80" s="62"/>
      <c r="K80" s="62"/>
      <c r="L80" s="62"/>
      <c r="M80" s="62"/>
      <c r="N80" s="62"/>
      <c r="O80" s="62"/>
    </row>
    <row r="81">
      <c r="A81" s="75">
        <v>2020.0</v>
      </c>
      <c r="B81" s="82">
        <v>1896.58</v>
      </c>
      <c r="C81" s="81">
        <v>7.04</v>
      </c>
      <c r="D81" s="82">
        <v>3734.94</v>
      </c>
      <c r="E81" s="81">
        <v>800.51</v>
      </c>
      <c r="F81" s="75">
        <v>0.65</v>
      </c>
      <c r="G81" s="62"/>
      <c r="H81" s="62"/>
      <c r="I81" s="62"/>
      <c r="J81" s="62"/>
      <c r="K81" s="62"/>
      <c r="L81" s="62"/>
      <c r="M81" s="62"/>
      <c r="N81" s="62"/>
      <c r="O81" s="62"/>
    </row>
    <row r="82">
      <c r="A82" s="75">
        <v>2019.0</v>
      </c>
      <c r="B82" s="82">
        <v>1746.53</v>
      </c>
      <c r="C82" s="81">
        <v>3.79</v>
      </c>
      <c r="D82" s="82">
        <v>2478.64</v>
      </c>
      <c r="E82" s="81">
        <v>629.59</v>
      </c>
      <c r="F82" s="75">
        <v>0.94</v>
      </c>
      <c r="G82" s="62"/>
      <c r="H82" s="62"/>
      <c r="I82" s="62"/>
      <c r="J82" s="62"/>
      <c r="K82" s="62"/>
      <c r="L82" s="62"/>
      <c r="M82" s="62"/>
      <c r="N82" s="62"/>
      <c r="O82" s="62"/>
    </row>
    <row r="83">
      <c r="A83" s="75">
        <v>2018.0</v>
      </c>
      <c r="B83" s="82">
        <v>1478.71</v>
      </c>
      <c r="C83" s="81">
        <v>1.55</v>
      </c>
      <c r="D83" s="82">
        <v>2144.87</v>
      </c>
      <c r="E83" s="81">
        <v>560.22</v>
      </c>
      <c r="F83" s="75">
        <v>0.93</v>
      </c>
      <c r="G83" s="62"/>
      <c r="H83" s="62"/>
      <c r="I83" s="62"/>
      <c r="J83" s="84">
        <v>1325.28</v>
      </c>
      <c r="K83" s="93">
        <v>1183.0</v>
      </c>
      <c r="L83" s="89">
        <v>1022.15</v>
      </c>
      <c r="M83" s="88">
        <v>841.0</v>
      </c>
      <c r="N83" s="88">
        <v>700.33</v>
      </c>
      <c r="O83" s="62"/>
    </row>
    <row r="84">
      <c r="A84" s="75">
        <v>2017.0</v>
      </c>
      <c r="B84" s="82">
        <v>1325.28</v>
      </c>
      <c r="C84" s="81">
        <v>1.38</v>
      </c>
      <c r="D84" s="82">
        <v>1922.6</v>
      </c>
      <c r="E84" s="81">
        <v>493.35</v>
      </c>
      <c r="F84" s="81">
        <v>0.93</v>
      </c>
      <c r="G84" s="62"/>
      <c r="H84" s="62"/>
      <c r="I84" s="62"/>
      <c r="J84" s="87">
        <v>0.0</v>
      </c>
      <c r="K84" s="86">
        <v>6.74</v>
      </c>
      <c r="L84" s="86">
        <v>7.04</v>
      </c>
      <c r="M84" s="86">
        <v>3.79</v>
      </c>
      <c r="N84" s="86">
        <v>1.55</v>
      </c>
      <c r="O84" s="62"/>
    </row>
    <row r="85">
      <c r="A85" s="75">
        <v>2016.0</v>
      </c>
      <c r="B85" s="94">
        <v>1183.0</v>
      </c>
      <c r="C85" s="81">
        <v>0.6</v>
      </c>
      <c r="D85" s="82">
        <v>1746.42</v>
      </c>
      <c r="E85" s="81">
        <v>460.53</v>
      </c>
      <c r="F85" s="75">
        <v>0.92</v>
      </c>
      <c r="G85" s="62"/>
      <c r="H85" s="62"/>
      <c r="I85" s="62"/>
      <c r="J85" s="87">
        <v>1.38</v>
      </c>
      <c r="K85" s="86">
        <v>0.6</v>
      </c>
      <c r="L85" s="86">
        <v>0.94</v>
      </c>
      <c r="M85" s="86">
        <v>0.79</v>
      </c>
      <c r="N85" s="86">
        <v>0.68</v>
      </c>
      <c r="O85" s="62"/>
    </row>
    <row r="86">
      <c r="A86" s="75">
        <v>2015.0</v>
      </c>
      <c r="B86" s="82">
        <v>1022.15</v>
      </c>
      <c r="C86" s="81">
        <v>0.94</v>
      </c>
      <c r="D86" s="82">
        <v>1637.43</v>
      </c>
      <c r="E86" s="81">
        <v>517.53</v>
      </c>
      <c r="F86" s="75">
        <v>0.91</v>
      </c>
      <c r="G86" s="62"/>
      <c r="H86" s="62"/>
      <c r="I86" s="62"/>
      <c r="J86" s="84">
        <v>3524.64</v>
      </c>
      <c r="K86" s="89">
        <v>3333.97</v>
      </c>
      <c r="L86" s="89">
        <v>3734.94</v>
      </c>
      <c r="M86" s="89">
        <v>2478.64</v>
      </c>
      <c r="N86" s="89">
        <v>2144.87</v>
      </c>
      <c r="O86" s="62"/>
    </row>
    <row r="87">
      <c r="A87" s="75">
        <v>2014.0</v>
      </c>
      <c r="B87" s="81">
        <v>841.0</v>
      </c>
      <c r="C87" s="81">
        <v>0.79</v>
      </c>
      <c r="D87" s="82">
        <v>1382.75</v>
      </c>
      <c r="E87" s="81">
        <v>462.47</v>
      </c>
      <c r="F87" s="75">
        <v>0.91</v>
      </c>
      <c r="G87" s="62"/>
      <c r="H87" s="62"/>
      <c r="I87" s="62"/>
      <c r="J87" s="84">
        <v>1922.6</v>
      </c>
      <c r="K87" s="89">
        <v>1746.42</v>
      </c>
      <c r="L87" s="89">
        <v>1637.43</v>
      </c>
      <c r="M87" s="89">
        <v>1382.75</v>
      </c>
      <c r="N87" s="89">
        <v>1130.43</v>
      </c>
      <c r="O87" s="62"/>
    </row>
    <row r="88">
      <c r="A88" s="75">
        <v>2013.0</v>
      </c>
      <c r="B88" s="81">
        <v>700.33</v>
      </c>
      <c r="C88" s="81">
        <v>0.68</v>
      </c>
      <c r="D88" s="82">
        <v>1130.43</v>
      </c>
      <c r="E88" s="81">
        <v>373.99</v>
      </c>
      <c r="F88" s="75">
        <v>0.93</v>
      </c>
      <c r="G88" s="62"/>
      <c r="H88" s="62"/>
      <c r="I88" s="62"/>
      <c r="J88" s="87">
        <v>817.09</v>
      </c>
      <c r="K88" s="88">
        <v>712.47</v>
      </c>
      <c r="L88" s="88">
        <v>800.51</v>
      </c>
      <c r="M88" s="88">
        <v>629.59</v>
      </c>
      <c r="N88" s="88">
        <v>560.22</v>
      </c>
      <c r="O88" s="62"/>
    </row>
    <row r="89">
      <c r="A89" s="62"/>
      <c r="B89" s="62"/>
      <c r="C89" s="62"/>
      <c r="D89" s="62"/>
      <c r="E89" s="62"/>
      <c r="F89" s="62"/>
      <c r="G89" s="62"/>
      <c r="H89" s="62"/>
      <c r="I89" s="62"/>
      <c r="J89" s="87">
        <v>493.35</v>
      </c>
      <c r="K89" s="88">
        <v>460.53</v>
      </c>
      <c r="L89" s="88">
        <v>517.53</v>
      </c>
      <c r="M89" s="88">
        <v>462.47</v>
      </c>
      <c r="N89" s="88">
        <v>373.99</v>
      </c>
      <c r="O89" s="62"/>
    </row>
    <row r="90">
      <c r="A90" s="74" t="s">
        <v>117</v>
      </c>
      <c r="C90" s="62"/>
      <c r="D90" s="62"/>
      <c r="E90" s="62"/>
      <c r="F90" s="62"/>
      <c r="G90" s="62"/>
      <c r="H90" s="62"/>
      <c r="I90" s="62"/>
      <c r="J90" s="87">
        <v>456.08</v>
      </c>
      <c r="K90" s="86">
        <v>439.57</v>
      </c>
      <c r="L90" s="86">
        <v>503.23</v>
      </c>
      <c r="M90" s="86">
        <v>515.65</v>
      </c>
      <c r="N90" s="86">
        <v>479.23</v>
      </c>
      <c r="O90" s="62"/>
    </row>
    <row r="91">
      <c r="A91" s="74" t="s">
        <v>118</v>
      </c>
      <c r="C91" s="62"/>
      <c r="D91" s="62"/>
      <c r="E91" s="62"/>
      <c r="F91" s="62"/>
      <c r="G91" s="62"/>
      <c r="H91" s="62"/>
      <c r="I91" s="62"/>
      <c r="J91" s="87">
        <v>407.22</v>
      </c>
      <c r="K91" s="86">
        <v>324.86</v>
      </c>
      <c r="L91" s="86">
        <v>356.74</v>
      </c>
      <c r="M91" s="86">
        <v>286.13</v>
      </c>
      <c r="N91" s="86">
        <v>237.97</v>
      </c>
      <c r="O91" s="62"/>
    </row>
    <row r="92">
      <c r="A92" s="74" t="s">
        <v>81</v>
      </c>
      <c r="B92" s="74" t="s">
        <v>119</v>
      </c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</row>
    <row r="93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</row>
    <row r="94">
      <c r="A94" s="74" t="s">
        <v>83</v>
      </c>
      <c r="B94" s="74" t="s">
        <v>120</v>
      </c>
      <c r="C94" s="74" t="s">
        <v>101</v>
      </c>
      <c r="D94" s="74" t="s">
        <v>121</v>
      </c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</row>
    <row r="95">
      <c r="A95" s="75">
        <v>2022.0</v>
      </c>
      <c r="B95" s="81">
        <v>456.08</v>
      </c>
      <c r="C95" s="81">
        <v>136.83</v>
      </c>
      <c r="D95" s="75">
        <v>3.33</v>
      </c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</row>
    <row r="96">
      <c r="A96" s="75">
        <v>2021.0</v>
      </c>
      <c r="B96" s="81">
        <v>439.57</v>
      </c>
      <c r="C96" s="81">
        <v>-117.69</v>
      </c>
      <c r="D96" s="75">
        <v>-3.73</v>
      </c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</row>
    <row r="97">
      <c r="A97" s="75">
        <v>2020.0</v>
      </c>
      <c r="B97" s="81">
        <v>503.23</v>
      </c>
      <c r="C97" s="81">
        <v>485.08</v>
      </c>
      <c r="D97" s="75">
        <v>1.04</v>
      </c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</row>
    <row r="98">
      <c r="A98" s="75">
        <v>2019.0</v>
      </c>
      <c r="B98" s="81">
        <v>515.65</v>
      </c>
      <c r="C98" s="81">
        <v>478.27</v>
      </c>
      <c r="D98" s="75">
        <v>1.08</v>
      </c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</row>
    <row r="99">
      <c r="A99" s="75">
        <v>2018.0</v>
      </c>
      <c r="B99" s="81">
        <v>479.23</v>
      </c>
      <c r="C99" s="81">
        <v>340.01</v>
      </c>
      <c r="D99" s="75">
        <v>1.41</v>
      </c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</row>
    <row r="100">
      <c r="A100" s="75">
        <v>2017.0</v>
      </c>
      <c r="B100" s="81">
        <v>407.22</v>
      </c>
      <c r="C100" s="75">
        <v>233.58</v>
      </c>
      <c r="D100" s="75">
        <v>1.74</v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</row>
    <row r="101">
      <c r="A101" s="75">
        <v>2016.0</v>
      </c>
      <c r="B101" s="81">
        <v>324.86</v>
      </c>
      <c r="C101" s="81">
        <v>298.42</v>
      </c>
      <c r="D101" s="75">
        <v>1.09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</row>
    <row r="102">
      <c r="A102" s="75">
        <v>2015.0</v>
      </c>
      <c r="B102" s="81">
        <v>356.74</v>
      </c>
      <c r="C102" s="81">
        <v>328.67</v>
      </c>
      <c r="D102" s="75">
        <v>1.09</v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</row>
    <row r="103">
      <c r="A103" s="75">
        <v>2014.0</v>
      </c>
      <c r="B103" s="81">
        <v>286.13</v>
      </c>
      <c r="C103" s="81">
        <v>282.62</v>
      </c>
      <c r="D103" s="75">
        <v>1.01</v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>
      <c r="A104" s="75">
        <v>2013.0</v>
      </c>
      <c r="B104" s="81">
        <v>237.97</v>
      </c>
      <c r="C104" s="81">
        <v>251.96</v>
      </c>
      <c r="D104" s="75">
        <v>0.94</v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</row>
    <row r="10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</row>
    <row r="106">
      <c r="A106" s="74" t="s">
        <v>122</v>
      </c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</row>
    <row r="107">
      <c r="A107" s="74" t="s">
        <v>81</v>
      </c>
      <c r="B107" s="74" t="s">
        <v>123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</row>
    <row r="109">
      <c r="A109" s="74" t="s">
        <v>83</v>
      </c>
      <c r="B109" s="74" t="s">
        <v>26</v>
      </c>
      <c r="C109" s="74" t="s">
        <v>124</v>
      </c>
      <c r="D109" s="74" t="s">
        <v>125</v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</row>
    <row r="110">
      <c r="A110" s="75">
        <v>2022.0</v>
      </c>
      <c r="B110" s="75">
        <v>1094.0</v>
      </c>
      <c r="C110" s="75">
        <v>64.26</v>
      </c>
      <c r="D110" s="75">
        <v>0.94</v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</row>
    <row r="111">
      <c r="A111" s="75">
        <v>2021.0</v>
      </c>
      <c r="B111" s="75">
        <v>1032.0</v>
      </c>
      <c r="C111" s="75">
        <v>64.26</v>
      </c>
      <c r="D111" s="75">
        <v>0.94</v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</row>
    <row r="112">
      <c r="A112" s="75">
        <v>2020.0</v>
      </c>
      <c r="B112" s="75">
        <v>1249.0</v>
      </c>
      <c r="C112" s="75">
        <v>64.26</v>
      </c>
      <c r="D112" s="75">
        <v>0.95</v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</row>
    <row r="113">
      <c r="A113" s="75">
        <v>2019.0</v>
      </c>
      <c r="B113" s="75">
        <v>0.0</v>
      </c>
      <c r="C113" s="75">
        <v>64.26</v>
      </c>
      <c r="D113" s="75">
        <v>0.0</v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</row>
    <row r="114">
      <c r="A114" s="75">
        <v>2018.0</v>
      </c>
      <c r="B114" s="75">
        <v>0.0</v>
      </c>
      <c r="C114" s="75">
        <v>64.26</v>
      </c>
      <c r="D114" s="75">
        <v>0.0</v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</row>
    <row r="115">
      <c r="A115" s="75">
        <v>2017.0</v>
      </c>
      <c r="B115" s="75">
        <v>0.0</v>
      </c>
      <c r="C115" s="75">
        <v>64.26</v>
      </c>
      <c r="D115" s="75">
        <v>0.0</v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</row>
    <row r="116">
      <c r="A116" s="75">
        <v>2016.0</v>
      </c>
      <c r="B116" s="75">
        <v>0.0</v>
      </c>
      <c r="C116" s="75">
        <v>64.26</v>
      </c>
      <c r="D116" s="75">
        <v>0.0</v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</row>
    <row r="117">
      <c r="A117" s="75">
        <v>2015.0</v>
      </c>
      <c r="B117" s="75">
        <v>0.0</v>
      </c>
      <c r="C117" s="75">
        <v>64.26</v>
      </c>
      <c r="D117" s="75">
        <v>0.0</v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</row>
    <row r="118">
      <c r="A118" s="75">
        <v>2014.0</v>
      </c>
      <c r="B118" s="75">
        <v>0.0</v>
      </c>
      <c r="C118" s="75">
        <v>64.26</v>
      </c>
      <c r="D118" s="75">
        <v>0.0</v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</row>
    <row r="119">
      <c r="A119" s="75">
        <v>2013.0</v>
      </c>
      <c r="B119" s="75">
        <v>0.0</v>
      </c>
      <c r="C119" s="75">
        <v>64.26</v>
      </c>
      <c r="D119" s="75">
        <v>0.0</v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</row>
    <row r="120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</row>
    <row r="121">
      <c r="A121" s="74" t="s">
        <v>126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</row>
    <row r="122">
      <c r="A122" s="74" t="s">
        <v>127</v>
      </c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</row>
    <row r="123">
      <c r="A123" s="74" t="s">
        <v>128</v>
      </c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</row>
    <row r="124">
      <c r="A124" s="74" t="s">
        <v>81</v>
      </c>
      <c r="B124" s="74" t="s">
        <v>129</v>
      </c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</row>
    <row r="1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</row>
    <row r="126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</row>
    <row r="127">
      <c r="A127" s="74" t="s">
        <v>83</v>
      </c>
      <c r="B127" s="74" t="s">
        <v>101</v>
      </c>
      <c r="C127" s="74" t="s">
        <v>107</v>
      </c>
      <c r="D127" s="74" t="s">
        <v>108</v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</row>
    <row r="128">
      <c r="A128" s="75">
        <v>2022.0</v>
      </c>
      <c r="B128" s="81">
        <v>136.83</v>
      </c>
      <c r="C128" s="75">
        <v>2443.62</v>
      </c>
      <c r="D128" s="95">
        <v>0.06</v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</row>
    <row r="129">
      <c r="A129" s="75">
        <v>2021.0</v>
      </c>
      <c r="B129" s="81">
        <v>-117.69</v>
      </c>
      <c r="C129" s="81">
        <v>1801.33</v>
      </c>
      <c r="D129" s="96">
        <v>-0.07</v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</row>
    <row r="130">
      <c r="A130" s="75">
        <v>2020.0</v>
      </c>
      <c r="B130" s="81">
        <v>485.08</v>
      </c>
      <c r="C130" s="81">
        <v>3122.29</v>
      </c>
      <c r="D130" s="96">
        <v>0.16</v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</row>
    <row r="131">
      <c r="A131" s="75">
        <v>2019.0</v>
      </c>
      <c r="B131" s="81">
        <v>478.27</v>
      </c>
      <c r="C131" s="81">
        <v>2996.99</v>
      </c>
      <c r="D131" s="96">
        <v>0.16</v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</row>
    <row r="132">
      <c r="A132" s="75">
        <v>2018.0</v>
      </c>
      <c r="B132" s="81">
        <v>340.01</v>
      </c>
      <c r="C132" s="81">
        <v>2680.12</v>
      </c>
      <c r="D132" s="96">
        <v>0.13</v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</row>
    <row r="133">
      <c r="A133" s="75">
        <v>2017.0</v>
      </c>
      <c r="B133" s="75">
        <v>233.58</v>
      </c>
      <c r="C133" s="75">
        <v>2513.81</v>
      </c>
      <c r="D133" s="95">
        <v>0.09</v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</row>
    <row r="134">
      <c r="A134" s="75">
        <v>2016.0</v>
      </c>
      <c r="B134" s="81">
        <v>298.42</v>
      </c>
      <c r="C134" s="81">
        <v>2448.14</v>
      </c>
      <c r="D134" s="96">
        <v>0.12</v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</row>
    <row r="135">
      <c r="A135" s="75">
        <v>2015.0</v>
      </c>
      <c r="B135" s="81">
        <v>328.67</v>
      </c>
      <c r="C135" s="81">
        <v>2737.23</v>
      </c>
      <c r="D135" s="96">
        <v>0.12</v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</row>
    <row r="136">
      <c r="A136" s="75">
        <v>2014.0</v>
      </c>
      <c r="B136" s="81">
        <v>282.62</v>
      </c>
      <c r="C136" s="81">
        <v>2096.52</v>
      </c>
      <c r="D136" s="96">
        <v>0.13</v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</row>
    <row r="137">
      <c r="A137" s="75">
        <v>2013.0</v>
      </c>
      <c r="B137" s="81">
        <v>251.96</v>
      </c>
      <c r="C137" s="81">
        <v>1872.41</v>
      </c>
      <c r="D137" s="96">
        <v>0.13</v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</row>
    <row r="138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</row>
    <row r="139">
      <c r="A139" s="74" t="s">
        <v>130</v>
      </c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</row>
    <row r="140">
      <c r="A140" s="74" t="s">
        <v>81</v>
      </c>
      <c r="B140" s="74" t="s">
        <v>131</v>
      </c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</row>
    <row r="14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</row>
    <row r="142">
      <c r="A142" s="74" t="s">
        <v>83</v>
      </c>
      <c r="B142" s="74" t="s">
        <v>132</v>
      </c>
      <c r="C142" s="74" t="s">
        <v>133</v>
      </c>
      <c r="D142" s="74" t="s">
        <v>134</v>
      </c>
      <c r="F142" s="62"/>
      <c r="G142" s="62"/>
      <c r="H142" s="62"/>
      <c r="I142" s="62"/>
      <c r="J142" s="62"/>
      <c r="K142" s="62"/>
      <c r="L142" s="62"/>
      <c r="M142" s="62"/>
      <c r="N142" s="62"/>
      <c r="O142" s="62"/>
    </row>
    <row r="143">
      <c r="A143" s="75">
        <v>2022.0</v>
      </c>
      <c r="B143" s="82">
        <v>2387.72</v>
      </c>
      <c r="C143" s="82">
        <v>3524.64</v>
      </c>
      <c r="D143" s="75">
        <v>0.677</v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</row>
    <row r="144">
      <c r="A144" s="75">
        <v>2021.0</v>
      </c>
      <c r="B144" s="82">
        <v>1706.62</v>
      </c>
      <c r="C144" s="82">
        <v>3333.97</v>
      </c>
      <c r="D144" s="75">
        <v>0.512</v>
      </c>
      <c r="E144" s="62"/>
      <c r="F144" s="62"/>
      <c r="G144" s="97"/>
      <c r="H144" s="98"/>
      <c r="I144" s="98"/>
      <c r="J144" s="98"/>
      <c r="K144" s="98"/>
      <c r="L144" s="62"/>
      <c r="M144" s="62"/>
      <c r="N144" s="62"/>
      <c r="O144" s="62"/>
    </row>
    <row r="145">
      <c r="A145" s="75">
        <v>2020.0</v>
      </c>
      <c r="B145" s="82">
        <v>3051.62</v>
      </c>
      <c r="C145" s="82">
        <v>3734.94</v>
      </c>
      <c r="D145" s="75">
        <v>0.817</v>
      </c>
      <c r="E145" s="62"/>
      <c r="F145" s="62"/>
      <c r="G145" s="97"/>
      <c r="H145" s="98"/>
      <c r="I145" s="98"/>
      <c r="J145" s="98"/>
      <c r="K145" s="98"/>
      <c r="L145" s="62"/>
      <c r="M145" s="62"/>
      <c r="N145" s="62"/>
      <c r="O145" s="62"/>
    </row>
    <row r="146">
      <c r="A146" s="75">
        <v>2019.0</v>
      </c>
      <c r="B146" s="82">
        <v>2926.4</v>
      </c>
      <c r="C146" s="82">
        <v>2478.64</v>
      </c>
      <c r="D146" s="75">
        <v>1.181</v>
      </c>
      <c r="E146" s="62"/>
      <c r="F146" s="62"/>
      <c r="G146" s="97"/>
      <c r="H146" s="98"/>
      <c r="I146" s="98"/>
      <c r="J146" s="98"/>
      <c r="K146" s="98"/>
      <c r="L146" s="62"/>
      <c r="M146" s="62"/>
      <c r="N146" s="62"/>
      <c r="O146" s="62"/>
    </row>
    <row r="147">
      <c r="A147" s="75">
        <v>2018.0</v>
      </c>
      <c r="B147" s="82">
        <v>2627.86</v>
      </c>
      <c r="C147" s="82">
        <v>2144.87</v>
      </c>
      <c r="D147" s="75">
        <v>1.225</v>
      </c>
      <c r="E147" s="62"/>
      <c r="F147" s="62"/>
      <c r="G147" s="97"/>
      <c r="H147" s="98"/>
      <c r="I147" s="98"/>
      <c r="J147" s="98"/>
      <c r="K147" s="98"/>
      <c r="L147" s="62"/>
      <c r="M147" s="62"/>
      <c r="N147" s="62"/>
      <c r="O147" s="62"/>
    </row>
    <row r="148">
      <c r="A148" s="75">
        <v>2017.0</v>
      </c>
      <c r="B148" s="82">
        <v>2465.59</v>
      </c>
      <c r="C148" s="82">
        <v>1922.6</v>
      </c>
      <c r="D148" s="75">
        <v>1.282</v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</row>
    <row r="149">
      <c r="A149" s="75">
        <v>2016.0</v>
      </c>
      <c r="B149" s="82">
        <v>2416.95</v>
      </c>
      <c r="C149" s="82">
        <v>1746.42</v>
      </c>
      <c r="D149" s="75">
        <v>1.384</v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</row>
    <row r="150">
      <c r="A150" s="75">
        <v>2015.0</v>
      </c>
      <c r="B150" s="82">
        <v>2692.09</v>
      </c>
      <c r="C150" s="82">
        <v>1637.43</v>
      </c>
      <c r="D150" s="75">
        <v>1.644</v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</row>
    <row r="151">
      <c r="A151" s="75">
        <v>2014.0</v>
      </c>
      <c r="B151" s="82">
        <v>2063.99</v>
      </c>
      <c r="C151" s="82">
        <v>1382.75</v>
      </c>
      <c r="D151" s="75">
        <v>1.493</v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</row>
    <row r="152">
      <c r="A152" s="75">
        <v>2013.0</v>
      </c>
      <c r="B152" s="82">
        <v>1841.25</v>
      </c>
      <c r="C152" s="82">
        <v>1130.43</v>
      </c>
      <c r="D152" s="75">
        <v>1.629</v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</row>
    <row r="153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</row>
    <row r="154">
      <c r="A154" s="74" t="s">
        <v>135</v>
      </c>
      <c r="C154" s="99" t="s">
        <v>74</v>
      </c>
      <c r="D154" s="100"/>
      <c r="E154" s="101" t="s">
        <v>136</v>
      </c>
      <c r="J154" s="100"/>
      <c r="K154" s="100"/>
      <c r="L154" s="99"/>
      <c r="O154" s="62"/>
    </row>
    <row r="155">
      <c r="A155" s="102"/>
      <c r="B155" s="62"/>
      <c r="C155" s="67" t="s">
        <v>81</v>
      </c>
      <c r="D155" s="68"/>
      <c r="E155" s="67" t="s">
        <v>137</v>
      </c>
      <c r="J155" s="68"/>
      <c r="K155" s="68"/>
      <c r="L155" s="68"/>
      <c r="M155" s="68"/>
      <c r="N155" s="68"/>
      <c r="O155" s="62"/>
    </row>
    <row r="156">
      <c r="A156" s="71" t="s">
        <v>83</v>
      </c>
      <c r="B156" s="71" t="s">
        <v>138</v>
      </c>
      <c r="C156" s="103" t="s">
        <v>139</v>
      </c>
      <c r="D156" s="104" t="s">
        <v>140</v>
      </c>
      <c r="E156" s="105"/>
      <c r="F156" s="71" t="s">
        <v>141</v>
      </c>
      <c r="G156" s="62"/>
      <c r="H156" s="62"/>
      <c r="I156" s="62"/>
      <c r="J156" s="62"/>
      <c r="K156" s="62"/>
      <c r="L156" s="62"/>
      <c r="M156" s="62"/>
      <c r="N156" s="62"/>
      <c r="O156" s="62"/>
    </row>
    <row r="157">
      <c r="A157" s="106">
        <v>2022.0</v>
      </c>
      <c r="B157" s="75">
        <v>2387.72</v>
      </c>
      <c r="C157" s="75">
        <v>1759.77</v>
      </c>
      <c r="D157" s="75">
        <v>1814.23</v>
      </c>
      <c r="E157" s="62"/>
      <c r="F157" s="107">
        <v>1.336</v>
      </c>
      <c r="G157" s="62"/>
      <c r="H157" s="62"/>
      <c r="I157" s="62"/>
      <c r="J157" s="62"/>
      <c r="K157" s="62"/>
      <c r="L157" s="62"/>
      <c r="M157" s="62"/>
      <c r="N157" s="62"/>
      <c r="O157" s="62"/>
    </row>
    <row r="158">
      <c r="A158" s="106">
        <v>2021.0</v>
      </c>
      <c r="B158" s="75">
        <v>1706.62</v>
      </c>
      <c r="C158" s="75">
        <v>1896.58</v>
      </c>
      <c r="D158" s="75">
        <v>1759.77</v>
      </c>
      <c r="E158" s="62"/>
      <c r="F158" s="107">
        <v>0.934</v>
      </c>
      <c r="G158" s="62"/>
      <c r="H158" s="62"/>
      <c r="I158" s="62"/>
      <c r="J158" s="62"/>
      <c r="K158" s="62"/>
      <c r="L158" s="62"/>
      <c r="M158" s="62"/>
      <c r="N158" s="62"/>
      <c r="O158" s="62"/>
    </row>
    <row r="159">
      <c r="A159" s="106">
        <v>2020.0</v>
      </c>
      <c r="B159" s="75">
        <v>3051.62</v>
      </c>
      <c r="C159" s="75">
        <v>1746.53</v>
      </c>
      <c r="D159" s="75">
        <v>1896.58</v>
      </c>
      <c r="E159" s="62"/>
      <c r="F159" s="107">
        <v>1.675</v>
      </c>
      <c r="G159" s="62"/>
      <c r="H159" s="62"/>
      <c r="I159" s="62"/>
      <c r="J159" s="62"/>
      <c r="K159" s="62"/>
      <c r="L159" s="62"/>
      <c r="M159" s="62"/>
      <c r="N159" s="62"/>
      <c r="O159" s="62"/>
    </row>
    <row r="160">
      <c r="A160" s="106">
        <v>2019.0</v>
      </c>
      <c r="B160" s="75">
        <v>2926.4</v>
      </c>
      <c r="C160" s="75">
        <v>1478.71</v>
      </c>
      <c r="D160" s="75">
        <v>1746.53</v>
      </c>
      <c r="E160" s="62"/>
      <c r="F160" s="107">
        <v>1.815</v>
      </c>
      <c r="G160" s="62"/>
      <c r="H160" s="62"/>
      <c r="I160" s="62"/>
      <c r="J160" s="62"/>
      <c r="K160" s="62"/>
      <c r="L160" s="62"/>
      <c r="M160" s="62"/>
      <c r="N160" s="62"/>
      <c r="O160" s="62"/>
    </row>
    <row r="161">
      <c r="A161" s="106">
        <v>2018.0</v>
      </c>
      <c r="B161" s="75">
        <v>2627.86</v>
      </c>
      <c r="C161" s="75">
        <v>1325.28</v>
      </c>
      <c r="D161" s="75">
        <v>1478.71</v>
      </c>
      <c r="E161" s="62"/>
      <c r="F161" s="107">
        <v>1.874</v>
      </c>
      <c r="G161" s="62"/>
      <c r="H161" s="62"/>
      <c r="I161" s="62"/>
      <c r="J161" s="62"/>
      <c r="K161" s="62"/>
      <c r="L161" s="62"/>
      <c r="M161" s="62"/>
      <c r="N161" s="62"/>
      <c r="O161" s="62"/>
    </row>
    <row r="162">
      <c r="A162" s="106">
        <v>2017.0</v>
      </c>
      <c r="B162" s="75">
        <v>2465.59</v>
      </c>
      <c r="C162" s="75">
        <v>1183.02</v>
      </c>
      <c r="D162" s="75">
        <v>1325.28</v>
      </c>
      <c r="E162" s="62"/>
      <c r="F162" s="107">
        <v>1.966</v>
      </c>
      <c r="G162" s="62"/>
      <c r="H162" s="62"/>
      <c r="I162" s="62"/>
      <c r="J162" s="62"/>
      <c r="K162" s="62"/>
      <c r="L162" s="62"/>
      <c r="M162" s="62"/>
      <c r="N162" s="62"/>
      <c r="O162" s="62"/>
    </row>
    <row r="163">
      <c r="A163" s="106">
        <v>2016.0</v>
      </c>
      <c r="B163" s="75">
        <v>2416.95</v>
      </c>
      <c r="C163" s="75">
        <v>1022.15</v>
      </c>
      <c r="D163" s="75">
        <v>1183.02</v>
      </c>
      <c r="E163" s="62"/>
      <c r="F163" s="107">
        <v>2.192</v>
      </c>
      <c r="G163" s="62"/>
      <c r="H163" s="62"/>
      <c r="I163" s="62"/>
      <c r="J163" s="62"/>
      <c r="K163" s="62"/>
      <c r="L163" s="62"/>
      <c r="M163" s="62"/>
      <c r="N163" s="62"/>
      <c r="O163" s="62"/>
    </row>
    <row r="164">
      <c r="A164" s="106">
        <v>2015.0</v>
      </c>
      <c r="B164" s="75">
        <v>2692.09</v>
      </c>
      <c r="C164" s="75">
        <v>841.0</v>
      </c>
      <c r="D164" s="75">
        <v>1022.15</v>
      </c>
      <c r="E164" s="62"/>
      <c r="F164" s="107">
        <v>2.89</v>
      </c>
      <c r="G164" s="62"/>
      <c r="H164" s="62"/>
      <c r="I164" s="62"/>
      <c r="J164" s="62"/>
      <c r="K164" s="62"/>
      <c r="L164" s="62"/>
      <c r="M164" s="62"/>
      <c r="N164" s="62"/>
      <c r="O164" s="62"/>
    </row>
    <row r="165">
      <c r="A165" s="106">
        <v>2014.0</v>
      </c>
      <c r="B165" s="75">
        <v>2063.99</v>
      </c>
      <c r="C165" s="75">
        <v>700.33</v>
      </c>
      <c r="D165" s="75">
        <v>841.0</v>
      </c>
      <c r="E165" s="62"/>
      <c r="F165" s="107">
        <v>2.678</v>
      </c>
      <c r="G165" s="62"/>
      <c r="H165" s="62"/>
      <c r="I165" s="62"/>
      <c r="J165" s="62"/>
      <c r="K165" s="62"/>
      <c r="L165" s="62"/>
      <c r="M165" s="62"/>
      <c r="N165" s="62"/>
      <c r="O165" s="62"/>
    </row>
    <row r="166">
      <c r="A166" s="106">
        <v>2013.0</v>
      </c>
      <c r="B166" s="75">
        <v>1841.25</v>
      </c>
      <c r="C166" s="108" t="s">
        <v>142</v>
      </c>
      <c r="D166" s="75">
        <v>700.33</v>
      </c>
      <c r="E166" s="62"/>
      <c r="F166" s="109" t="s">
        <v>142</v>
      </c>
      <c r="G166" s="62"/>
      <c r="H166" s="62"/>
      <c r="I166" s="62"/>
      <c r="J166" s="62"/>
      <c r="K166" s="62"/>
      <c r="L166" s="62"/>
      <c r="M166" s="62"/>
      <c r="N166" s="62"/>
      <c r="O166" s="62"/>
    </row>
    <row r="167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</row>
    <row r="168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</row>
    <row r="169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</row>
    <row r="170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</row>
    <row r="17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</row>
    <row r="17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</row>
    <row r="173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</row>
    <row r="174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</row>
    <row r="17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</row>
    <row r="176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</row>
    <row r="177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</row>
    <row r="178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</row>
    <row r="179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</row>
    <row r="180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</row>
    <row r="18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</row>
    <row r="18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</row>
    <row r="183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</row>
    <row r="184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</row>
    <row r="18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</row>
    <row r="186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</row>
    <row r="187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</row>
    <row r="188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</row>
    <row r="189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</row>
    <row r="190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</row>
    <row r="19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</row>
    <row r="192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</row>
    <row r="193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</row>
    <row r="194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</row>
    <row r="19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</row>
    <row r="196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</row>
    <row r="197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</row>
    <row r="198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</row>
    <row r="199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</row>
    <row r="200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</row>
    <row r="20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</row>
    <row r="202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</row>
    <row r="203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</row>
    <row r="204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</row>
    <row r="20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</row>
    <row r="206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</row>
    <row r="207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</row>
    <row r="208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</row>
    <row r="209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</row>
    <row r="210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</row>
    <row r="21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</row>
    <row r="212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</row>
    <row r="213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</row>
    <row r="214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</row>
    <row r="21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</row>
    <row r="216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</row>
    <row r="217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</row>
    <row r="218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</row>
    <row r="219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</row>
    <row r="220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</row>
    <row r="22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</row>
    <row r="222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</row>
    <row r="223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</row>
    <row r="224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</row>
    <row r="2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</row>
    <row r="226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</row>
    <row r="227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</row>
    <row r="228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</row>
    <row r="229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</row>
    <row r="230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</row>
    <row r="23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</row>
    <row r="232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</row>
    <row r="233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</row>
    <row r="234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</row>
    <row r="2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</row>
    <row r="236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</row>
  </sheetData>
  <mergeCells count="43">
    <mergeCell ref="A2:B2"/>
    <mergeCell ref="A3:B3"/>
    <mergeCell ref="C3:L3"/>
    <mergeCell ref="C4:L4"/>
    <mergeCell ref="A7:B7"/>
    <mergeCell ref="C9:L9"/>
    <mergeCell ref="E1:J1"/>
    <mergeCell ref="A9:B9"/>
    <mergeCell ref="C10:E10"/>
    <mergeCell ref="C12:D12"/>
    <mergeCell ref="C26:L26"/>
    <mergeCell ref="C27:E27"/>
    <mergeCell ref="D28:E28"/>
    <mergeCell ref="G28:H28"/>
    <mergeCell ref="A26:B26"/>
    <mergeCell ref="A41:B41"/>
    <mergeCell ref="A42:B42"/>
    <mergeCell ref="C42:I42"/>
    <mergeCell ref="C43:H43"/>
    <mergeCell ref="C44:G44"/>
    <mergeCell ref="A45:B45"/>
    <mergeCell ref="B46:C46"/>
    <mergeCell ref="B47:E47"/>
    <mergeCell ref="A61:B61"/>
    <mergeCell ref="A74:B74"/>
    <mergeCell ref="A75:B75"/>
    <mergeCell ref="B76:E76"/>
    <mergeCell ref="F78:G78"/>
    <mergeCell ref="A139:B139"/>
    <mergeCell ref="B140:C140"/>
    <mergeCell ref="D142:E142"/>
    <mergeCell ref="A154:B154"/>
    <mergeCell ref="E154:I154"/>
    <mergeCell ref="L154:N154"/>
    <mergeCell ref="E155:I155"/>
    <mergeCell ref="D156:E156"/>
    <mergeCell ref="A90:B90"/>
    <mergeCell ref="A91:B91"/>
    <mergeCell ref="B92:C92"/>
    <mergeCell ref="A106:B106"/>
    <mergeCell ref="B107:C107"/>
    <mergeCell ref="A121:B121"/>
    <mergeCell ref="A123:B12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6.43"/>
    <col customWidth="1" min="2" max="2" width="12.43"/>
    <col customWidth="1" min="3" max="3" width="13.43"/>
    <col customWidth="1" min="4" max="4" width="12.43"/>
    <col customWidth="1" min="5" max="5" width="12.71"/>
    <col customWidth="1" min="6" max="6" width="10.57"/>
    <col customWidth="1" min="7" max="7" width="12.43"/>
    <col customWidth="1" min="8" max="8" width="11.14"/>
    <col customWidth="1" min="9" max="9" width="13.0"/>
    <col customWidth="1" min="10" max="10" width="12.57"/>
    <col customWidth="1" min="11" max="11" width="12.29"/>
  </cols>
  <sheetData>
    <row r="1">
      <c r="A1" s="62"/>
      <c r="B1" s="62"/>
      <c r="C1" s="62"/>
      <c r="D1" s="66"/>
      <c r="E1" s="65" t="s">
        <v>72</v>
      </c>
      <c r="K1" s="66"/>
      <c r="L1" s="66"/>
    </row>
    <row r="2">
      <c r="A2" s="67" t="s">
        <v>73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>
      <c r="A4" s="110" t="s">
        <v>83</v>
      </c>
      <c r="B4" s="111">
        <v>2022.0</v>
      </c>
      <c r="C4" s="111">
        <v>2021.0</v>
      </c>
      <c r="D4" s="111">
        <v>2020.0</v>
      </c>
      <c r="E4" s="111">
        <v>2019.0</v>
      </c>
      <c r="F4" s="111">
        <v>2018.0</v>
      </c>
      <c r="G4" s="111">
        <v>2017.0</v>
      </c>
      <c r="H4" s="111">
        <v>2016.0</v>
      </c>
      <c r="I4" s="111">
        <v>2015.0</v>
      </c>
      <c r="J4" s="111">
        <v>2014.0</v>
      </c>
      <c r="K4" s="111">
        <v>2013.0</v>
      </c>
      <c r="L4" s="62"/>
    </row>
    <row r="5">
      <c r="A5" s="112" t="s">
        <v>86</v>
      </c>
      <c r="B5" s="113">
        <v>2.44</v>
      </c>
      <c r="C5" s="113">
        <v>2.61</v>
      </c>
      <c r="D5" s="113">
        <v>2.5</v>
      </c>
      <c r="E5" s="113">
        <v>2.92</v>
      </c>
      <c r="F5" s="113">
        <v>2.76</v>
      </c>
      <c r="G5" s="113">
        <v>2.74</v>
      </c>
      <c r="H5" s="113">
        <v>2.48</v>
      </c>
      <c r="I5" s="113">
        <v>1.96</v>
      </c>
      <c r="J5" s="113">
        <v>1.99</v>
      </c>
      <c r="K5" s="113">
        <v>1.93</v>
      </c>
      <c r="L5" s="62"/>
    </row>
    <row r="6">
      <c r="A6" s="112" t="s">
        <v>91</v>
      </c>
      <c r="B6" s="113">
        <v>1.38</v>
      </c>
      <c r="C6" s="113">
        <v>1.75</v>
      </c>
      <c r="D6" s="113">
        <v>1.41</v>
      </c>
      <c r="E6" s="113">
        <v>1.59</v>
      </c>
      <c r="F6" s="113">
        <v>1.4</v>
      </c>
      <c r="G6" s="113">
        <v>1.31</v>
      </c>
      <c r="H6" s="113">
        <v>1.0</v>
      </c>
      <c r="I6" s="113">
        <v>0.6</v>
      </c>
      <c r="J6" s="113">
        <v>0.73</v>
      </c>
      <c r="K6" s="113">
        <v>0.695553</v>
      </c>
      <c r="L6" s="62"/>
    </row>
    <row r="8">
      <c r="A8" s="67" t="s">
        <v>92</v>
      </c>
    </row>
    <row r="9">
      <c r="A9" s="2" t="s">
        <v>143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>
      <c r="A10" s="110" t="s">
        <v>83</v>
      </c>
      <c r="B10" s="111">
        <v>2022.0</v>
      </c>
      <c r="C10" s="111">
        <v>2021.0</v>
      </c>
      <c r="D10" s="111">
        <v>2020.0</v>
      </c>
      <c r="E10" s="111">
        <v>2019.0</v>
      </c>
      <c r="F10" s="111">
        <v>2018.0</v>
      </c>
      <c r="G10" s="111">
        <v>2017.0</v>
      </c>
      <c r="H10" s="111">
        <v>2016.0</v>
      </c>
      <c r="I10" s="111">
        <v>2015.0</v>
      </c>
      <c r="J10" s="111">
        <v>2014.0</v>
      </c>
      <c r="K10" s="111">
        <v>2013.0</v>
      </c>
    </row>
    <row r="11">
      <c r="A11" s="114" t="s">
        <v>63</v>
      </c>
      <c r="B11" s="115">
        <v>0.051</v>
      </c>
      <c r="C11" s="115">
        <v>-0.045</v>
      </c>
      <c r="D11" s="115">
        <v>0.165</v>
      </c>
      <c r="E11" s="115">
        <v>0.259</v>
      </c>
      <c r="F11" s="115">
        <v>0.215</v>
      </c>
      <c r="G11" s="115">
        <v>0.163</v>
      </c>
      <c r="H11" s="115">
        <v>0.237</v>
      </c>
      <c r="I11" s="115">
        <v>0.301</v>
      </c>
      <c r="J11" s="115">
        <v>0.317</v>
      </c>
      <c r="K11" s="115">
        <v>0.346</v>
      </c>
    </row>
    <row r="12">
      <c r="A12" s="116" t="s">
        <v>144</v>
      </c>
      <c r="B12" s="105"/>
      <c r="C12" s="110"/>
      <c r="D12" s="16"/>
      <c r="E12" s="16"/>
      <c r="F12" s="16"/>
      <c r="G12" s="16"/>
      <c r="H12" s="16"/>
      <c r="I12" s="16"/>
      <c r="J12" s="16"/>
      <c r="K12" s="16"/>
    </row>
    <row r="13">
      <c r="A13" s="2" t="s">
        <v>83</v>
      </c>
      <c r="B13" s="111">
        <v>2022.0</v>
      </c>
      <c r="C13" s="111">
        <v>2021.0</v>
      </c>
      <c r="D13" s="111">
        <v>2020.0</v>
      </c>
      <c r="E13" s="111">
        <v>2019.0</v>
      </c>
      <c r="F13" s="111">
        <v>2018.0</v>
      </c>
      <c r="G13" s="111">
        <v>2017.0</v>
      </c>
      <c r="H13" s="111">
        <v>2016.0</v>
      </c>
      <c r="I13" s="111">
        <v>2015.0</v>
      </c>
      <c r="J13" s="111">
        <v>2014.0</v>
      </c>
      <c r="K13" s="111">
        <v>2013.0</v>
      </c>
    </row>
    <row r="14">
      <c r="A14" s="117" t="s">
        <v>145</v>
      </c>
      <c r="B14" s="118">
        <v>0.06</v>
      </c>
      <c r="C14" s="119">
        <v>-0.07</v>
      </c>
      <c r="D14" s="119">
        <v>0.16</v>
      </c>
      <c r="E14" s="119">
        <v>0.16</v>
      </c>
      <c r="F14" s="119">
        <v>0.13</v>
      </c>
      <c r="G14" s="119">
        <v>0.09</v>
      </c>
      <c r="H14" s="119">
        <v>0.12</v>
      </c>
      <c r="I14" s="119">
        <v>0.12</v>
      </c>
      <c r="J14" s="119">
        <v>0.13</v>
      </c>
      <c r="K14" s="119">
        <v>0.13</v>
      </c>
    </row>
    <row r="15">
      <c r="B15" s="83"/>
    </row>
    <row r="16">
      <c r="A16" s="120" t="s">
        <v>146</v>
      </c>
      <c r="B16" s="83"/>
    </row>
    <row r="17">
      <c r="A17" s="116" t="s">
        <v>143</v>
      </c>
      <c r="B17" s="105"/>
      <c r="C17" s="16"/>
      <c r="D17" s="16"/>
      <c r="E17" s="16"/>
      <c r="F17" s="16"/>
      <c r="G17" s="16"/>
      <c r="H17" s="16"/>
      <c r="I17" s="16"/>
      <c r="J17" s="16"/>
      <c r="K17" s="16"/>
    </row>
    <row r="18">
      <c r="A18" s="110" t="s">
        <v>83</v>
      </c>
      <c r="B18" s="111">
        <v>2022.0</v>
      </c>
      <c r="C18" s="111">
        <v>2021.0</v>
      </c>
      <c r="D18" s="111">
        <v>2020.0</v>
      </c>
      <c r="E18" s="111">
        <v>2019.0</v>
      </c>
      <c r="F18" s="111">
        <v>2018.0</v>
      </c>
      <c r="G18" s="111">
        <v>2017.0</v>
      </c>
      <c r="H18" s="111">
        <v>2016.0</v>
      </c>
      <c r="I18" s="111">
        <v>2015.0</v>
      </c>
      <c r="J18" s="111">
        <v>2014.0</v>
      </c>
      <c r="K18" s="111">
        <v>2013.0</v>
      </c>
    </row>
    <row r="19">
      <c r="A19" s="121" t="s">
        <v>147</v>
      </c>
      <c r="B19" s="113">
        <v>3.33</v>
      </c>
      <c r="C19" s="113">
        <v>-3.73</v>
      </c>
      <c r="D19" s="113">
        <v>1.04</v>
      </c>
      <c r="E19" s="113">
        <v>1.08</v>
      </c>
      <c r="F19" s="113">
        <v>1.41</v>
      </c>
      <c r="G19" s="113">
        <v>1.74</v>
      </c>
      <c r="H19" s="113">
        <v>1.09</v>
      </c>
      <c r="I19" s="113">
        <v>1.09</v>
      </c>
      <c r="J19" s="113">
        <v>1.01</v>
      </c>
      <c r="K19" s="113">
        <v>0.94</v>
      </c>
    </row>
    <row r="20">
      <c r="A20" s="16"/>
      <c r="B20" s="122"/>
      <c r="C20" s="16"/>
      <c r="D20" s="16"/>
      <c r="E20" s="16"/>
      <c r="F20" s="16"/>
      <c r="G20" s="16"/>
      <c r="H20" s="16"/>
      <c r="I20" s="16"/>
      <c r="J20" s="16"/>
      <c r="K20" s="16"/>
    </row>
    <row r="21">
      <c r="A21" s="2" t="s">
        <v>144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>
      <c r="A22" s="110" t="s">
        <v>83</v>
      </c>
      <c r="B22" s="111">
        <v>2022.0</v>
      </c>
      <c r="C22" s="111">
        <v>2021.0</v>
      </c>
      <c r="D22" s="111">
        <v>2020.0</v>
      </c>
      <c r="E22" s="111">
        <v>2019.0</v>
      </c>
      <c r="F22" s="111">
        <v>2018.0</v>
      </c>
      <c r="G22" s="111">
        <v>2017.0</v>
      </c>
      <c r="H22" s="111">
        <v>2016.0</v>
      </c>
      <c r="I22" s="111">
        <v>2015.0</v>
      </c>
      <c r="J22" s="111">
        <v>2014.0</v>
      </c>
      <c r="K22" s="111">
        <v>2013.0</v>
      </c>
    </row>
    <row r="23">
      <c r="A23" s="114" t="s">
        <v>117</v>
      </c>
      <c r="B23" s="113">
        <v>0.94</v>
      </c>
      <c r="C23" s="113">
        <v>0.94</v>
      </c>
      <c r="D23" s="113">
        <v>0.95</v>
      </c>
      <c r="E23" s="113">
        <v>0.0</v>
      </c>
      <c r="F23" s="113">
        <v>0.0</v>
      </c>
      <c r="G23" s="113">
        <v>0.0</v>
      </c>
      <c r="H23" s="113">
        <v>0.0</v>
      </c>
      <c r="I23" s="113">
        <v>0.0</v>
      </c>
      <c r="J23" s="113">
        <v>0.0</v>
      </c>
      <c r="K23" s="113">
        <v>0.0</v>
      </c>
    </row>
    <row r="25">
      <c r="A25" s="67" t="s">
        <v>109</v>
      </c>
    </row>
    <row r="26">
      <c r="A26" s="2" t="s">
        <v>143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>
      <c r="A27" s="110" t="s">
        <v>83</v>
      </c>
      <c r="B27" s="111">
        <v>2022.0</v>
      </c>
      <c r="C27" s="111">
        <v>2021.0</v>
      </c>
      <c r="D27" s="111">
        <v>2020.0</v>
      </c>
      <c r="E27" s="111">
        <v>2019.0</v>
      </c>
      <c r="F27" s="111">
        <v>2018.0</v>
      </c>
      <c r="G27" s="111">
        <v>2017.0</v>
      </c>
      <c r="H27" s="111">
        <v>2016.0</v>
      </c>
      <c r="I27" s="111">
        <v>2015.0</v>
      </c>
      <c r="J27" s="111">
        <v>2014.0</v>
      </c>
      <c r="K27" s="111">
        <v>2013.0</v>
      </c>
    </row>
    <row r="28">
      <c r="A28" s="121" t="s">
        <v>148</v>
      </c>
      <c r="B28" s="113">
        <v>0.67</v>
      </c>
      <c r="C28" s="113">
        <v>0.67</v>
      </c>
      <c r="D28" s="113">
        <v>0.65</v>
      </c>
      <c r="E28" s="113">
        <v>0.94</v>
      </c>
      <c r="F28" s="113">
        <v>0.93</v>
      </c>
      <c r="G28" s="113">
        <v>0.93</v>
      </c>
      <c r="H28" s="113">
        <v>0.92</v>
      </c>
      <c r="I28" s="113">
        <v>0.91</v>
      </c>
      <c r="J28" s="113">
        <v>0.91</v>
      </c>
      <c r="K28" s="113">
        <v>0.93</v>
      </c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>
      <c r="A30" s="2" t="s">
        <v>144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>
      <c r="A31" s="110" t="s">
        <v>83</v>
      </c>
      <c r="B31" s="111">
        <v>2022.0</v>
      </c>
      <c r="C31" s="111">
        <v>2021.0</v>
      </c>
      <c r="D31" s="111">
        <v>2020.0</v>
      </c>
      <c r="E31" s="111">
        <v>2019.0</v>
      </c>
      <c r="F31" s="111">
        <v>2018.0</v>
      </c>
      <c r="G31" s="111">
        <v>2017.0</v>
      </c>
      <c r="H31" s="111">
        <v>2016.0</v>
      </c>
      <c r="I31" s="111">
        <v>2015.0</v>
      </c>
      <c r="J31" s="111">
        <v>2014.0</v>
      </c>
      <c r="K31" s="111">
        <v>2013.0</v>
      </c>
    </row>
    <row r="32">
      <c r="A32" s="114" t="s">
        <v>149</v>
      </c>
      <c r="B32" s="114" t="s">
        <v>142</v>
      </c>
      <c r="C32" s="114">
        <v>-6.69</v>
      </c>
      <c r="D32" s="114">
        <v>40.4</v>
      </c>
      <c r="E32" s="114">
        <v>81.5</v>
      </c>
      <c r="F32" s="114">
        <v>53.4</v>
      </c>
      <c r="G32" s="114">
        <v>37.9</v>
      </c>
      <c r="H32" s="114">
        <v>30.7</v>
      </c>
      <c r="I32" s="114">
        <v>41.4</v>
      </c>
      <c r="J32" s="114">
        <v>41.9</v>
      </c>
      <c r="K32" s="114">
        <v>31.4</v>
      </c>
    </row>
    <row r="34">
      <c r="A34" s="67" t="s">
        <v>126</v>
      </c>
    </row>
    <row r="35">
      <c r="A35" s="2" t="s">
        <v>143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>
      <c r="A36" s="110" t="s">
        <v>83</v>
      </c>
      <c r="B36" s="111">
        <v>2022.0</v>
      </c>
      <c r="C36" s="111">
        <v>2021.0</v>
      </c>
      <c r="D36" s="111">
        <v>2020.0</v>
      </c>
      <c r="E36" s="111">
        <v>2019.0</v>
      </c>
      <c r="F36" s="111">
        <v>2018.0</v>
      </c>
      <c r="G36" s="111">
        <v>2017.0</v>
      </c>
      <c r="H36" s="111">
        <v>2016.0</v>
      </c>
      <c r="I36" s="111">
        <v>2015.0</v>
      </c>
      <c r="J36" s="111">
        <v>2014.0</v>
      </c>
      <c r="K36" s="111">
        <v>2013.0</v>
      </c>
    </row>
    <row r="37">
      <c r="A37" s="123" t="s">
        <v>150</v>
      </c>
      <c r="B37" s="124">
        <v>0.06</v>
      </c>
      <c r="C37" s="124">
        <v>-0.07</v>
      </c>
      <c r="D37" s="124">
        <v>0.16</v>
      </c>
      <c r="E37" s="124">
        <v>0.16</v>
      </c>
      <c r="F37" s="124">
        <v>0.13</v>
      </c>
      <c r="G37" s="124">
        <v>0.09</v>
      </c>
      <c r="H37" s="124">
        <v>0.12</v>
      </c>
      <c r="I37" s="124">
        <v>0.12</v>
      </c>
      <c r="J37" s="124">
        <v>0.13</v>
      </c>
      <c r="K37" s="124">
        <v>0.13</v>
      </c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>
      <c r="A39" s="2" t="s">
        <v>144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>
      <c r="A40" s="110" t="s">
        <v>83</v>
      </c>
      <c r="B40" s="111">
        <v>2022.0</v>
      </c>
      <c r="C40" s="111">
        <v>2021.0</v>
      </c>
      <c r="D40" s="111">
        <v>2020.0</v>
      </c>
      <c r="E40" s="111">
        <v>2019.0</v>
      </c>
      <c r="F40" s="111">
        <v>2018.0</v>
      </c>
      <c r="G40" s="111">
        <v>2017.0</v>
      </c>
      <c r="H40" s="111">
        <v>2016.0</v>
      </c>
      <c r="I40" s="111">
        <v>2015.0</v>
      </c>
      <c r="J40" s="111">
        <v>2014.0</v>
      </c>
      <c r="K40" s="111">
        <v>2013.0</v>
      </c>
    </row>
    <row r="41">
      <c r="A41" s="121" t="s">
        <v>134</v>
      </c>
      <c r="B41" s="113">
        <v>0.677</v>
      </c>
      <c r="C41" s="113">
        <v>0.512</v>
      </c>
      <c r="D41" s="113">
        <v>0.817</v>
      </c>
      <c r="E41" s="113">
        <v>1.181</v>
      </c>
      <c r="F41" s="113">
        <v>1.225</v>
      </c>
      <c r="G41" s="113">
        <v>1.282</v>
      </c>
      <c r="H41" s="113">
        <v>1.384</v>
      </c>
      <c r="I41" s="113">
        <v>1.644</v>
      </c>
      <c r="J41" s="113">
        <v>1.493</v>
      </c>
      <c r="K41" s="113">
        <v>1.629</v>
      </c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>
      <c r="A43" s="2" t="s">
        <v>151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>
      <c r="A44" s="110" t="s">
        <v>83</v>
      </c>
      <c r="B44" s="111">
        <v>2022.0</v>
      </c>
      <c r="C44" s="111">
        <v>2021.0</v>
      </c>
      <c r="D44" s="111">
        <v>2020.0</v>
      </c>
      <c r="E44" s="111">
        <v>2019.0</v>
      </c>
      <c r="F44" s="111">
        <v>2018.0</v>
      </c>
      <c r="G44" s="111">
        <v>2017.0</v>
      </c>
      <c r="H44" s="111">
        <v>2016.0</v>
      </c>
      <c r="I44" s="111">
        <v>2015.0</v>
      </c>
      <c r="J44" s="111">
        <v>2014.0</v>
      </c>
      <c r="K44" s="111">
        <v>2013.0</v>
      </c>
    </row>
    <row r="45">
      <c r="A45" s="121" t="s">
        <v>152</v>
      </c>
      <c r="B45" s="118">
        <v>1.336</v>
      </c>
      <c r="C45" s="118">
        <v>0.934</v>
      </c>
      <c r="D45" s="118">
        <v>1.675</v>
      </c>
      <c r="E45" s="118">
        <v>1.815</v>
      </c>
      <c r="F45" s="118">
        <v>1.874</v>
      </c>
      <c r="G45" s="118">
        <v>1.966</v>
      </c>
      <c r="H45" s="118">
        <v>2.192</v>
      </c>
      <c r="I45" s="118">
        <v>2.89</v>
      </c>
      <c r="J45" s="118">
        <v>2.678</v>
      </c>
      <c r="K45" s="125" t="s">
        <v>142</v>
      </c>
    </row>
  </sheetData>
  <mergeCells count="7">
    <mergeCell ref="E1:J1"/>
    <mergeCell ref="A2:B2"/>
    <mergeCell ref="A8:B8"/>
    <mergeCell ref="A12:B12"/>
    <mergeCell ref="A17:B17"/>
    <mergeCell ref="A25:B25"/>
    <mergeCell ref="A34:B3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4" max="4" width="23.14"/>
  </cols>
  <sheetData>
    <row r="1">
      <c r="A1" s="126" t="s">
        <v>153</v>
      </c>
    </row>
    <row r="3">
      <c r="A3" s="126" t="s">
        <v>154</v>
      </c>
    </row>
    <row r="4">
      <c r="B4" s="126" t="s">
        <v>155</v>
      </c>
      <c r="C4" s="74" t="s">
        <v>156</v>
      </c>
      <c r="D4" s="74" t="s">
        <v>157</v>
      </c>
    </row>
    <row r="5">
      <c r="A5" s="74" t="s">
        <v>158</v>
      </c>
      <c r="C5" s="127"/>
      <c r="D5" s="62"/>
    </row>
    <row r="6">
      <c r="A6" s="75">
        <v>2022.0</v>
      </c>
      <c r="B6" s="128">
        <v>3.06</v>
      </c>
      <c r="C6" s="129">
        <v>0.7</v>
      </c>
      <c r="D6" s="130">
        <v>11.73</v>
      </c>
    </row>
    <row r="7">
      <c r="A7" s="75">
        <v>2021.0</v>
      </c>
      <c r="B7" s="128">
        <v>3.7</v>
      </c>
      <c r="C7" s="129">
        <v>1.67</v>
      </c>
      <c r="D7" s="130">
        <v>10.98</v>
      </c>
    </row>
    <row r="8">
      <c r="A8" s="75">
        <v>2020.0</v>
      </c>
      <c r="B8" s="131">
        <v>3.18</v>
      </c>
      <c r="C8" s="132">
        <v>0.53</v>
      </c>
      <c r="D8" s="130">
        <v>12.92</v>
      </c>
    </row>
    <row r="9">
      <c r="A9" s="75">
        <v>2019.0</v>
      </c>
      <c r="B9" s="131">
        <v>1.67</v>
      </c>
      <c r="C9" s="130">
        <v>0.37</v>
      </c>
      <c r="D9" s="130">
        <v>12.64</v>
      </c>
    </row>
    <row r="10">
      <c r="A10" s="75">
        <v>2018.0</v>
      </c>
      <c r="B10" s="131">
        <v>2.88</v>
      </c>
      <c r="C10" s="130">
        <v>1.18</v>
      </c>
      <c r="D10" s="130">
        <v>13.08</v>
      </c>
    </row>
    <row r="11">
      <c r="A11" s="75">
        <v>2017.0</v>
      </c>
      <c r="B11" s="130">
        <v>3.19</v>
      </c>
      <c r="C11" s="130">
        <v>2.19</v>
      </c>
      <c r="D11" s="130">
        <v>12.73</v>
      </c>
    </row>
    <row r="12">
      <c r="A12" s="75">
        <v>2016.0</v>
      </c>
      <c r="B12" s="130">
        <v>1.31</v>
      </c>
      <c r="C12" s="130">
        <v>0.22</v>
      </c>
      <c r="D12" s="130">
        <v>12.99</v>
      </c>
    </row>
    <row r="13">
      <c r="A13" s="75">
        <v>2015.0</v>
      </c>
      <c r="B13" s="130">
        <v>1.64</v>
      </c>
      <c r="C13" s="132">
        <v>0.29</v>
      </c>
      <c r="D13" s="130">
        <v>12.14</v>
      </c>
    </row>
    <row r="14">
      <c r="A14" s="75">
        <v>2014.0</v>
      </c>
      <c r="B14" s="130">
        <v>1.39</v>
      </c>
      <c r="C14" s="130">
        <v>0.33</v>
      </c>
      <c r="D14" s="130">
        <v>12.86</v>
      </c>
    </row>
    <row r="15">
      <c r="A15" s="75">
        <v>2013.0</v>
      </c>
      <c r="B15" s="130">
        <v>1.28</v>
      </c>
      <c r="C15" s="130">
        <v>0.41</v>
      </c>
      <c r="D15" s="130">
        <v>12.93</v>
      </c>
    </row>
    <row r="17">
      <c r="A17" s="133" t="s">
        <v>159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2022-05-26T10:31:52Z</dcterms:created>
  <dc:creator>a</dc:creator>
</cp:coreProperties>
</file>