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e8ef0511f380c03/Documents/"/>
    </mc:Choice>
  </mc:AlternateContent>
  <xr:revisionPtr revIDLastSave="12" documentId="8_{7FD79522-FBFC-422B-85ED-928A2AB4FE7D}" xr6:coauthVersionLast="47" xr6:coauthVersionMax="47" xr10:uidLastSave="{D7F553C7-898C-4850-829B-963861ED3DB3}"/>
  <bookViews>
    <workbookView xWindow="-120" yWindow="-120" windowWidth="20730" windowHeight="11160" xr2:uid="{EADCB4EA-BFC8-4409-9BBB-A33C505FC909}"/>
  </bookViews>
  <sheets>
    <sheet name="Ques 1" sheetId="1" r:id="rId1"/>
    <sheet name="Ques 2" sheetId="2" r:id="rId2"/>
    <sheet name="Ques 3" sheetId="4" r:id="rId3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27" i="4" l="1"/>
  <c r="B6" i="2"/>
  <c r="B5" i="2"/>
  <c r="B4" i="2"/>
  <c r="B2" i="2"/>
  <c r="B1" i="2"/>
  <c r="AN6" i="4"/>
  <c r="AS6" i="4"/>
  <c r="B26" i="4"/>
  <c r="AS7" i="4"/>
  <c r="AS8" i="4"/>
  <c r="AS9" i="4"/>
  <c r="AS10" i="4"/>
  <c r="AS11" i="4"/>
  <c r="AS12" i="4"/>
  <c r="AS13" i="4"/>
  <c r="AS14" i="4"/>
  <c r="AS15" i="4"/>
  <c r="AS16" i="4"/>
  <c r="AS17" i="4"/>
  <c r="AS18" i="4"/>
  <c r="AS19" i="4"/>
  <c r="AS20" i="4"/>
  <c r="AS21" i="4"/>
  <c r="AS22" i="4"/>
  <c r="AS23" i="4"/>
  <c r="AS24" i="4"/>
  <c r="AC10" i="1"/>
  <c r="U13" i="4"/>
  <c r="U14" i="4"/>
  <c r="U15" i="4"/>
  <c r="U16" i="4"/>
  <c r="U17" i="4"/>
  <c r="U18" i="4"/>
  <c r="U19" i="4"/>
  <c r="U20" i="4"/>
  <c r="U21" i="4"/>
  <c r="U22" i="4"/>
  <c r="U23" i="4"/>
  <c r="U24" i="4"/>
  <c r="V9" i="4"/>
  <c r="V10" i="4"/>
  <c r="V11" i="4"/>
  <c r="V12" i="4"/>
  <c r="V13" i="4"/>
  <c r="V14" i="4"/>
  <c r="V15" i="4"/>
  <c r="V16" i="4"/>
  <c r="V17" i="4"/>
  <c r="V18" i="4"/>
  <c r="V19" i="4"/>
  <c r="AM19" i="4" s="1"/>
  <c r="AO19" i="4" s="1"/>
  <c r="AP19" i="4" s="1"/>
  <c r="V20" i="4"/>
  <c r="AM20" i="4" s="1"/>
  <c r="AO20" i="4" s="1"/>
  <c r="AP20" i="4" s="1"/>
  <c r="V21" i="4"/>
  <c r="V22" i="4"/>
  <c r="V23" i="4"/>
  <c r="AM23" i="4" s="1"/>
  <c r="AO23" i="4" s="1"/>
  <c r="AP23" i="4" s="1"/>
  <c r="V24" i="4"/>
  <c r="AM24" i="4" s="1"/>
  <c r="AO24" i="4" s="1"/>
  <c r="AP24" i="4" s="1"/>
  <c r="AC10" i="4"/>
  <c r="AC11" i="4" s="1"/>
  <c r="AC12" i="4" s="1"/>
  <c r="AC8" i="4"/>
  <c r="AC9" i="4" s="1"/>
  <c r="AH8" i="4"/>
  <c r="AH9" i="4"/>
  <c r="AH10" i="4"/>
  <c r="AH11" i="4"/>
  <c r="AH12" i="4"/>
  <c r="AH13" i="4"/>
  <c r="AH14" i="4"/>
  <c r="AH15" i="4"/>
  <c r="AH16" i="4"/>
  <c r="AH17" i="4"/>
  <c r="AH18" i="4"/>
  <c r="AH19" i="4"/>
  <c r="AH20" i="4"/>
  <c r="AH21" i="4"/>
  <c r="AH22" i="4"/>
  <c r="AH23" i="4"/>
  <c r="AH24" i="4"/>
  <c r="AN17" i="4"/>
  <c r="AN18" i="4"/>
  <c r="AN19" i="4"/>
  <c r="AN20" i="4"/>
  <c r="AN21" i="4"/>
  <c r="AN22" i="4"/>
  <c r="AN23" i="4"/>
  <c r="AN24" i="4"/>
  <c r="AM17" i="4"/>
  <c r="AO17" i="4" s="1"/>
  <c r="AP17" i="4" s="1"/>
  <c r="AM18" i="4"/>
  <c r="AO18" i="4" s="1"/>
  <c r="AP18" i="4" s="1"/>
  <c r="AM21" i="4"/>
  <c r="AO21" i="4" s="1"/>
  <c r="AP21" i="4" s="1"/>
  <c r="AM22" i="4"/>
  <c r="AO22" i="4" s="1"/>
  <c r="AP22" i="4" s="1"/>
  <c r="AL17" i="4"/>
  <c r="AL18" i="4"/>
  <c r="AL19" i="4"/>
  <c r="AL20" i="4"/>
  <c r="AL21" i="4"/>
  <c r="AL22" i="4"/>
  <c r="AL23" i="4"/>
  <c r="AL24" i="4"/>
  <c r="AK17" i="4"/>
  <c r="AK18" i="4"/>
  <c r="AK19" i="4"/>
  <c r="AK20" i="4"/>
  <c r="AK21" i="4" s="1"/>
  <c r="AK22" i="4" s="1"/>
  <c r="AK23" i="4" s="1"/>
  <c r="AK24" i="4" s="1"/>
  <c r="AJ17" i="4"/>
  <c r="AJ18" i="4"/>
  <c r="AJ19" i="4"/>
  <c r="AJ20" i="4"/>
  <c r="AJ21" i="4"/>
  <c r="AJ22" i="4"/>
  <c r="AJ23" i="4"/>
  <c r="AJ24" i="4"/>
  <c r="AI17" i="4"/>
  <c r="AI18" i="4"/>
  <c r="AI19" i="4"/>
  <c r="AI20" i="4"/>
  <c r="AI21" i="4"/>
  <c r="AI22" i="4"/>
  <c r="AI23" i="4"/>
  <c r="AI24" i="4"/>
  <c r="AG17" i="4"/>
  <c r="AG18" i="4"/>
  <c r="AG19" i="4"/>
  <c r="AG20" i="4"/>
  <c r="AG21" i="4"/>
  <c r="AG22" i="4"/>
  <c r="AG23" i="4"/>
  <c r="AG24" i="4"/>
  <c r="AF17" i="4"/>
  <c r="AF18" i="4"/>
  <c r="AF19" i="4"/>
  <c r="AF20" i="4"/>
  <c r="AF21" i="4"/>
  <c r="AF22" i="4"/>
  <c r="AF23" i="4"/>
  <c r="AF24" i="4"/>
  <c r="AE17" i="4"/>
  <c r="AE18" i="4" s="1"/>
  <c r="AE19" i="4" s="1"/>
  <c r="AE20" i="4" s="1"/>
  <c r="AE21" i="4" s="1"/>
  <c r="AE22" i="4" s="1"/>
  <c r="AE23" i="4" s="1"/>
  <c r="AE24" i="4" s="1"/>
  <c r="AD17" i="4"/>
  <c r="AD18" i="4" s="1"/>
  <c r="AD19" i="4" s="1"/>
  <c r="AD20" i="4" s="1"/>
  <c r="AD21" i="4" s="1"/>
  <c r="AD22" i="4" s="1"/>
  <c r="AD23" i="4" s="1"/>
  <c r="AD24" i="4" s="1"/>
  <c r="AB17" i="4"/>
  <c r="AB18" i="4" s="1"/>
  <c r="AB19" i="4" s="1"/>
  <c r="AB20" i="4" s="1"/>
  <c r="AB21" i="4" s="1"/>
  <c r="AB22" i="4" s="1"/>
  <c r="AB23" i="4" s="1"/>
  <c r="AB24" i="4" s="1"/>
  <c r="AA17" i="4"/>
  <c r="AA18" i="4" s="1"/>
  <c r="AA19" i="4" s="1"/>
  <c r="AA20" i="4" s="1"/>
  <c r="AA21" i="4" s="1"/>
  <c r="AA22" i="4" s="1"/>
  <c r="AA23" i="4" s="1"/>
  <c r="AA24" i="4" s="1"/>
  <c r="Z17" i="4"/>
  <c r="Z18" i="4"/>
  <c r="Z19" i="4"/>
  <c r="Z20" i="4"/>
  <c r="Z21" i="4"/>
  <c r="Z22" i="4"/>
  <c r="Z23" i="4"/>
  <c r="Z24" i="4"/>
  <c r="Y17" i="4"/>
  <c r="Y18" i="4"/>
  <c r="Y19" i="4"/>
  <c r="Y20" i="4"/>
  <c r="Y21" i="4"/>
  <c r="Y22" i="4"/>
  <c r="Y23" i="4"/>
  <c r="Y24" i="4"/>
  <c r="X17" i="4"/>
  <c r="X18" i="4" s="1"/>
  <c r="X19" i="4" s="1"/>
  <c r="X20" i="4" s="1"/>
  <c r="X21" i="4" s="1"/>
  <c r="X22" i="4" s="1"/>
  <c r="X23" i="4" s="1"/>
  <c r="X24" i="4" s="1"/>
  <c r="W17" i="4"/>
  <c r="W18" i="4" s="1"/>
  <c r="W19" i="4" s="1"/>
  <c r="W20" i="4" s="1"/>
  <c r="W21" i="4" s="1"/>
  <c r="W22" i="4" s="1"/>
  <c r="W23" i="4" s="1"/>
  <c r="W24" i="4" s="1"/>
  <c r="T17" i="4"/>
  <c r="T18" i="4"/>
  <c r="T19" i="4"/>
  <c r="T20" i="4"/>
  <c r="T21" i="4"/>
  <c r="T22" i="4"/>
  <c r="T23" i="4"/>
  <c r="T24" i="4"/>
  <c r="S16" i="4"/>
  <c r="S17" i="4" s="1"/>
  <c r="S18" i="4" s="1"/>
  <c r="S19" i="4" s="1"/>
  <c r="S20" i="4" s="1"/>
  <c r="S21" i="4" s="1"/>
  <c r="S22" i="4" s="1"/>
  <c r="S23" i="4" s="1"/>
  <c r="S24" i="4" s="1"/>
  <c r="R15" i="4"/>
  <c r="R16" i="4" s="1"/>
  <c r="R17" i="4" s="1"/>
  <c r="R18" i="4" s="1"/>
  <c r="R19" i="4" s="1"/>
  <c r="R20" i="4" s="1"/>
  <c r="R21" i="4" s="1"/>
  <c r="R22" i="4" s="1"/>
  <c r="R23" i="4" s="1"/>
  <c r="R24" i="4" s="1"/>
  <c r="Q17" i="4"/>
  <c r="Q18" i="4"/>
  <c r="Q19" i="4"/>
  <c r="Q20" i="4"/>
  <c r="Q21" i="4"/>
  <c r="Q22" i="4"/>
  <c r="Q23" i="4"/>
  <c r="Q24" i="4"/>
  <c r="P17" i="4"/>
  <c r="P18" i="4"/>
  <c r="P19" i="4"/>
  <c r="P20" i="4"/>
  <c r="P21" i="4" s="1"/>
  <c r="P22" i="4" s="1"/>
  <c r="P23" i="4" s="1"/>
  <c r="P24" i="4" s="1"/>
  <c r="O17" i="4"/>
  <c r="O18" i="4" s="1"/>
  <c r="O19" i="4" s="1"/>
  <c r="O20" i="4" s="1"/>
  <c r="O21" i="4" s="1"/>
  <c r="O22" i="4" s="1"/>
  <c r="O23" i="4" s="1"/>
  <c r="O24" i="4" s="1"/>
  <c r="N17" i="4"/>
  <c r="N18" i="4"/>
  <c r="N19" i="4"/>
  <c r="N20" i="4"/>
  <c r="N21" i="4" s="1"/>
  <c r="N22" i="4" s="1"/>
  <c r="N23" i="4" s="1"/>
  <c r="N24" i="4" s="1"/>
  <c r="M17" i="4"/>
  <c r="M18" i="4" s="1"/>
  <c r="M19" i="4" s="1"/>
  <c r="M20" i="4" s="1"/>
  <c r="M21" i="4" s="1"/>
  <c r="M22" i="4" s="1"/>
  <c r="M23" i="4" s="1"/>
  <c r="M24" i="4" s="1"/>
  <c r="L17" i="4"/>
  <c r="L18" i="4"/>
  <c r="L19" i="4" s="1"/>
  <c r="L20" i="4" s="1"/>
  <c r="L21" i="4" s="1"/>
  <c r="L22" i="4" s="1"/>
  <c r="L23" i="4" s="1"/>
  <c r="L24" i="4" s="1"/>
  <c r="C19" i="4"/>
  <c r="C20" i="4" s="1"/>
  <c r="O6" i="4" s="1"/>
  <c r="B19" i="4"/>
  <c r="B20" i="4" s="1"/>
  <c r="L6" i="4" s="1"/>
  <c r="AN16" i="4"/>
  <c r="AN15" i="4"/>
  <c r="AN14" i="4"/>
  <c r="AN13" i="4"/>
  <c r="AN12" i="4"/>
  <c r="AN11" i="4"/>
  <c r="AN10" i="4"/>
  <c r="AN9" i="4"/>
  <c r="AK9" i="4"/>
  <c r="AK10" i="4" s="1"/>
  <c r="AK11" i="4" s="1"/>
  <c r="AK12" i="4" s="1"/>
  <c r="AK13" i="4" s="1"/>
  <c r="AK14" i="4" s="1"/>
  <c r="AK15" i="4" s="1"/>
  <c r="AK16" i="4" s="1"/>
  <c r="X9" i="4"/>
  <c r="X10" i="4" s="1"/>
  <c r="X11" i="4" s="1"/>
  <c r="X12" i="4" s="1"/>
  <c r="X13" i="4" s="1"/>
  <c r="X14" i="4" s="1"/>
  <c r="X15" i="4" s="1"/>
  <c r="X16" i="4" s="1"/>
  <c r="P9" i="4"/>
  <c r="P10" i="4" s="1"/>
  <c r="P11" i="4" s="1"/>
  <c r="P12" i="4" s="1"/>
  <c r="P13" i="4" s="1"/>
  <c r="P14" i="4" s="1"/>
  <c r="P15" i="4" s="1"/>
  <c r="P16" i="4" s="1"/>
  <c r="AN8" i="4"/>
  <c r="AK8" i="4"/>
  <c r="R8" i="4"/>
  <c r="R9" i="4" s="1"/>
  <c r="P8" i="4"/>
  <c r="AN7" i="4"/>
  <c r="AD7" i="4"/>
  <c r="AD8" i="4" s="1"/>
  <c r="AD9" i="4" s="1"/>
  <c r="AD10" i="4" s="1"/>
  <c r="AD11" i="4" s="1"/>
  <c r="AD12" i="4" s="1"/>
  <c r="AD13" i="4" s="1"/>
  <c r="AD14" i="4" s="1"/>
  <c r="AD15" i="4" s="1"/>
  <c r="AD16" i="4" s="1"/>
  <c r="AC7" i="4"/>
  <c r="AB7" i="4"/>
  <c r="AB8" i="4" s="1"/>
  <c r="AB9" i="4" s="1"/>
  <c r="AB10" i="4" s="1"/>
  <c r="AB11" i="4" s="1"/>
  <c r="AB12" i="4" s="1"/>
  <c r="AB13" i="4" s="1"/>
  <c r="AB14" i="4" s="1"/>
  <c r="AB15" i="4" s="1"/>
  <c r="AB16" i="4" s="1"/>
  <c r="AA7" i="4"/>
  <c r="AA8" i="4" s="1"/>
  <c r="AA9" i="4" s="1"/>
  <c r="AA10" i="4" s="1"/>
  <c r="AA11" i="4" s="1"/>
  <c r="AA12" i="4" s="1"/>
  <c r="AA13" i="4" s="1"/>
  <c r="AA14" i="4" s="1"/>
  <c r="AA15" i="4" s="1"/>
  <c r="AA16" i="4" s="1"/>
  <c r="X7" i="4"/>
  <c r="X8" i="4" s="1"/>
  <c r="W7" i="4"/>
  <c r="W8" i="4" s="1"/>
  <c r="W9" i="4" s="1"/>
  <c r="W10" i="4" s="1"/>
  <c r="W11" i="4" s="1"/>
  <c r="W12" i="4" s="1"/>
  <c r="W13" i="4" s="1"/>
  <c r="W14" i="4" s="1"/>
  <c r="W15" i="4" s="1"/>
  <c r="W16" i="4" s="1"/>
  <c r="S7" i="4"/>
  <c r="R7" i="4"/>
  <c r="M7" i="4"/>
  <c r="M8" i="4" s="1"/>
  <c r="M9" i="4" s="1"/>
  <c r="M10" i="4" s="1"/>
  <c r="M11" i="4" s="1"/>
  <c r="M12" i="4" s="1"/>
  <c r="M13" i="4" s="1"/>
  <c r="M14" i="4" s="1"/>
  <c r="M15" i="4" s="1"/>
  <c r="M16" i="4" s="1"/>
  <c r="AK6" i="4"/>
  <c r="AK7" i="4" s="1"/>
  <c r="AE6" i="4"/>
  <c r="AE7" i="4" s="1"/>
  <c r="AE8" i="4" s="1"/>
  <c r="AE9" i="4" s="1"/>
  <c r="AE10" i="4" s="1"/>
  <c r="AE11" i="4" s="1"/>
  <c r="AE12" i="4" s="1"/>
  <c r="AE13" i="4" s="1"/>
  <c r="AE14" i="4" s="1"/>
  <c r="AE15" i="4" s="1"/>
  <c r="AE16" i="4" s="1"/>
  <c r="U6" i="4"/>
  <c r="T6" i="4"/>
  <c r="N6" i="4"/>
  <c r="M6" i="4"/>
  <c r="AR7" i="1"/>
  <c r="AR8" i="1"/>
  <c r="AR9" i="1"/>
  <c r="AR10" i="1"/>
  <c r="AR11" i="1"/>
  <c r="AR12" i="1"/>
  <c r="AR13" i="1"/>
  <c r="AR14" i="1"/>
  <c r="AR15" i="1"/>
  <c r="AR16" i="1"/>
  <c r="AR6" i="1"/>
  <c r="AQ7" i="1"/>
  <c r="AQ8" i="1"/>
  <c r="AQ9" i="1"/>
  <c r="AQ10" i="1"/>
  <c r="AQ11" i="1"/>
  <c r="AQ12" i="1"/>
  <c r="AQ13" i="1"/>
  <c r="AQ14" i="1"/>
  <c r="AQ15" i="1"/>
  <c r="AQ16" i="1"/>
  <c r="AQ6" i="1"/>
  <c r="AP7" i="1"/>
  <c r="AP8" i="1"/>
  <c r="AP9" i="1"/>
  <c r="AP10" i="1"/>
  <c r="AP11" i="1"/>
  <c r="AP12" i="1"/>
  <c r="AP13" i="1"/>
  <c r="AP14" i="1"/>
  <c r="AP15" i="1"/>
  <c r="AP16" i="1"/>
  <c r="AO7" i="1"/>
  <c r="AO8" i="1"/>
  <c r="AO9" i="1"/>
  <c r="AO10" i="1"/>
  <c r="AO11" i="1"/>
  <c r="AO12" i="1"/>
  <c r="AO13" i="1"/>
  <c r="AO14" i="1"/>
  <c r="AO15" i="1"/>
  <c r="AO16" i="1"/>
  <c r="AP6" i="1"/>
  <c r="AO6" i="1"/>
  <c r="AN7" i="1"/>
  <c r="AN8" i="1"/>
  <c r="AN9" i="1"/>
  <c r="AN10" i="1"/>
  <c r="AN11" i="1"/>
  <c r="AN12" i="1"/>
  <c r="AN13" i="1"/>
  <c r="AN14" i="1"/>
  <c r="AN15" i="1"/>
  <c r="AN16" i="1"/>
  <c r="AN6" i="1"/>
  <c r="AM8" i="1"/>
  <c r="AM9" i="1"/>
  <c r="AM10" i="1"/>
  <c r="AM11" i="1"/>
  <c r="AM12" i="1"/>
  <c r="AM13" i="1"/>
  <c r="AM14" i="1"/>
  <c r="AM15" i="1"/>
  <c r="AM16" i="1"/>
  <c r="AM7" i="1"/>
  <c r="AM6" i="1"/>
  <c r="AL7" i="1"/>
  <c r="AL8" i="1"/>
  <c r="AL9" i="1"/>
  <c r="AL10" i="1"/>
  <c r="AL11" i="1"/>
  <c r="AL12" i="1"/>
  <c r="AL13" i="1"/>
  <c r="AL14" i="1"/>
  <c r="AL15" i="1"/>
  <c r="AL16" i="1"/>
  <c r="AK8" i="1"/>
  <c r="AK9" i="1" s="1"/>
  <c r="AK10" i="1" s="1"/>
  <c r="AK11" i="1" s="1"/>
  <c r="AK12" i="1" s="1"/>
  <c r="AK13" i="1" s="1"/>
  <c r="AK14" i="1" s="1"/>
  <c r="AK15" i="1" s="1"/>
  <c r="AK16" i="1" s="1"/>
  <c r="AK7" i="1"/>
  <c r="AL6" i="1"/>
  <c r="AK6" i="1"/>
  <c r="AJ7" i="1"/>
  <c r="AJ8" i="1"/>
  <c r="AJ9" i="1"/>
  <c r="AJ10" i="1"/>
  <c r="AJ11" i="1"/>
  <c r="AJ12" i="1"/>
  <c r="AJ13" i="1"/>
  <c r="AJ14" i="1"/>
  <c r="AJ15" i="1"/>
  <c r="AJ16" i="1"/>
  <c r="AJ6" i="1"/>
  <c r="AI7" i="1"/>
  <c r="AI8" i="1"/>
  <c r="AI9" i="1"/>
  <c r="AI10" i="1"/>
  <c r="AI11" i="1"/>
  <c r="AI12" i="1"/>
  <c r="AI13" i="1"/>
  <c r="AI14" i="1"/>
  <c r="AI15" i="1"/>
  <c r="AI16" i="1"/>
  <c r="AI6" i="1"/>
  <c r="AH7" i="1"/>
  <c r="AH8" i="1"/>
  <c r="AH9" i="1"/>
  <c r="AH10" i="1"/>
  <c r="AH11" i="1"/>
  <c r="AH12" i="1"/>
  <c r="AH13" i="1"/>
  <c r="AH14" i="1"/>
  <c r="AH15" i="1"/>
  <c r="AH16" i="1"/>
  <c r="AH6" i="1"/>
  <c r="AG7" i="1"/>
  <c r="AG8" i="1"/>
  <c r="AG9" i="1"/>
  <c r="AG10" i="1"/>
  <c r="AG11" i="1"/>
  <c r="AG12" i="1"/>
  <c r="AG13" i="1"/>
  <c r="AG14" i="1"/>
  <c r="AG15" i="1"/>
  <c r="AG16" i="1"/>
  <c r="AG6" i="1"/>
  <c r="AF7" i="1"/>
  <c r="AF8" i="1"/>
  <c r="AF9" i="1"/>
  <c r="AF10" i="1"/>
  <c r="AF11" i="1"/>
  <c r="AF12" i="1"/>
  <c r="AF13" i="1"/>
  <c r="AF14" i="1"/>
  <c r="AF15" i="1"/>
  <c r="AF16" i="1"/>
  <c r="AF6" i="1"/>
  <c r="AC8" i="1"/>
  <c r="AC9" i="1" s="1"/>
  <c r="AC11" i="1" s="1"/>
  <c r="AC12" i="1" s="1"/>
  <c r="AC13" i="1" s="1"/>
  <c r="AC14" i="1" s="1"/>
  <c r="AC15" i="1" s="1"/>
  <c r="AC16" i="1" s="1"/>
  <c r="AC7" i="1"/>
  <c r="AE8" i="1"/>
  <c r="AE9" i="1" s="1"/>
  <c r="AE10" i="1" s="1"/>
  <c r="AE11" i="1" s="1"/>
  <c r="AE12" i="1" s="1"/>
  <c r="AE13" i="1" s="1"/>
  <c r="AE14" i="1" s="1"/>
  <c r="AE15" i="1" s="1"/>
  <c r="AE16" i="1" s="1"/>
  <c r="AD8" i="1"/>
  <c r="AD9" i="1"/>
  <c r="AD10" i="1"/>
  <c r="AD11" i="1"/>
  <c r="AD12" i="1" s="1"/>
  <c r="AD13" i="1" s="1"/>
  <c r="AD14" i="1" s="1"/>
  <c r="AD15" i="1" s="1"/>
  <c r="AD16" i="1" s="1"/>
  <c r="AB8" i="1"/>
  <c r="AB9" i="1" s="1"/>
  <c r="AB10" i="1" s="1"/>
  <c r="AB11" i="1" s="1"/>
  <c r="AB12" i="1" s="1"/>
  <c r="AB13" i="1" s="1"/>
  <c r="AB14" i="1" s="1"/>
  <c r="AB15" i="1" s="1"/>
  <c r="AB16" i="1" s="1"/>
  <c r="AE7" i="1"/>
  <c r="AD7" i="1"/>
  <c r="AE6" i="1"/>
  <c r="AB7" i="1"/>
  <c r="AA7" i="1"/>
  <c r="AA8" i="1" s="1"/>
  <c r="AA9" i="1" s="1"/>
  <c r="AA10" i="1" s="1"/>
  <c r="AA11" i="1" s="1"/>
  <c r="AA12" i="1" s="1"/>
  <c r="AA13" i="1" s="1"/>
  <c r="AA14" i="1" s="1"/>
  <c r="AA15" i="1" s="1"/>
  <c r="AA16" i="1" s="1"/>
  <c r="W7" i="1"/>
  <c r="W8" i="1" s="1"/>
  <c r="W9" i="1" s="1"/>
  <c r="W10" i="1" s="1"/>
  <c r="W11" i="1" s="1"/>
  <c r="W12" i="1" s="1"/>
  <c r="W13" i="1" s="1"/>
  <c r="W14" i="1" s="1"/>
  <c r="W15" i="1" s="1"/>
  <c r="W16" i="1" s="1"/>
  <c r="X7" i="1"/>
  <c r="X8" i="1" s="1"/>
  <c r="X9" i="1" s="1"/>
  <c r="X10" i="1" s="1"/>
  <c r="X11" i="1" s="1"/>
  <c r="X12" i="1" s="1"/>
  <c r="X13" i="1" s="1"/>
  <c r="X14" i="1" s="1"/>
  <c r="X15" i="1" s="1"/>
  <c r="X16" i="1" s="1"/>
  <c r="T7" i="1"/>
  <c r="T6" i="1"/>
  <c r="R7" i="1"/>
  <c r="R8" i="1" s="1"/>
  <c r="S7" i="1"/>
  <c r="S8" i="1" s="1"/>
  <c r="P8" i="1"/>
  <c r="P9" i="1" s="1"/>
  <c r="P10" i="1" s="1"/>
  <c r="P11" i="1" s="1"/>
  <c r="P12" i="1" s="1"/>
  <c r="P13" i="1" s="1"/>
  <c r="P14" i="1" s="1"/>
  <c r="P15" i="1" s="1"/>
  <c r="P16" i="1" s="1"/>
  <c r="C19" i="1"/>
  <c r="C20" i="1" s="1"/>
  <c r="M6" i="1" s="1"/>
  <c r="M7" i="1" s="1"/>
  <c r="M8" i="1" s="1"/>
  <c r="M9" i="1" s="1"/>
  <c r="M10" i="1" s="1"/>
  <c r="M11" i="1" s="1"/>
  <c r="M12" i="1" s="1"/>
  <c r="M13" i="1" s="1"/>
  <c r="M14" i="1" s="1"/>
  <c r="M15" i="1" s="1"/>
  <c r="M16" i="1" s="1"/>
  <c r="B19" i="1"/>
  <c r="B20" i="1" s="1"/>
  <c r="AC13" i="4" l="1"/>
  <c r="AC14" i="4" s="1"/>
  <c r="AC15" i="4" s="1"/>
  <c r="AC16" i="4" s="1"/>
  <c r="AC17" i="4" s="1"/>
  <c r="AC18" i="4" s="1"/>
  <c r="AC19" i="4" s="1"/>
  <c r="AC20" i="4" s="1"/>
  <c r="AC21" i="4" s="1"/>
  <c r="AC22" i="4" s="1"/>
  <c r="AC23" i="4" s="1"/>
  <c r="AC24" i="4" s="1"/>
  <c r="AQ23" i="4"/>
  <c r="AR23" i="4" s="1"/>
  <c r="AQ19" i="4"/>
  <c r="AR19" i="4" s="1"/>
  <c r="AQ22" i="4"/>
  <c r="AR22" i="4" s="1"/>
  <c r="AQ18" i="4"/>
  <c r="AR18" i="4" s="1"/>
  <c r="AQ21" i="4"/>
  <c r="AR21" i="4" s="1"/>
  <c r="AQ17" i="4"/>
  <c r="AR17" i="4" s="1"/>
  <c r="AQ24" i="4"/>
  <c r="AR24" i="4" s="1"/>
  <c r="AQ20" i="4"/>
  <c r="AR20" i="4" s="1"/>
  <c r="R10" i="4"/>
  <c r="S8" i="4"/>
  <c r="T7" i="4"/>
  <c r="L7" i="4"/>
  <c r="Y6" i="4"/>
  <c r="AF6" i="4" s="1"/>
  <c r="N7" i="4"/>
  <c r="U7" i="4"/>
  <c r="Q6" i="4"/>
  <c r="Z6" i="4" s="1"/>
  <c r="O7" i="4"/>
  <c r="T8" i="1"/>
  <c r="S9" i="1"/>
  <c r="S10" i="1" s="1"/>
  <c r="T10" i="1" s="1"/>
  <c r="R9" i="1"/>
  <c r="L6" i="1"/>
  <c r="N6" i="1"/>
  <c r="O6" i="1"/>
  <c r="AG6" i="4" l="1"/>
  <c r="AL6" i="4"/>
  <c r="V6" i="4"/>
  <c r="N8" i="4"/>
  <c r="S9" i="4"/>
  <c r="T8" i="4"/>
  <c r="L8" i="4"/>
  <c r="Y7" i="4"/>
  <c r="AF7" i="4" s="1"/>
  <c r="Q7" i="4"/>
  <c r="V7" i="4" s="1"/>
  <c r="O8" i="4"/>
  <c r="R11" i="4"/>
  <c r="S11" i="1"/>
  <c r="T9" i="1"/>
  <c r="O7" i="1"/>
  <c r="Q6" i="1"/>
  <c r="Z6" i="1" s="1"/>
  <c r="R10" i="1"/>
  <c r="N7" i="1"/>
  <c r="S12" i="1"/>
  <c r="T11" i="1"/>
  <c r="L7" i="1"/>
  <c r="U6" i="1"/>
  <c r="Y6" i="1"/>
  <c r="N9" i="4" l="1"/>
  <c r="Z8" i="4"/>
  <c r="V8" i="4"/>
  <c r="R12" i="4"/>
  <c r="S10" i="4"/>
  <c r="T9" i="4"/>
  <c r="Z7" i="4"/>
  <c r="O9" i="4"/>
  <c r="Q8" i="4"/>
  <c r="L9" i="4"/>
  <c r="U8" i="4"/>
  <c r="Y8" i="4"/>
  <c r="AF8" i="4" s="1"/>
  <c r="AJ6" i="4"/>
  <c r="AI6" i="4"/>
  <c r="AH6" i="4"/>
  <c r="AM6" i="4" s="1"/>
  <c r="AO6" i="4" s="1"/>
  <c r="AP6" i="4" s="1"/>
  <c r="V6" i="1"/>
  <c r="L8" i="1"/>
  <c r="Y7" i="1"/>
  <c r="U7" i="1"/>
  <c r="N8" i="1"/>
  <c r="R11" i="1"/>
  <c r="S13" i="1"/>
  <c r="T12" i="1"/>
  <c r="O8" i="1"/>
  <c r="Q7" i="1"/>
  <c r="Z7" i="1" s="1"/>
  <c r="AQ6" i="4" l="1"/>
  <c r="AR6" i="4" s="1"/>
  <c r="AL8" i="4"/>
  <c r="AG8" i="4"/>
  <c r="Y9" i="4"/>
  <c r="AF9" i="4" s="1"/>
  <c r="L10" i="4"/>
  <c r="U9" i="4"/>
  <c r="R13" i="4"/>
  <c r="N10" i="4"/>
  <c r="AG7" i="4"/>
  <c r="AL7" i="4"/>
  <c r="Q9" i="4"/>
  <c r="O10" i="4"/>
  <c r="S11" i="4"/>
  <c r="T10" i="4"/>
  <c r="V7" i="1"/>
  <c r="O9" i="1"/>
  <c r="Q8" i="1"/>
  <c r="V8" i="1" s="1"/>
  <c r="N9" i="1"/>
  <c r="R12" i="1"/>
  <c r="S14" i="1"/>
  <c r="T13" i="1"/>
  <c r="L9" i="1"/>
  <c r="Y8" i="1"/>
  <c r="U8" i="1"/>
  <c r="Z9" i="4" l="1"/>
  <c r="R14" i="4"/>
  <c r="AJ8" i="4"/>
  <c r="AI8" i="4"/>
  <c r="AM8" i="4"/>
  <c r="AO8" i="4" s="1"/>
  <c r="AP8" i="4" s="1"/>
  <c r="N11" i="4"/>
  <c r="S12" i="4"/>
  <c r="T11" i="4"/>
  <c r="AJ7" i="4"/>
  <c r="AI7" i="4"/>
  <c r="AH7" i="4"/>
  <c r="L11" i="4"/>
  <c r="Y10" i="4"/>
  <c r="AF10" i="4" s="1"/>
  <c r="U10" i="4"/>
  <c r="Q10" i="4"/>
  <c r="Z10" i="4" s="1"/>
  <c r="O11" i="4"/>
  <c r="Z8" i="1"/>
  <c r="L10" i="1"/>
  <c r="Y9" i="1"/>
  <c r="U9" i="1"/>
  <c r="N10" i="1"/>
  <c r="R13" i="1"/>
  <c r="S15" i="1"/>
  <c r="T14" i="1"/>
  <c r="O10" i="1"/>
  <c r="Q9" i="1"/>
  <c r="Z9" i="1" s="1"/>
  <c r="AL10" i="4" l="1"/>
  <c r="AG10" i="4"/>
  <c r="AQ8" i="4"/>
  <c r="AR8" i="4" s="1"/>
  <c r="Q11" i="4"/>
  <c r="O12" i="4"/>
  <c r="AM7" i="4"/>
  <c r="AO7" i="4" s="1"/>
  <c r="AP7" i="4" s="1"/>
  <c r="AL9" i="4"/>
  <c r="AG9" i="4"/>
  <c r="L12" i="4"/>
  <c r="Y11" i="4"/>
  <c r="AF11" i="4" s="1"/>
  <c r="U11" i="4"/>
  <c r="N12" i="4"/>
  <c r="Z11" i="4"/>
  <c r="S13" i="4"/>
  <c r="T12" i="4"/>
  <c r="V9" i="1"/>
  <c r="O11" i="1"/>
  <c r="Q10" i="1"/>
  <c r="V10" i="1" s="1"/>
  <c r="N11" i="1"/>
  <c r="R14" i="1"/>
  <c r="S16" i="1"/>
  <c r="T16" i="1" s="1"/>
  <c r="T15" i="1"/>
  <c r="L11" i="1"/>
  <c r="Y10" i="1"/>
  <c r="U10" i="1"/>
  <c r="S14" i="4" l="1"/>
  <c r="T13" i="4"/>
  <c r="AQ7" i="4"/>
  <c r="AR7" i="4" s="1"/>
  <c r="AG11" i="4"/>
  <c r="AL11" i="4"/>
  <c r="O13" i="4"/>
  <c r="Q12" i="4"/>
  <c r="Z12" i="4" s="1"/>
  <c r="N13" i="4"/>
  <c r="AI9" i="4"/>
  <c r="AJ9" i="4"/>
  <c r="AI10" i="4"/>
  <c r="AJ10" i="4"/>
  <c r="L13" i="4"/>
  <c r="Y12" i="4"/>
  <c r="AF12" i="4" s="1"/>
  <c r="U12" i="4"/>
  <c r="Z10" i="1"/>
  <c r="L12" i="1"/>
  <c r="Y11" i="1"/>
  <c r="U11" i="1"/>
  <c r="N12" i="1"/>
  <c r="R15" i="1"/>
  <c r="O12" i="1"/>
  <c r="Q11" i="1"/>
  <c r="Z11" i="1" s="1"/>
  <c r="AL12" i="4" l="1"/>
  <c r="AG12" i="4"/>
  <c r="AM10" i="4"/>
  <c r="AO10" i="4" s="1"/>
  <c r="AP10" i="4" s="1"/>
  <c r="Q13" i="4"/>
  <c r="Z13" i="4" s="1"/>
  <c r="O14" i="4"/>
  <c r="Y13" i="4"/>
  <c r="AF13" i="4" s="1"/>
  <c r="L14" i="4"/>
  <c r="AM9" i="4"/>
  <c r="AO9" i="4" s="1"/>
  <c r="AP9" i="4" s="1"/>
  <c r="N14" i="4"/>
  <c r="AJ11" i="4"/>
  <c r="AI11" i="4"/>
  <c r="T14" i="4"/>
  <c r="S15" i="4"/>
  <c r="N13" i="1"/>
  <c r="R16" i="1"/>
  <c r="O13" i="1"/>
  <c r="Q12" i="1"/>
  <c r="Z12" i="1" s="1"/>
  <c r="V11" i="1"/>
  <c r="L13" i="1"/>
  <c r="Y12" i="1"/>
  <c r="U12" i="1"/>
  <c r="AL13" i="4" l="1"/>
  <c r="AG13" i="4"/>
  <c r="AQ10" i="4"/>
  <c r="AR10" i="4"/>
  <c r="L15" i="4"/>
  <c r="Y14" i="4"/>
  <c r="AF14" i="4" s="1"/>
  <c r="AM11" i="4"/>
  <c r="AO11" i="4" s="1"/>
  <c r="AP11" i="4" s="1"/>
  <c r="N15" i="4"/>
  <c r="AJ12" i="4"/>
  <c r="AM12" i="4" s="1"/>
  <c r="AO12" i="4" s="1"/>
  <c r="AP12" i="4" s="1"/>
  <c r="AI12" i="4"/>
  <c r="T16" i="4"/>
  <c r="T15" i="4"/>
  <c r="AQ9" i="4"/>
  <c r="AR9" i="4"/>
  <c r="Q14" i="4"/>
  <c r="Z14" i="4" s="1"/>
  <c r="O15" i="4"/>
  <c r="O14" i="1"/>
  <c r="Q13" i="1"/>
  <c r="Z13" i="1" s="1"/>
  <c r="V12" i="1"/>
  <c r="L14" i="1"/>
  <c r="Y13" i="1"/>
  <c r="U13" i="1"/>
  <c r="N14" i="1"/>
  <c r="AQ12" i="4" l="1"/>
  <c r="AR12" i="4" s="1"/>
  <c r="AL14" i="4"/>
  <c r="AG14" i="4"/>
  <c r="AQ11" i="4"/>
  <c r="AR11" i="4" s="1"/>
  <c r="N16" i="4"/>
  <c r="AI13" i="4"/>
  <c r="AM13" i="4"/>
  <c r="AO13" i="4" s="1"/>
  <c r="AP13" i="4" s="1"/>
  <c r="AJ13" i="4"/>
  <c r="Q15" i="4"/>
  <c r="Z15" i="4" s="1"/>
  <c r="O16" i="4"/>
  <c r="Q16" i="4" s="1"/>
  <c r="L16" i="4"/>
  <c r="Y15" i="4"/>
  <c r="AF15" i="4" s="1"/>
  <c r="V13" i="1"/>
  <c r="O15" i="1"/>
  <c r="Q14" i="1"/>
  <c r="V14" i="1" s="1"/>
  <c r="L15" i="1"/>
  <c r="Y14" i="1"/>
  <c r="U14" i="1"/>
  <c r="N15" i="1"/>
  <c r="Z14" i="1"/>
  <c r="AQ13" i="4" l="1"/>
  <c r="AR13" i="4" s="1"/>
  <c r="AG15" i="4"/>
  <c r="AL15" i="4"/>
  <c r="Y16" i="4"/>
  <c r="AF16" i="4" s="1"/>
  <c r="Z16" i="4"/>
  <c r="AM14" i="4"/>
  <c r="AO14" i="4" s="1"/>
  <c r="AP14" i="4" s="1"/>
  <c r="AI14" i="4"/>
  <c r="AJ14" i="4"/>
  <c r="L16" i="1"/>
  <c r="Y15" i="1"/>
  <c r="U15" i="1"/>
  <c r="O16" i="1"/>
  <c r="Q16" i="1" s="1"/>
  <c r="Q15" i="1"/>
  <c r="Z15" i="1" s="1"/>
  <c r="N16" i="1"/>
  <c r="V15" i="1"/>
  <c r="AQ14" i="4" l="1"/>
  <c r="AR14" i="4" s="1"/>
  <c r="AJ15" i="4"/>
  <c r="AM15" i="4" s="1"/>
  <c r="AO15" i="4" s="1"/>
  <c r="AP15" i="4" s="1"/>
  <c r="AI15" i="4"/>
  <c r="AL16" i="4"/>
  <c r="AG16" i="4"/>
  <c r="Z16" i="1"/>
  <c r="V16" i="1"/>
  <c r="Y16" i="1"/>
  <c r="U16" i="1"/>
  <c r="AQ15" i="4" l="1"/>
  <c r="AR15" i="4" s="1"/>
  <c r="AJ16" i="4"/>
  <c r="AI16" i="4"/>
  <c r="AM16" i="4" l="1"/>
  <c r="AO16" i="4" s="1"/>
  <c r="AP16" i="4" s="1"/>
  <c r="AQ16" i="4" l="1"/>
  <c r="AR16" i="4" s="1"/>
</calcChain>
</file>

<file path=xl/sharedStrings.xml><?xml version="1.0" encoding="utf-8"?>
<sst xmlns="http://schemas.openxmlformats.org/spreadsheetml/2006/main" count="143" uniqueCount="64">
  <si>
    <t>Taxes</t>
  </si>
  <si>
    <t>Inflation</t>
  </si>
  <si>
    <t>US Bond Rate</t>
  </si>
  <si>
    <t>Cost of capital</t>
  </si>
  <si>
    <t>Charges (paticipants without alterium)</t>
  </si>
  <si>
    <t>Charges (paticipants with alterium)</t>
  </si>
  <si>
    <t>participants</t>
  </si>
  <si>
    <t xml:space="preserve">USA and Russia </t>
  </si>
  <si>
    <t>International</t>
  </si>
  <si>
    <t>no of participants (universal swaps)</t>
  </si>
  <si>
    <t xml:space="preserve">USA and russia </t>
  </si>
  <si>
    <t>interntional</t>
  </si>
  <si>
    <t xml:space="preserve">YEAR </t>
  </si>
  <si>
    <t>TIME</t>
  </si>
  <si>
    <t>R &amp; D Expenses</t>
  </si>
  <si>
    <t>Introductory Costs</t>
  </si>
  <si>
    <t>US &amp; Russia</t>
  </si>
  <si>
    <t>US and Russia</t>
  </si>
  <si>
    <t>Inter-national</t>
  </si>
  <si>
    <t>Iternationals (universal swaps)</t>
  </si>
  <si>
    <t>Total participants</t>
  </si>
  <si>
    <t>Cost to Company(Per Participant)</t>
  </si>
  <si>
    <t>Pricing and unit costs</t>
  </si>
  <si>
    <t>total amout paid by company</t>
  </si>
  <si>
    <t>cost to per participant</t>
  </si>
  <si>
    <t xml:space="preserve">total cost </t>
  </si>
  <si>
    <t xml:space="preserve">G&amp;A expenses </t>
  </si>
  <si>
    <t>Advertising expenses</t>
  </si>
  <si>
    <t>total revenue</t>
  </si>
  <si>
    <t>working capital(with alterium)</t>
  </si>
  <si>
    <t>universal swaps</t>
  </si>
  <si>
    <t>Server Facilities and Costs</t>
  </si>
  <si>
    <t>firm expense</t>
  </si>
  <si>
    <t>only alterium expense</t>
  </si>
  <si>
    <t xml:space="preserve">expense for only old pool </t>
  </si>
  <si>
    <t xml:space="preserve">total expense after new pool </t>
  </si>
  <si>
    <t>revenue genrated</t>
  </si>
  <si>
    <t xml:space="preserve">Inventory </t>
  </si>
  <si>
    <t>Accounts payable</t>
  </si>
  <si>
    <t>side benefits</t>
  </si>
  <si>
    <t xml:space="preserve">intrest on debt </t>
  </si>
  <si>
    <t>total cost (including debt)</t>
  </si>
  <si>
    <t>ptofits made</t>
  </si>
  <si>
    <t xml:space="preserve"> tax </t>
  </si>
  <si>
    <t>after tax increment profit</t>
  </si>
  <si>
    <t>intrest bearing debt amount</t>
  </si>
  <si>
    <t>PV of all cash flows at t=0</t>
  </si>
  <si>
    <t>NPV</t>
  </si>
  <si>
    <t>IRR</t>
  </si>
  <si>
    <t>PV of all cash flows</t>
  </si>
  <si>
    <t>Book value at of the amount spent on infrastructure</t>
  </si>
  <si>
    <t>Book value of the server</t>
  </si>
  <si>
    <t xml:space="preserve">Cost of capital </t>
  </si>
  <si>
    <t>Total value of assets</t>
  </si>
  <si>
    <t xml:space="preserve">NPV </t>
  </si>
  <si>
    <t>NPV of assets</t>
  </si>
  <si>
    <t>without alterium</t>
  </si>
  <si>
    <t xml:space="preserve">with alterium </t>
  </si>
  <si>
    <t>Without alterium</t>
  </si>
  <si>
    <t>With alterium</t>
  </si>
  <si>
    <t>New participents in the alterium</t>
  </si>
  <si>
    <t>with alterium</t>
  </si>
  <si>
    <t>alterium</t>
  </si>
  <si>
    <t>total cost (with alterium)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</si>
</sst>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[$$-409]#,##0.00"/>
    <numFmt numFmtId="165" formatCode="_(&quot;$&quot;* #,##0.00000000000000000000_);_(&quot;$&quot;* \(#,##0.00000000000000000000\);_(&quot;$&quot;* &quot;-&quot;??_);_(@_)"/>
    <numFmt numFmtId="166" formatCode="_(&quot;$&quot;* #,##0.0000_);_(&quot;$&quot;* \(#,##0.000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1" fillId="2" borderId="6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0" fillId="0" borderId="4" xfId="0" applyBorder="1" applyAlignment="1">
      <alignment horizontal="left" vertical="center"/>
    </xf>
    <xf numFmtId="0" fontId="0" fillId="0" borderId="0" xfId="0"/>
    <xf numFmtId="0" fontId="0" fillId="0" borderId="1" xfId="0" applyBorder="1"/>
    <xf numFmtId="0" fontId="2" fillId="0" borderId="0" xfId="0" applyFont="1" applyBorder="1" applyAlignment="1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164" fontId="2" fillId="0" borderId="1" xfId="0" applyNumberFormat="1" applyFont="1" applyBorder="1" applyAlignment="1">
      <alignment horizontal="center" vertical="center"/>
    </xf>
    <xf numFmtId="44" fontId="0" fillId="0" borderId="1" xfId="1" applyFont="1" applyBorder="1"/>
    <xf numFmtId="44" fontId="0" fillId="0" borderId="1" xfId="0" applyNumberFormat="1" applyBorder="1"/>
    <xf numFmtId="44" fontId="0" fillId="0" borderId="1" xfId="0" applyNumberFormat="1" applyBorder="1" applyAlignment="1">
      <alignment horizontal="left" indent="1"/>
    </xf>
    <xf numFmtId="0" fontId="0" fillId="0" borderId="0" xfId="0" applyBorder="1"/>
    <xf numFmtId="0" fontId="0" fillId="0" borderId="0" xfId="0" applyBorder="1" applyAlignment="1">
      <alignment horizontal="left" vertical="center"/>
    </xf>
    <xf numFmtId="0" fontId="0" fillId="4" borderId="2" xfId="0" applyFill="1" applyBorder="1" applyAlignment="1">
      <alignment horizontal="left" vertical="center"/>
    </xf>
    <xf numFmtId="0" fontId="0" fillId="4" borderId="3" xfId="0" applyFill="1" applyBorder="1" applyAlignment="1">
      <alignment horizontal="left" vertical="center"/>
    </xf>
    <xf numFmtId="0" fontId="0" fillId="4" borderId="1" xfId="0" applyFill="1" applyBorder="1" applyAlignment="1">
      <alignment horizontal="left" vertical="center"/>
    </xf>
    <xf numFmtId="9" fontId="0" fillId="4" borderId="1" xfId="0" applyNumberFormat="1" applyFill="1" applyBorder="1" applyAlignment="1">
      <alignment horizontal="left" vertical="center"/>
    </xf>
    <xf numFmtId="0" fontId="0" fillId="5" borderId="1" xfId="0" applyFill="1" applyBorder="1" applyAlignment="1">
      <alignment horizontal="center"/>
    </xf>
    <xf numFmtId="0" fontId="0" fillId="5" borderId="1" xfId="0" applyFill="1" applyBorder="1"/>
    <xf numFmtId="0" fontId="0" fillId="5" borderId="1" xfId="0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 wrapText="1"/>
    </xf>
    <xf numFmtId="164" fontId="4" fillId="6" borderId="7" xfId="0" applyNumberFormat="1" applyFont="1" applyFill="1" applyBorder="1" applyAlignment="1">
      <alignment horizontal="center" vertical="center"/>
    </xf>
    <xf numFmtId="0" fontId="0" fillId="3" borderId="7" xfId="0" applyFill="1" applyBorder="1"/>
    <xf numFmtId="9" fontId="0" fillId="3" borderId="7" xfId="0" applyNumberFormat="1" applyFill="1" applyBorder="1" applyAlignment="1">
      <alignment vertical="center"/>
    </xf>
    <xf numFmtId="10" fontId="0" fillId="3" borderId="7" xfId="0" applyNumberFormat="1" applyFill="1" applyBorder="1" applyAlignment="1">
      <alignment vertical="center"/>
    </xf>
    <xf numFmtId="9" fontId="0" fillId="3" borderId="7" xfId="0" applyNumberFormat="1" applyFill="1" applyBorder="1" applyAlignment="1"/>
    <xf numFmtId="0" fontId="0" fillId="3" borderId="7" xfId="0" applyFont="1" applyFill="1" applyBorder="1" applyAlignment="1">
      <alignment horizontal="left" vertical="center"/>
    </xf>
    <xf numFmtId="164" fontId="0" fillId="3" borderId="7" xfId="0" applyNumberFormat="1" applyFill="1" applyBorder="1" applyAlignment="1">
      <alignment vertical="center"/>
    </xf>
    <xf numFmtId="0" fontId="0" fillId="3" borderId="7" xfId="0" applyFill="1" applyBorder="1" applyAlignment="1">
      <alignment horizontal="left" vertical="center"/>
    </xf>
    <xf numFmtId="164" fontId="0" fillId="0" borderId="1" xfId="0" applyNumberFormat="1" applyBorder="1"/>
    <xf numFmtId="0" fontId="2" fillId="0" borderId="0" xfId="0" applyFont="1"/>
    <xf numFmtId="0" fontId="2" fillId="0" borderId="0" xfId="0" applyFont="1" applyBorder="1" applyAlignment="1">
      <alignment vertical="center"/>
    </xf>
    <xf numFmtId="0" fontId="2" fillId="0" borderId="0" xfId="0" applyFont="1" applyBorder="1"/>
    <xf numFmtId="164" fontId="2" fillId="0" borderId="0" xfId="0" applyNumberFormat="1" applyFont="1" applyBorder="1" applyAlignment="1"/>
    <xf numFmtId="0" fontId="2" fillId="0" borderId="1" xfId="0" applyFont="1" applyBorder="1"/>
    <xf numFmtId="0" fontId="0" fillId="0" borderId="1" xfId="1" applyNumberFormat="1" applyFont="1" applyBorder="1"/>
    <xf numFmtId="0" fontId="0" fillId="0" borderId="3" xfId="0" applyBorder="1"/>
    <xf numFmtId="0" fontId="0" fillId="0" borderId="5" xfId="0" applyBorder="1"/>
    <xf numFmtId="0" fontId="0" fillId="0" borderId="7" xfId="0" applyFill="1" applyBorder="1"/>
    <xf numFmtId="44" fontId="0" fillId="0" borderId="2" xfId="0" applyNumberFormat="1" applyBorder="1"/>
    <xf numFmtId="164" fontId="2" fillId="0" borderId="5" xfId="0" applyNumberFormat="1" applyFont="1" applyBorder="1" applyAlignment="1">
      <alignment horizontal="center" vertical="center"/>
    </xf>
    <xf numFmtId="44" fontId="0" fillId="0" borderId="7" xfId="0" applyNumberFormat="1" applyBorder="1"/>
    <xf numFmtId="0" fontId="0" fillId="7" borderId="1" xfId="0" applyFill="1" applyBorder="1" applyAlignment="1">
      <alignment horizontal="center" vertical="center"/>
    </xf>
    <xf numFmtId="0" fontId="0" fillId="7" borderId="1" xfId="0" applyFill="1" applyBorder="1"/>
    <xf numFmtId="0" fontId="0" fillId="7" borderId="1" xfId="0" applyFill="1" applyBorder="1" applyAlignment="1">
      <alignment horizontal="center"/>
    </xf>
    <xf numFmtId="0" fontId="4" fillId="8" borderId="7" xfId="0" applyFont="1" applyFill="1" applyBorder="1" applyAlignment="1">
      <alignment horizontal="center" vertical="center" wrapText="1"/>
    </xf>
    <xf numFmtId="164" fontId="4" fillId="8" borderId="7" xfId="0" applyNumberFormat="1" applyFont="1" applyFill="1" applyBorder="1" applyAlignment="1">
      <alignment horizontal="center" vertical="center"/>
    </xf>
    <xf numFmtId="44" fontId="0" fillId="3" borderId="7" xfId="0" applyNumberFormat="1" applyFill="1" applyBorder="1"/>
    <xf numFmtId="9" fontId="0" fillId="3" borderId="7" xfId="3" applyFont="1" applyFill="1" applyBorder="1"/>
    <xf numFmtId="0" fontId="0" fillId="9" borderId="7" xfId="0" applyFill="1" applyBorder="1"/>
    <xf numFmtId="9" fontId="0" fillId="9" borderId="7" xfId="0" applyNumberFormat="1" applyFill="1" applyBorder="1" applyAlignment="1">
      <alignment vertical="center"/>
    </xf>
    <xf numFmtId="10" fontId="0" fillId="9" borderId="7" xfId="0" applyNumberFormat="1" applyFill="1" applyBorder="1" applyAlignment="1">
      <alignment vertical="center"/>
    </xf>
    <xf numFmtId="9" fontId="0" fillId="9" borderId="7" xfId="0" applyNumberFormat="1" applyFill="1" applyBorder="1" applyAlignment="1"/>
    <xf numFmtId="0" fontId="0" fillId="9" borderId="7" xfId="0" applyFont="1" applyFill="1" applyBorder="1" applyAlignment="1">
      <alignment horizontal="left" vertical="center"/>
    </xf>
    <xf numFmtId="164" fontId="0" fillId="9" borderId="7" xfId="0" applyNumberFormat="1" applyFill="1" applyBorder="1" applyAlignment="1">
      <alignment vertical="center"/>
    </xf>
    <xf numFmtId="0" fontId="0" fillId="9" borderId="7" xfId="0" applyFill="1" applyBorder="1" applyAlignment="1">
      <alignment horizontal="left" vertical="center"/>
    </xf>
    <xf numFmtId="165" fontId="0" fillId="3" borderId="7" xfId="0" applyNumberFormat="1" applyFill="1" applyBorder="1" applyAlignment="1">
      <alignment horizontal="left"/>
    </xf>
    <xf numFmtId="0" fontId="0" fillId="0" borderId="1" xfId="0" applyBorder="1" applyAlignment="1">
      <alignment vertical="center"/>
    </xf>
    <xf numFmtId="9" fontId="0" fillId="0" borderId="1" xfId="0" applyNumberFormat="1" applyBorder="1" applyAlignment="1">
      <alignment vertical="center"/>
    </xf>
    <xf numFmtId="44" fontId="0" fillId="0" borderId="1" xfId="0" applyNumberFormat="1" applyBorder="1" applyAlignment="1">
      <alignment vertical="center"/>
    </xf>
    <xf numFmtId="44" fontId="0" fillId="0" borderId="1" xfId="1" applyFont="1" applyBorder="1" applyAlignment="1">
      <alignment vertical="center"/>
    </xf>
    <xf numFmtId="166" fontId="0" fillId="0" borderId="1" xfId="0" applyNumberFormat="1" applyBorder="1" applyAlignment="1">
      <alignment vertical="center"/>
    </xf>
    <xf numFmtId="0" fontId="0" fillId="3" borderId="1" xfId="0" applyFill="1" applyBorder="1" applyAlignment="1">
      <alignment vertical="center"/>
    </xf>
    <xf numFmtId="9" fontId="0" fillId="3" borderId="1" xfId="3" applyFont="1" applyFill="1" applyBorder="1" applyAlignment="1">
      <alignment vertical="center"/>
    </xf>
    <xf numFmtId="0" fontId="0" fillId="5" borderId="1" xfId="0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0" fillId="7" borderId="1" xfId="0" applyFill="1" applyBorder="1" applyAlignment="1">
      <alignment horizontal="center" vertical="center" wrapText="1"/>
    </xf>
  </cellXfs>
  <cellStyles count="4">
    <cellStyle name="Currency" xfId="1" builtinId="4"/>
    <cellStyle name="Normal" xfId="0" builtinId="0"/>
    <cellStyle name="Percent" xfId="3" builtinId="5"/>
    <cellStyle name="Style 1" xfId="2" xr:uid="{046B2C99-29B7-4D18-8C63-D68FB89BA5BD}"/>
  </cellStyles>
  <dxfs count="0"/>
  <tableStyles count="0" defaultTableStyle="TableStyleMedium2" defaultPivotStyle="PivotStyleLight16"/>
  <colors>
    <mruColors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E4AE80-2EE2-4FA7-B125-5BAF2C342550}">
  <dimension ref="A2:AR23"/>
  <sheetViews>
    <sheetView tabSelected="1" topLeftCell="A2" workbookViewId="0">
      <selection activeCell="B11" sqref="B11"/>
    </sheetView>
  </sheetViews>
  <sheetFormatPr defaultRowHeight="15" x14ac:dyDescent="0.25"/>
  <cols>
    <col min="1" max="1" width="35.85546875" bestFit="1" customWidth="1"/>
    <col min="2" max="2" width="18.85546875" bestFit="1" customWidth="1"/>
    <col min="3" max="3" width="17.42578125" bestFit="1" customWidth="1"/>
    <col min="8" max="8" width="6" bestFit="1" customWidth="1"/>
    <col min="9" max="9" width="5.42578125" bestFit="1" customWidth="1"/>
    <col min="10" max="10" width="16.28515625" bestFit="1" customWidth="1"/>
    <col min="11" max="11" width="18" bestFit="1" customWidth="1"/>
    <col min="12" max="15" width="15.28515625" bestFit="1" customWidth="1"/>
    <col min="16" max="16" width="31.7109375" bestFit="1" customWidth="1"/>
    <col min="17" max="17" width="28.85546875" bestFit="1" customWidth="1"/>
    <col min="18" max="18" width="13.140625" bestFit="1" customWidth="1"/>
    <col min="19" max="19" width="12.5703125" bestFit="1" customWidth="1"/>
    <col min="20" max="20" width="15" bestFit="1" customWidth="1"/>
    <col min="21" max="22" width="18" bestFit="1" customWidth="1"/>
    <col min="23" max="23" width="15.140625" bestFit="1" customWidth="1"/>
    <col min="24" max="24" width="9.7109375" bestFit="1" customWidth="1"/>
    <col min="25" max="26" width="20.28515625" bestFit="1" customWidth="1"/>
    <col min="27" max="27" width="24.28515625" bestFit="1" customWidth="1"/>
    <col min="28" max="28" width="16.28515625" bestFit="1" customWidth="1"/>
    <col min="29" max="29" width="21.28515625" bestFit="1" customWidth="1"/>
    <col min="30" max="30" width="24.42578125" bestFit="1" customWidth="1"/>
    <col min="31" max="31" width="27.5703125" bestFit="1" customWidth="1"/>
    <col min="32" max="33" width="20.28515625" bestFit="1" customWidth="1"/>
    <col min="34" max="34" width="17" bestFit="1" customWidth="1"/>
    <col min="35" max="36" width="19.28515625" bestFit="1" customWidth="1"/>
    <col min="37" max="37" width="15.28515625" bestFit="1" customWidth="1"/>
    <col min="38" max="38" width="20.28515625" bestFit="1" customWidth="1"/>
    <col min="39" max="39" width="24.5703125" bestFit="1" customWidth="1"/>
    <col min="40" max="40" width="18.5703125" bestFit="1" customWidth="1"/>
    <col min="41" max="41" width="24.140625" bestFit="1" customWidth="1"/>
    <col min="42" max="42" width="18" bestFit="1" customWidth="1"/>
    <col min="43" max="43" width="16.28515625" bestFit="1" customWidth="1"/>
    <col min="44" max="44" width="23.85546875" bestFit="1" customWidth="1"/>
  </cols>
  <sheetData>
    <row r="2" spans="1:44" x14ac:dyDescent="0.25">
      <c r="A2" s="23" t="s">
        <v>0</v>
      </c>
      <c r="B2" s="24">
        <v>0.1</v>
      </c>
    </row>
    <row r="3" spans="1:44" x14ac:dyDescent="0.25">
      <c r="A3" s="23" t="s">
        <v>2</v>
      </c>
      <c r="B3" s="24">
        <v>0.02</v>
      </c>
      <c r="H3" s="31"/>
      <c r="I3" s="31"/>
      <c r="J3" s="31"/>
      <c r="K3" s="31"/>
      <c r="L3" s="67" t="s">
        <v>20</v>
      </c>
      <c r="M3" s="67"/>
      <c r="N3" s="67"/>
      <c r="O3" s="67"/>
      <c r="P3" s="67"/>
      <c r="Q3" s="67"/>
      <c r="R3" s="66" t="s">
        <v>21</v>
      </c>
      <c r="S3" s="66"/>
      <c r="T3" s="66"/>
      <c r="U3" s="32"/>
      <c r="V3" s="32"/>
      <c r="W3" s="67" t="s">
        <v>22</v>
      </c>
      <c r="X3" s="67"/>
      <c r="Y3" s="67"/>
      <c r="Z3" s="67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</row>
    <row r="4" spans="1:44" x14ac:dyDescent="0.25">
      <c r="A4" s="23" t="s">
        <v>1</v>
      </c>
      <c r="B4" s="25">
        <v>1.4999999999999999E-2</v>
      </c>
      <c r="H4" s="33"/>
      <c r="I4" s="33"/>
      <c r="J4" s="33"/>
      <c r="K4" s="33"/>
      <c r="L4" s="66" t="s">
        <v>58</v>
      </c>
      <c r="M4" s="66"/>
      <c r="N4" s="66" t="s">
        <v>59</v>
      </c>
      <c r="O4" s="66"/>
      <c r="P4" s="66"/>
      <c r="Q4" s="66"/>
      <c r="R4" s="66" t="s">
        <v>58</v>
      </c>
      <c r="S4" s="66"/>
      <c r="T4" s="5" t="s">
        <v>59</v>
      </c>
      <c r="U4" s="67" t="s">
        <v>23</v>
      </c>
      <c r="V4" s="67"/>
      <c r="W4" s="67" t="s">
        <v>24</v>
      </c>
      <c r="X4" s="67"/>
      <c r="Y4" s="67" t="s">
        <v>25</v>
      </c>
      <c r="Z4" s="67"/>
      <c r="AA4" s="4"/>
      <c r="AB4" s="67" t="s">
        <v>26</v>
      </c>
      <c r="AC4" s="67"/>
      <c r="AD4" s="66" t="s">
        <v>27</v>
      </c>
      <c r="AE4" s="66"/>
      <c r="AF4" s="66" t="s">
        <v>28</v>
      </c>
      <c r="AG4" s="66"/>
      <c r="AH4" s="67" t="s">
        <v>29</v>
      </c>
      <c r="AI4" s="67"/>
      <c r="AJ4" s="67"/>
      <c r="AK4" s="4"/>
      <c r="AL4" s="4"/>
      <c r="AM4" s="4"/>
      <c r="AN4" s="4"/>
      <c r="AO4" s="4"/>
      <c r="AP4" s="4"/>
      <c r="AQ4" s="4"/>
      <c r="AR4" s="34"/>
    </row>
    <row r="5" spans="1:44" x14ac:dyDescent="0.25">
      <c r="A5" s="23" t="s">
        <v>3</v>
      </c>
      <c r="B5" s="26">
        <v>0.11</v>
      </c>
      <c r="H5" s="35" t="s">
        <v>12</v>
      </c>
      <c r="I5" s="35" t="s">
        <v>13</v>
      </c>
      <c r="J5" s="35" t="s">
        <v>14</v>
      </c>
      <c r="K5" s="35" t="s">
        <v>15</v>
      </c>
      <c r="L5" s="35" t="s">
        <v>16</v>
      </c>
      <c r="M5" s="35" t="s">
        <v>8</v>
      </c>
      <c r="N5" s="35" t="s">
        <v>17</v>
      </c>
      <c r="O5" s="35" t="s">
        <v>18</v>
      </c>
      <c r="P5" s="35" t="s">
        <v>60</v>
      </c>
      <c r="Q5" s="35" t="s">
        <v>19</v>
      </c>
      <c r="R5" s="5" t="s">
        <v>17</v>
      </c>
      <c r="S5" s="5" t="s">
        <v>8</v>
      </c>
      <c r="T5" s="5" t="s">
        <v>8</v>
      </c>
      <c r="U5" s="5" t="s">
        <v>56</v>
      </c>
      <c r="V5" s="5" t="s">
        <v>61</v>
      </c>
      <c r="W5" s="5" t="s">
        <v>30</v>
      </c>
      <c r="X5" s="5" t="s">
        <v>62</v>
      </c>
      <c r="Y5" s="5" t="s">
        <v>56</v>
      </c>
      <c r="Z5" s="6" t="s">
        <v>61</v>
      </c>
      <c r="AA5" s="5" t="s">
        <v>31</v>
      </c>
      <c r="AB5" s="5" t="s">
        <v>32</v>
      </c>
      <c r="AC5" s="5" t="s">
        <v>33</v>
      </c>
      <c r="AD5" s="5" t="s">
        <v>34</v>
      </c>
      <c r="AE5" s="5" t="s">
        <v>35</v>
      </c>
      <c r="AF5" s="5" t="s">
        <v>56</v>
      </c>
      <c r="AG5" s="5" t="s">
        <v>61</v>
      </c>
      <c r="AH5" s="5" t="s">
        <v>36</v>
      </c>
      <c r="AI5" s="5" t="s">
        <v>37</v>
      </c>
      <c r="AJ5" s="5" t="s">
        <v>38</v>
      </c>
      <c r="AK5" s="5" t="s">
        <v>39</v>
      </c>
      <c r="AL5" s="5" t="s">
        <v>28</v>
      </c>
      <c r="AM5" s="7" t="s">
        <v>63</v>
      </c>
      <c r="AN5" s="6" t="s">
        <v>40</v>
      </c>
      <c r="AO5" s="6" t="s">
        <v>41</v>
      </c>
      <c r="AP5" s="5" t="s">
        <v>42</v>
      </c>
      <c r="AQ5" s="8" t="s">
        <v>43</v>
      </c>
      <c r="AR5" s="8" t="s">
        <v>44</v>
      </c>
    </row>
    <row r="6" spans="1:44" x14ac:dyDescent="0.25">
      <c r="A6" s="27" t="s">
        <v>4</v>
      </c>
      <c r="B6" s="28">
        <v>100</v>
      </c>
      <c r="H6" s="3">
        <v>2022</v>
      </c>
      <c r="I6" s="3">
        <v>0</v>
      </c>
      <c r="J6" s="9">
        <v>150000000</v>
      </c>
      <c r="K6" s="9">
        <v>1000000000</v>
      </c>
      <c r="L6" s="36">
        <f>B20</f>
        <v>49612500</v>
      </c>
      <c r="M6" s="36">
        <f>C20</f>
        <v>34992000.000000007</v>
      </c>
      <c r="N6" s="36">
        <f>B20</f>
        <v>49612500</v>
      </c>
      <c r="O6" s="36">
        <f>C20</f>
        <v>34992000.000000007</v>
      </c>
      <c r="P6" s="36">
        <v>0</v>
      </c>
      <c r="Q6" s="36">
        <f>O6-P6</f>
        <v>34992000.000000007</v>
      </c>
      <c r="R6" s="9">
        <v>36</v>
      </c>
      <c r="S6" s="9">
        <v>48</v>
      </c>
      <c r="T6" s="10">
        <f>S6*60%</f>
        <v>28.799999999999997</v>
      </c>
      <c r="U6" s="10">
        <f>(R6*L6)+(S6*M6)</f>
        <v>3465666000.0000005</v>
      </c>
      <c r="V6" s="10">
        <f>(R6*N6)+(Q6*S6)+(P6*T6)</f>
        <v>3465666000.0000005</v>
      </c>
      <c r="W6" s="9">
        <v>100</v>
      </c>
      <c r="X6" s="9">
        <v>50</v>
      </c>
      <c r="Y6" s="11">
        <f>(L6+M6)*W6</f>
        <v>8460450000</v>
      </c>
      <c r="Z6" s="11">
        <f>((N6+Q6)*W6+(P6*X6))</f>
        <v>8460450000</v>
      </c>
      <c r="AA6" s="9">
        <v>600000000</v>
      </c>
      <c r="AB6" s="9">
        <v>400000000</v>
      </c>
      <c r="AC6" s="9">
        <v>400000000</v>
      </c>
      <c r="AD6" s="9">
        <v>500000000</v>
      </c>
      <c r="AE6" s="9">
        <f>500000000</f>
        <v>500000000</v>
      </c>
      <c r="AF6" s="11">
        <f>Y6</f>
        <v>8460450000</v>
      </c>
      <c r="AG6" s="11">
        <f>Z6</f>
        <v>8460450000</v>
      </c>
      <c r="AH6" s="10">
        <f>5%*AG6</f>
        <v>423022500</v>
      </c>
      <c r="AI6" s="11">
        <f>10%*AG6</f>
        <v>846045000</v>
      </c>
      <c r="AJ6" s="11">
        <f>6%*AG6</f>
        <v>507627000</v>
      </c>
      <c r="AK6" s="9">
        <f>30000000</f>
        <v>30000000</v>
      </c>
      <c r="AL6" s="11">
        <f>Z6</f>
        <v>8460450000</v>
      </c>
      <c r="AM6" s="10">
        <f>J6+K6+V6+AH6+AI6+AJ6-AK6</f>
        <v>6362360500</v>
      </c>
      <c r="AN6" s="30">
        <f>$B$3*$B$23</f>
        <v>48640000</v>
      </c>
      <c r="AO6" s="10">
        <f>AM6+AN6</f>
        <v>6411000500</v>
      </c>
      <c r="AP6" s="10">
        <f>AL6-AO6</f>
        <v>2049449500</v>
      </c>
      <c r="AQ6" s="10">
        <f>AP6*$B$2</f>
        <v>204944950</v>
      </c>
      <c r="AR6" s="10">
        <f>AP6-AQ6</f>
        <v>1844504550</v>
      </c>
    </row>
    <row r="7" spans="1:44" x14ac:dyDescent="0.25">
      <c r="A7" s="29" t="s">
        <v>5</v>
      </c>
      <c r="B7" s="28">
        <v>50</v>
      </c>
      <c r="H7" s="3">
        <v>2023</v>
      </c>
      <c r="I7" s="3">
        <v>1</v>
      </c>
      <c r="J7" s="3"/>
      <c r="K7" s="3"/>
      <c r="L7" s="36">
        <f>L6*(1+$B$12)</f>
        <v>52093125</v>
      </c>
      <c r="M7" s="36">
        <f>M6*(1+$B$13)</f>
        <v>37791360.000000007</v>
      </c>
      <c r="N7" s="36">
        <f>N6*(1+$C$12)</f>
        <v>52093125</v>
      </c>
      <c r="O7" s="36">
        <f>O6*(1+$C$13)</f>
        <v>38491200.000000015</v>
      </c>
      <c r="P7" s="36">
        <v>5000000</v>
      </c>
      <c r="Q7" s="36">
        <f t="shared" ref="Q7:Q16" si="0">O7-P7</f>
        <v>33491200.000000015</v>
      </c>
      <c r="R7" s="10">
        <f>R6*(1+$B$4)</f>
        <v>36.54</v>
      </c>
      <c r="S7" s="10">
        <f>S6*(1+$B$4)</f>
        <v>48.72</v>
      </c>
      <c r="T7" s="10">
        <f t="shared" ref="T7:T16" si="1">S7*60%</f>
        <v>29.231999999999999</v>
      </c>
      <c r="U7" s="10">
        <f t="shared" ref="U7:U16" si="2">(R7*L7)+(S7*M7)</f>
        <v>3744677846.7000003</v>
      </c>
      <c r="V7" s="10">
        <f t="shared" ref="V7:V16" si="3">(R7*N7)+(Q7*S7)+(P7*T7)</f>
        <v>3681334051.500001</v>
      </c>
      <c r="W7" s="10">
        <f>W6*(1+$B$4)</f>
        <v>101.49999999999999</v>
      </c>
      <c r="X7" s="10">
        <f>X6*(1+$B$4)</f>
        <v>50.749999999999993</v>
      </c>
      <c r="Y7" s="11">
        <f t="shared" ref="Y7:Y16" si="4">(L7+M7)*W7</f>
        <v>9123275227.4999981</v>
      </c>
      <c r="Z7" s="11">
        <f t="shared" ref="Z7:Z16" si="5">((N7+Q7)*W7+(P7*X7))</f>
        <v>8940558987.5</v>
      </c>
      <c r="AA7" s="10">
        <f>AA6*(1+$B$4)</f>
        <v>609000000</v>
      </c>
      <c r="AB7" s="10">
        <f>AB6*(1+5%)</f>
        <v>420000000</v>
      </c>
      <c r="AC7" s="10">
        <f>AC6*(1+10%)</f>
        <v>440000000.00000006</v>
      </c>
      <c r="AD7" s="10">
        <f>AD6*(1+5%)</f>
        <v>525000000</v>
      </c>
      <c r="AE7" s="10">
        <f>AE6*(1+15%)</f>
        <v>575000000</v>
      </c>
      <c r="AF7" s="11">
        <f t="shared" ref="AF7:AF16" si="6">Y7</f>
        <v>9123275227.4999981</v>
      </c>
      <c r="AG7" s="11">
        <f t="shared" ref="AG7:AG16" si="7">Z7</f>
        <v>8940558987.5</v>
      </c>
      <c r="AH7" s="10">
        <f t="shared" ref="AH7" si="8">5%*AG7</f>
        <v>447027949.375</v>
      </c>
      <c r="AI7" s="11">
        <f t="shared" ref="AI7:AI16" si="9">10%*AG7</f>
        <v>894055898.75</v>
      </c>
      <c r="AJ7" s="11">
        <f t="shared" ref="AJ7:AJ16" si="10">6%*AG7</f>
        <v>536433539.25</v>
      </c>
      <c r="AK7" s="10">
        <f>AK6*(1+3%)</f>
        <v>30900000</v>
      </c>
      <c r="AL7" s="11">
        <f t="shared" ref="AL7:AL16" si="11">Z7</f>
        <v>8940558987.5</v>
      </c>
      <c r="AM7" s="10">
        <f>V7+AE7+AH7+AI7+AJ7-AK7</f>
        <v>6102951438.875001</v>
      </c>
      <c r="AN7" s="30">
        <f t="shared" ref="AN7:AN16" si="12">$B$3*$B$23</f>
        <v>48640000</v>
      </c>
      <c r="AO7" s="10">
        <f t="shared" ref="AO7:AO16" si="13">AM7+AN7</f>
        <v>6151591438.875001</v>
      </c>
      <c r="AP7" s="10">
        <f t="shared" ref="AP7:AP16" si="14">AL7-AO7</f>
        <v>2788967548.624999</v>
      </c>
      <c r="AQ7" s="10">
        <f t="shared" ref="AQ7:AQ16" si="15">AP7*$B$2</f>
        <v>278896754.86249989</v>
      </c>
      <c r="AR7" s="10">
        <f t="shared" ref="AR7:AR16" si="16">AP7-AQ7</f>
        <v>2510070793.7624993</v>
      </c>
    </row>
    <row r="8" spans="1:44" x14ac:dyDescent="0.25">
      <c r="H8" s="3">
        <v>2024</v>
      </c>
      <c r="I8" s="3">
        <v>2</v>
      </c>
      <c r="J8" s="3"/>
      <c r="K8" s="3"/>
      <c r="L8" s="36">
        <f t="shared" ref="L8:L16" si="17">L7*(1+$B$12)</f>
        <v>54697781.25</v>
      </c>
      <c r="M8" s="36">
        <f t="shared" ref="M8:M16" si="18">M7*(1+$B$13)</f>
        <v>40814668.800000012</v>
      </c>
      <c r="N8" s="36">
        <f t="shared" ref="N8:N16" si="19">N7*(1+$C$12)</f>
        <v>54697781.25</v>
      </c>
      <c r="O8" s="36">
        <f t="shared" ref="O8:O16" si="20">O7*(1+$C$13)</f>
        <v>42340320.000000022</v>
      </c>
      <c r="P8" s="36">
        <f>P7*(1+8%)</f>
        <v>5400000</v>
      </c>
      <c r="Q8" s="36">
        <f t="shared" si="0"/>
        <v>36940320.000000022</v>
      </c>
      <c r="R8" s="10">
        <f t="shared" ref="R8:R16" si="21">R7*(1+$B$4)</f>
        <v>37.088099999999997</v>
      </c>
      <c r="S8" s="10">
        <f t="shared" ref="S8:S16" si="22">S7*(1+$B$4)</f>
        <v>49.450799999999994</v>
      </c>
      <c r="T8" s="10">
        <f t="shared" si="1"/>
        <v>29.670479999999994</v>
      </c>
      <c r="U8" s="10">
        <f t="shared" si="2"/>
        <v>4046954804.6731653</v>
      </c>
      <c r="V8" s="10">
        <f t="shared" si="3"/>
        <v>4015585749.0341258</v>
      </c>
      <c r="W8" s="10">
        <f t="shared" ref="W8:W16" si="23">W7*(1+$B$4)</f>
        <v>103.02249999999998</v>
      </c>
      <c r="X8" s="10">
        <f t="shared" ref="X8:X16" si="24">X7*(1+$B$4)</f>
        <v>51.51124999999999</v>
      </c>
      <c r="Y8" s="11">
        <f t="shared" si="4"/>
        <v>9839931385.276125</v>
      </c>
      <c r="Z8" s="11">
        <f t="shared" si="5"/>
        <v>9718947036.0281258</v>
      </c>
      <c r="AA8" s="10">
        <f t="shared" ref="AA8:AA16" si="25">AA7*(1+$B$4)</f>
        <v>618135000</v>
      </c>
      <c r="AB8" s="10">
        <f t="shared" ref="AB8:AB16" si="26">AB7*(1+5%)</f>
        <v>441000000</v>
      </c>
      <c r="AC8" s="10">
        <f t="shared" ref="AC8:AC16" si="27">AC7*(1+10%)</f>
        <v>484000000.00000012</v>
      </c>
      <c r="AD8" s="10">
        <f t="shared" ref="AD8:AD16" si="28">AD7*(1+5%)</f>
        <v>551250000</v>
      </c>
      <c r="AE8" s="10">
        <f t="shared" ref="AE8:AE16" si="29">AE7*(1+15%)</f>
        <v>661250000</v>
      </c>
      <c r="AF8" s="11">
        <f t="shared" si="6"/>
        <v>9839931385.276125</v>
      </c>
      <c r="AG8" s="11">
        <f t="shared" si="7"/>
        <v>9718947036.0281258</v>
      </c>
      <c r="AH8" s="10">
        <f t="shared" ref="AH8" si="30">5%*AG8</f>
        <v>485947351.80140632</v>
      </c>
      <c r="AI8" s="11">
        <f t="shared" si="9"/>
        <v>971894703.60281265</v>
      </c>
      <c r="AJ8" s="11">
        <f t="shared" si="10"/>
        <v>583136822.16168749</v>
      </c>
      <c r="AK8" s="10">
        <f t="shared" ref="AK8:AK16" si="31">AK7*(1+3%)</f>
        <v>31827000</v>
      </c>
      <c r="AL8" s="11">
        <f t="shared" si="11"/>
        <v>9718947036.0281258</v>
      </c>
      <c r="AM8" s="10">
        <f t="shared" ref="AM8:AM16" si="32">V8+AE8+AH8+AI8+AJ8-AK8</f>
        <v>6685987626.6000328</v>
      </c>
      <c r="AN8" s="30">
        <f t="shared" si="12"/>
        <v>48640000</v>
      </c>
      <c r="AO8" s="10">
        <f t="shared" si="13"/>
        <v>6734627626.6000328</v>
      </c>
      <c r="AP8" s="10">
        <f t="shared" si="14"/>
        <v>2984319409.428093</v>
      </c>
      <c r="AQ8" s="10">
        <f t="shared" si="15"/>
        <v>298431940.94280928</v>
      </c>
      <c r="AR8" s="10">
        <f t="shared" si="16"/>
        <v>2685887468.4852839</v>
      </c>
    </row>
    <row r="9" spans="1:44" x14ac:dyDescent="0.25">
      <c r="H9" s="3">
        <v>2025</v>
      </c>
      <c r="I9" s="3">
        <v>3</v>
      </c>
      <c r="J9" s="3"/>
      <c r="K9" s="3"/>
      <c r="L9" s="36">
        <f t="shared" si="17"/>
        <v>57432670.3125</v>
      </c>
      <c r="M9" s="36">
        <f t="shared" si="18"/>
        <v>44079842.304000013</v>
      </c>
      <c r="N9" s="36">
        <f t="shared" si="19"/>
        <v>57432670.3125</v>
      </c>
      <c r="O9" s="36">
        <f t="shared" si="20"/>
        <v>46574352.00000003</v>
      </c>
      <c r="P9" s="36">
        <f t="shared" ref="P9:P16" si="33">P8*(1+8%)</f>
        <v>5832000</v>
      </c>
      <c r="Q9" s="36">
        <f t="shared" si="0"/>
        <v>40742352.00000003</v>
      </c>
      <c r="R9" s="10">
        <f t="shared" si="21"/>
        <v>37.644421499999993</v>
      </c>
      <c r="S9" s="10">
        <f t="shared" si="22"/>
        <v>50.192561999999988</v>
      </c>
      <c r="T9" s="10">
        <f t="shared" si="1"/>
        <v>30.115537199999991</v>
      </c>
      <c r="U9" s="10">
        <f t="shared" si="2"/>
        <v>4374499866.9080296</v>
      </c>
      <c r="V9" s="10">
        <f t="shared" si="3"/>
        <v>4382616490.8505116</v>
      </c>
      <c r="W9" s="10">
        <f t="shared" si="23"/>
        <v>104.56783749999997</v>
      </c>
      <c r="X9" s="10">
        <f t="shared" si="24"/>
        <v>52.283918749999984</v>
      </c>
      <c r="Y9" s="11">
        <f t="shared" si="4"/>
        <v>10614943923.498871</v>
      </c>
      <c r="Z9" s="11">
        <f t="shared" si="5"/>
        <v>10570869593.882374</v>
      </c>
      <c r="AA9" s="10">
        <f t="shared" si="25"/>
        <v>627407024.99999988</v>
      </c>
      <c r="AB9" s="10">
        <f t="shared" si="26"/>
        <v>463050000</v>
      </c>
      <c r="AC9" s="10">
        <f t="shared" si="27"/>
        <v>532400000.00000018</v>
      </c>
      <c r="AD9" s="10">
        <f t="shared" si="28"/>
        <v>578812500</v>
      </c>
      <c r="AE9" s="10">
        <f t="shared" si="29"/>
        <v>760437500</v>
      </c>
      <c r="AF9" s="11">
        <f t="shared" si="6"/>
        <v>10614943923.498871</v>
      </c>
      <c r="AG9" s="11">
        <f t="shared" si="7"/>
        <v>10570869593.882374</v>
      </c>
      <c r="AH9" s="10">
        <f t="shared" ref="AH9" si="34">5%*AG9</f>
        <v>528543479.69411874</v>
      </c>
      <c r="AI9" s="11">
        <f t="shared" si="9"/>
        <v>1057086959.3882375</v>
      </c>
      <c r="AJ9" s="11">
        <f t="shared" si="10"/>
        <v>634252175.63294244</v>
      </c>
      <c r="AK9" s="10">
        <f t="shared" si="31"/>
        <v>32781810</v>
      </c>
      <c r="AL9" s="11">
        <f t="shared" si="11"/>
        <v>10570869593.882374</v>
      </c>
      <c r="AM9" s="10">
        <f t="shared" si="32"/>
        <v>7330154795.5658092</v>
      </c>
      <c r="AN9" s="30">
        <f t="shared" si="12"/>
        <v>48640000</v>
      </c>
      <c r="AO9" s="10">
        <f t="shared" si="13"/>
        <v>7378794795.5658092</v>
      </c>
      <c r="AP9" s="10">
        <f t="shared" si="14"/>
        <v>3192074798.3165646</v>
      </c>
      <c r="AQ9" s="10">
        <f t="shared" si="15"/>
        <v>319207479.83165646</v>
      </c>
      <c r="AR9" s="10">
        <f t="shared" si="16"/>
        <v>2872867318.4849081</v>
      </c>
    </row>
    <row r="10" spans="1:44" x14ac:dyDescent="0.25">
      <c r="A10" s="13"/>
      <c r="B10" s="14" t="s">
        <v>6</v>
      </c>
      <c r="C10" s="15"/>
      <c r="H10" s="3">
        <v>2026</v>
      </c>
      <c r="I10" s="3">
        <v>4</v>
      </c>
      <c r="J10" s="3"/>
      <c r="K10" s="3"/>
      <c r="L10" s="36">
        <f t="shared" si="17"/>
        <v>60304303.828125</v>
      </c>
      <c r="M10" s="36">
        <f t="shared" si="18"/>
        <v>47606229.688320018</v>
      </c>
      <c r="N10" s="36">
        <f t="shared" si="19"/>
        <v>60304303.828125</v>
      </c>
      <c r="O10" s="36">
        <f t="shared" si="20"/>
        <v>51231787.20000004</v>
      </c>
      <c r="P10" s="36">
        <f t="shared" si="33"/>
        <v>6298560</v>
      </c>
      <c r="Q10" s="36">
        <f t="shared" si="0"/>
        <v>44933227.20000004</v>
      </c>
      <c r="R10" s="10">
        <f t="shared" si="21"/>
        <v>38.209087822499988</v>
      </c>
      <c r="S10" s="10">
        <f t="shared" si="22"/>
        <v>50.94545042999998</v>
      </c>
      <c r="T10" s="10">
        <f t="shared" si="1"/>
        <v>30.567270257999986</v>
      </c>
      <c r="U10" s="10">
        <f t="shared" si="2"/>
        <v>4729493255.7890511</v>
      </c>
      <c r="V10" s="10">
        <f t="shared" si="3"/>
        <v>4785845725.7773085</v>
      </c>
      <c r="W10" s="10">
        <f t="shared" si="23"/>
        <v>106.13635506249996</v>
      </c>
      <c r="X10" s="10">
        <f t="shared" si="24"/>
        <v>53.068177531249979</v>
      </c>
      <c r="Y10" s="11">
        <f t="shared" si="4"/>
        <v>11453230700.28521</v>
      </c>
      <c r="Z10" s="11">
        <f t="shared" si="5"/>
        <v>11503781059.373167</v>
      </c>
      <c r="AA10" s="10">
        <f t="shared" si="25"/>
        <v>636818130.37499976</v>
      </c>
      <c r="AB10" s="10">
        <f t="shared" si="26"/>
        <v>486202500</v>
      </c>
      <c r="AC10" s="10">
        <f>AC9*(1+10%)</f>
        <v>585640000.00000024</v>
      </c>
      <c r="AD10" s="10">
        <f t="shared" si="28"/>
        <v>607753125</v>
      </c>
      <c r="AE10" s="10">
        <f t="shared" si="29"/>
        <v>874503124.99999988</v>
      </c>
      <c r="AF10" s="11">
        <f t="shared" si="6"/>
        <v>11453230700.28521</v>
      </c>
      <c r="AG10" s="11">
        <f t="shared" si="7"/>
        <v>11503781059.373167</v>
      </c>
      <c r="AH10" s="10">
        <f t="shared" ref="AH10" si="35">5%*AG10</f>
        <v>575189052.96865833</v>
      </c>
      <c r="AI10" s="11">
        <f t="shared" si="9"/>
        <v>1150378105.9373167</v>
      </c>
      <c r="AJ10" s="11">
        <f t="shared" si="10"/>
        <v>690226863.56238997</v>
      </c>
      <c r="AK10" s="10">
        <f t="shared" si="31"/>
        <v>33765264.300000004</v>
      </c>
      <c r="AL10" s="11">
        <f t="shared" si="11"/>
        <v>11503781059.373167</v>
      </c>
      <c r="AM10" s="10">
        <f t="shared" si="32"/>
        <v>8042377608.9456739</v>
      </c>
      <c r="AN10" s="30">
        <f t="shared" si="12"/>
        <v>48640000</v>
      </c>
      <c r="AO10" s="10">
        <f t="shared" si="13"/>
        <v>8091017608.9456739</v>
      </c>
      <c r="AP10" s="10">
        <f t="shared" si="14"/>
        <v>3412763450.4274931</v>
      </c>
      <c r="AQ10" s="10">
        <f t="shared" si="15"/>
        <v>341276345.04274935</v>
      </c>
      <c r="AR10" s="10">
        <f t="shared" si="16"/>
        <v>3071487105.3847437</v>
      </c>
    </row>
    <row r="11" spans="1:44" x14ac:dyDescent="0.25">
      <c r="A11" s="1"/>
      <c r="B11" s="14" t="s">
        <v>56</v>
      </c>
      <c r="C11" s="16" t="s">
        <v>57</v>
      </c>
      <c r="H11" s="3">
        <v>2027</v>
      </c>
      <c r="I11" s="3">
        <v>5</v>
      </c>
      <c r="J11" s="3"/>
      <c r="K11" s="3"/>
      <c r="L11" s="36">
        <f t="shared" si="17"/>
        <v>63319519.01953125</v>
      </c>
      <c r="M11" s="36">
        <f t="shared" si="18"/>
        <v>51414728.063385621</v>
      </c>
      <c r="N11" s="36">
        <f t="shared" si="19"/>
        <v>63319519.01953125</v>
      </c>
      <c r="O11" s="36">
        <f t="shared" si="20"/>
        <v>56354965.920000046</v>
      </c>
      <c r="P11" s="36">
        <f t="shared" si="33"/>
        <v>6802444.8000000007</v>
      </c>
      <c r="Q11" s="36">
        <f t="shared" si="0"/>
        <v>49552521.120000049</v>
      </c>
      <c r="R11" s="10">
        <f t="shared" si="21"/>
        <v>38.782224139837481</v>
      </c>
      <c r="S11" s="10">
        <f t="shared" si="22"/>
        <v>51.709632186449973</v>
      </c>
      <c r="T11" s="10">
        <f t="shared" si="1"/>
        <v>31.025779311869982</v>
      </c>
      <c r="U11" s="10">
        <f t="shared" si="2"/>
        <v>5114308456.1661816</v>
      </c>
      <c r="V11" s="10">
        <f t="shared" si="3"/>
        <v>5229065571.2146378</v>
      </c>
      <c r="W11" s="10">
        <f t="shared" si="23"/>
        <v>107.72840038843745</v>
      </c>
      <c r="X11" s="10">
        <f t="shared" si="24"/>
        <v>53.864200194218725</v>
      </c>
      <c r="Y11" s="11">
        <f t="shared" si="4"/>
        <v>12360136908.01438</v>
      </c>
      <c r="Z11" s="11">
        <f t="shared" si="5"/>
        <v>12525932581.328533</v>
      </c>
      <c r="AA11" s="10">
        <f t="shared" si="25"/>
        <v>646370402.3306247</v>
      </c>
      <c r="AB11" s="10">
        <f t="shared" si="26"/>
        <v>510512625</v>
      </c>
      <c r="AC11" s="10">
        <f t="shared" si="27"/>
        <v>644204000.00000036</v>
      </c>
      <c r="AD11" s="10">
        <f t="shared" si="28"/>
        <v>638140781.25</v>
      </c>
      <c r="AE11" s="10">
        <f t="shared" si="29"/>
        <v>1005678593.7499998</v>
      </c>
      <c r="AF11" s="11">
        <f t="shared" si="6"/>
        <v>12360136908.01438</v>
      </c>
      <c r="AG11" s="11">
        <f t="shared" si="7"/>
        <v>12525932581.328533</v>
      </c>
      <c r="AH11" s="10">
        <f t="shared" ref="AH11" si="36">5%*AG11</f>
        <v>626296629.06642663</v>
      </c>
      <c r="AI11" s="11">
        <f t="shared" si="9"/>
        <v>1252593258.1328533</v>
      </c>
      <c r="AJ11" s="11">
        <f t="shared" si="10"/>
        <v>751555954.87971199</v>
      </c>
      <c r="AK11" s="10">
        <f t="shared" si="31"/>
        <v>34778222.229000002</v>
      </c>
      <c r="AL11" s="11">
        <f t="shared" si="11"/>
        <v>12525932581.328533</v>
      </c>
      <c r="AM11" s="10">
        <f t="shared" si="32"/>
        <v>8830411784.8146286</v>
      </c>
      <c r="AN11" s="30">
        <f t="shared" si="12"/>
        <v>48640000</v>
      </c>
      <c r="AO11" s="10">
        <f t="shared" si="13"/>
        <v>8879051784.8146286</v>
      </c>
      <c r="AP11" s="10">
        <f t="shared" si="14"/>
        <v>3646880796.5139046</v>
      </c>
      <c r="AQ11" s="10">
        <f t="shared" si="15"/>
        <v>364688079.65139049</v>
      </c>
      <c r="AR11" s="10">
        <f t="shared" si="16"/>
        <v>3282192716.862514</v>
      </c>
    </row>
    <row r="12" spans="1:44" x14ac:dyDescent="0.25">
      <c r="A12" s="16" t="s">
        <v>7</v>
      </c>
      <c r="B12" s="17">
        <v>0.05</v>
      </c>
      <c r="C12" s="17">
        <v>0.05</v>
      </c>
      <c r="H12" s="3">
        <v>2028</v>
      </c>
      <c r="I12" s="3">
        <v>6</v>
      </c>
      <c r="J12" s="3"/>
      <c r="K12" s="3"/>
      <c r="L12" s="36">
        <f t="shared" si="17"/>
        <v>66485494.970507815</v>
      </c>
      <c r="M12" s="36">
        <f t="shared" si="18"/>
        <v>55527906.308456473</v>
      </c>
      <c r="N12" s="36">
        <f t="shared" si="19"/>
        <v>66485494.970507815</v>
      </c>
      <c r="O12" s="36">
        <f t="shared" si="20"/>
        <v>61990462.512000054</v>
      </c>
      <c r="P12" s="36">
        <f t="shared" si="33"/>
        <v>7346640.3840000015</v>
      </c>
      <c r="Q12" s="36">
        <f t="shared" si="0"/>
        <v>54643822.128000051</v>
      </c>
      <c r="R12" s="10">
        <f t="shared" si="21"/>
        <v>39.36395750193504</v>
      </c>
      <c r="S12" s="10">
        <f t="shared" si="22"/>
        <v>52.485276669246716</v>
      </c>
      <c r="T12" s="10">
        <f t="shared" si="1"/>
        <v>31.491166001548027</v>
      </c>
      <c r="U12" s="10">
        <f t="shared" si="2"/>
        <v>5531529723.9775333</v>
      </c>
      <c r="V12" s="10">
        <f t="shared" si="3"/>
        <v>5716482593.0535946</v>
      </c>
      <c r="W12" s="10">
        <f t="shared" si="23"/>
        <v>109.344326394264</v>
      </c>
      <c r="X12" s="10">
        <f t="shared" si="24"/>
        <v>54.672163197132001</v>
      </c>
      <c r="Y12" s="11">
        <f t="shared" si="4"/>
        <v>13341473173.921379</v>
      </c>
      <c r="Z12" s="11">
        <f t="shared" si="5"/>
        <v>13646460306.758236</v>
      </c>
      <c r="AA12" s="10">
        <f t="shared" si="25"/>
        <v>656065958.36558402</v>
      </c>
      <c r="AB12" s="10">
        <f t="shared" si="26"/>
        <v>536038256.25</v>
      </c>
      <c r="AC12" s="10">
        <f t="shared" si="27"/>
        <v>708624400.00000048</v>
      </c>
      <c r="AD12" s="10">
        <f t="shared" si="28"/>
        <v>670047820.3125</v>
      </c>
      <c r="AE12" s="10">
        <f t="shared" si="29"/>
        <v>1156530382.8124995</v>
      </c>
      <c r="AF12" s="11">
        <f t="shared" si="6"/>
        <v>13341473173.921379</v>
      </c>
      <c r="AG12" s="11">
        <f t="shared" si="7"/>
        <v>13646460306.758236</v>
      </c>
      <c r="AH12" s="10">
        <f t="shared" ref="AH12" si="37">5%*AG12</f>
        <v>682323015.33791184</v>
      </c>
      <c r="AI12" s="11">
        <f t="shared" si="9"/>
        <v>1364646030.6758237</v>
      </c>
      <c r="AJ12" s="11">
        <f t="shared" si="10"/>
        <v>818787618.40549409</v>
      </c>
      <c r="AK12" s="10">
        <f t="shared" si="31"/>
        <v>35821568.89587</v>
      </c>
      <c r="AL12" s="11">
        <f t="shared" si="11"/>
        <v>13646460306.758236</v>
      </c>
      <c r="AM12" s="10">
        <f t="shared" si="32"/>
        <v>9702948071.3894539</v>
      </c>
      <c r="AN12" s="30">
        <f t="shared" si="12"/>
        <v>48640000</v>
      </c>
      <c r="AO12" s="10">
        <f t="shared" si="13"/>
        <v>9751588071.3894539</v>
      </c>
      <c r="AP12" s="10">
        <f t="shared" si="14"/>
        <v>3894872235.368782</v>
      </c>
      <c r="AQ12" s="10">
        <f t="shared" si="15"/>
        <v>389487223.53687823</v>
      </c>
      <c r="AR12" s="10">
        <f t="shared" si="16"/>
        <v>3505385011.8319039</v>
      </c>
    </row>
    <row r="13" spans="1:44" x14ac:dyDescent="0.25">
      <c r="A13" s="16" t="s">
        <v>8</v>
      </c>
      <c r="B13" s="17">
        <v>0.08</v>
      </c>
      <c r="C13" s="17">
        <v>0.1</v>
      </c>
      <c r="H13" s="3">
        <v>2029</v>
      </c>
      <c r="I13" s="3">
        <v>7</v>
      </c>
      <c r="J13" s="3"/>
      <c r="K13" s="3"/>
      <c r="L13" s="36">
        <f t="shared" si="17"/>
        <v>69809769.719033211</v>
      </c>
      <c r="M13" s="36">
        <f t="shared" si="18"/>
        <v>59970138.813132994</v>
      </c>
      <c r="N13" s="36">
        <f t="shared" si="19"/>
        <v>69809769.719033211</v>
      </c>
      <c r="O13" s="36">
        <f t="shared" si="20"/>
        <v>68189508.76320006</v>
      </c>
      <c r="P13" s="36">
        <f t="shared" si="33"/>
        <v>7934371.6147200018</v>
      </c>
      <c r="Q13" s="36">
        <f t="shared" si="0"/>
        <v>60255137.148480058</v>
      </c>
      <c r="R13" s="10">
        <f t="shared" si="21"/>
        <v>39.954416864464065</v>
      </c>
      <c r="S13" s="10">
        <f t="shared" si="22"/>
        <v>53.272555819285408</v>
      </c>
      <c r="T13" s="10">
        <f t="shared" si="1"/>
        <v>31.963533491571244</v>
      </c>
      <c r="U13" s="10">
        <f t="shared" si="2"/>
        <v>5983971207.9794159</v>
      </c>
      <c r="V13" s="10">
        <f t="shared" si="3"/>
        <v>6252764350.5492706</v>
      </c>
      <c r="W13" s="10">
        <f t="shared" si="23"/>
        <v>110.98449129017796</v>
      </c>
      <c r="X13" s="10">
        <f t="shared" si="24"/>
        <v>55.492245645088978</v>
      </c>
      <c r="Y13" s="11">
        <f t="shared" si="4"/>
        <v>14403557128.128292</v>
      </c>
      <c r="Z13" s="11">
        <f t="shared" si="5"/>
        <v>14875483622.078798</v>
      </c>
      <c r="AA13" s="10">
        <f t="shared" si="25"/>
        <v>665906947.74106777</v>
      </c>
      <c r="AB13" s="10">
        <f t="shared" si="26"/>
        <v>562840169.0625</v>
      </c>
      <c r="AC13" s="10">
        <f t="shared" si="27"/>
        <v>779486840.0000006</v>
      </c>
      <c r="AD13" s="10">
        <f t="shared" si="28"/>
        <v>703550211.328125</v>
      </c>
      <c r="AE13" s="10">
        <f t="shared" si="29"/>
        <v>1330009940.2343743</v>
      </c>
      <c r="AF13" s="11">
        <f t="shared" si="6"/>
        <v>14403557128.128292</v>
      </c>
      <c r="AG13" s="11">
        <f t="shared" si="7"/>
        <v>14875483622.078798</v>
      </c>
      <c r="AH13" s="10">
        <f t="shared" ref="AH13" si="38">5%*AG13</f>
        <v>743774181.10394001</v>
      </c>
      <c r="AI13" s="11">
        <f t="shared" si="9"/>
        <v>1487548362.20788</v>
      </c>
      <c r="AJ13" s="11">
        <f t="shared" si="10"/>
        <v>892529017.32472789</v>
      </c>
      <c r="AK13" s="10">
        <f t="shared" si="31"/>
        <v>36896215.962746099</v>
      </c>
      <c r="AL13" s="11">
        <f t="shared" si="11"/>
        <v>14875483622.078798</v>
      </c>
      <c r="AM13" s="10">
        <f t="shared" si="32"/>
        <v>10669729635.457447</v>
      </c>
      <c r="AN13" s="30">
        <f t="shared" si="12"/>
        <v>48640000</v>
      </c>
      <c r="AO13" s="10">
        <f t="shared" si="13"/>
        <v>10718369635.457447</v>
      </c>
      <c r="AP13" s="10">
        <f t="shared" si="14"/>
        <v>4157113986.6213512</v>
      </c>
      <c r="AQ13" s="10">
        <f t="shared" si="15"/>
        <v>415711398.66213512</v>
      </c>
      <c r="AR13" s="10">
        <f t="shared" si="16"/>
        <v>3741402587.9592161</v>
      </c>
    </row>
    <row r="14" spans="1:44" x14ac:dyDescent="0.25">
      <c r="H14" s="3">
        <v>2030</v>
      </c>
      <c r="I14" s="3">
        <v>8</v>
      </c>
      <c r="J14" s="3"/>
      <c r="K14" s="3"/>
      <c r="L14" s="36">
        <f t="shared" si="17"/>
        <v>73300258.204984874</v>
      </c>
      <c r="M14" s="36">
        <f t="shared" si="18"/>
        <v>64767749.91818364</v>
      </c>
      <c r="N14" s="36">
        <f t="shared" si="19"/>
        <v>73300258.204984874</v>
      </c>
      <c r="O14" s="36">
        <f t="shared" si="20"/>
        <v>75008459.639520079</v>
      </c>
      <c r="P14" s="36">
        <f t="shared" si="33"/>
        <v>8569121.3438976035</v>
      </c>
      <c r="Q14" s="36">
        <f t="shared" si="0"/>
        <v>66439338.295622475</v>
      </c>
      <c r="R14" s="10">
        <f t="shared" si="21"/>
        <v>40.553733117431022</v>
      </c>
      <c r="S14" s="10">
        <f t="shared" si="22"/>
        <v>54.071644156574685</v>
      </c>
      <c r="T14" s="10">
        <f t="shared" si="1"/>
        <v>32.442986493944808</v>
      </c>
      <c r="U14" s="10">
        <f t="shared" si="2"/>
        <v>6474697835.0817852</v>
      </c>
      <c r="V14" s="10">
        <f t="shared" si="3"/>
        <v>6843091255.0279684</v>
      </c>
      <c r="W14" s="10">
        <f t="shared" si="23"/>
        <v>112.64925865953062</v>
      </c>
      <c r="X14" s="10">
        <f t="shared" si="24"/>
        <v>56.324629329765308</v>
      </c>
      <c r="Y14" s="11">
        <f t="shared" si="4"/>
        <v>15553258759.672985</v>
      </c>
      <c r="Z14" s="11">
        <f t="shared" si="5"/>
        <v>16224214534.552168</v>
      </c>
      <c r="AA14" s="10">
        <f t="shared" si="25"/>
        <v>675895551.95718372</v>
      </c>
      <c r="AB14" s="10">
        <f t="shared" si="26"/>
        <v>590982177.515625</v>
      </c>
      <c r="AC14" s="10">
        <f t="shared" si="27"/>
        <v>857435524.00000072</v>
      </c>
      <c r="AD14" s="10">
        <f t="shared" si="28"/>
        <v>738727721.89453125</v>
      </c>
      <c r="AE14" s="10">
        <f t="shared" si="29"/>
        <v>1529511431.2695303</v>
      </c>
      <c r="AF14" s="11">
        <f t="shared" si="6"/>
        <v>15553258759.672985</v>
      </c>
      <c r="AG14" s="11">
        <f t="shared" si="7"/>
        <v>16224214534.552168</v>
      </c>
      <c r="AH14" s="10">
        <f t="shared" ref="AH14" si="39">5%*AG14</f>
        <v>811210726.72760844</v>
      </c>
      <c r="AI14" s="11">
        <f t="shared" si="9"/>
        <v>1622421453.4552169</v>
      </c>
      <c r="AJ14" s="11">
        <f t="shared" si="10"/>
        <v>973452872.07313001</v>
      </c>
      <c r="AK14" s="10">
        <f t="shared" si="31"/>
        <v>38003102.441628486</v>
      </c>
      <c r="AL14" s="11">
        <f t="shared" si="11"/>
        <v>16224214534.552168</v>
      </c>
      <c r="AM14" s="10">
        <f t="shared" si="32"/>
        <v>11741684636.111824</v>
      </c>
      <c r="AN14" s="30">
        <f t="shared" si="12"/>
        <v>48640000</v>
      </c>
      <c r="AO14" s="10">
        <f t="shared" si="13"/>
        <v>11790324636.111824</v>
      </c>
      <c r="AP14" s="10">
        <f t="shared" si="14"/>
        <v>4433889898.4403439</v>
      </c>
      <c r="AQ14" s="10">
        <f t="shared" si="15"/>
        <v>443388989.84403443</v>
      </c>
      <c r="AR14" s="10">
        <f t="shared" si="16"/>
        <v>3990500908.5963097</v>
      </c>
    </row>
    <row r="15" spans="1:44" x14ac:dyDescent="0.25">
      <c r="H15" s="3">
        <v>2031</v>
      </c>
      <c r="I15" s="3">
        <v>9</v>
      </c>
      <c r="J15" s="3"/>
      <c r="K15" s="3"/>
      <c r="L15" s="36">
        <f t="shared" si="17"/>
        <v>76965271.115234122</v>
      </c>
      <c r="M15" s="36">
        <f t="shared" si="18"/>
        <v>69949169.911638334</v>
      </c>
      <c r="N15" s="36">
        <f t="shared" si="19"/>
        <v>76965271.115234122</v>
      </c>
      <c r="O15" s="36">
        <f t="shared" si="20"/>
        <v>82509305.603472099</v>
      </c>
      <c r="P15" s="36">
        <f t="shared" si="33"/>
        <v>9254651.0514094122</v>
      </c>
      <c r="Q15" s="36">
        <f t="shared" si="0"/>
        <v>73254654.55206269</v>
      </c>
      <c r="R15" s="10">
        <f t="shared" si="21"/>
        <v>41.162039114192481</v>
      </c>
      <c r="S15" s="10">
        <f t="shared" si="22"/>
        <v>54.882718818923301</v>
      </c>
      <c r="T15" s="10">
        <f t="shared" si="1"/>
        <v>32.929631291353978</v>
      </c>
      <c r="U15" s="10">
        <f t="shared" si="2"/>
        <v>7007048123.9572325</v>
      </c>
      <c r="V15" s="10">
        <f t="shared" si="3"/>
        <v>7493214354.8909655</v>
      </c>
      <c r="W15" s="10">
        <f t="shared" si="23"/>
        <v>114.33899753942356</v>
      </c>
      <c r="X15" s="10">
        <f t="shared" si="24"/>
        <v>57.16949876971178</v>
      </c>
      <c r="Y15" s="11">
        <f t="shared" si="4"/>
        <v>16798049911.077358</v>
      </c>
      <c r="Z15" s="11">
        <f t="shared" si="5"/>
        <v>17705079473.143105</v>
      </c>
      <c r="AA15" s="10">
        <f t="shared" si="25"/>
        <v>686033985.23654139</v>
      </c>
      <c r="AB15" s="10">
        <f t="shared" si="26"/>
        <v>620531286.3914063</v>
      </c>
      <c r="AC15" s="10">
        <f t="shared" si="27"/>
        <v>943179076.40000081</v>
      </c>
      <c r="AD15" s="10">
        <f t="shared" si="28"/>
        <v>775664107.98925781</v>
      </c>
      <c r="AE15" s="10">
        <f t="shared" si="29"/>
        <v>1758938145.9599597</v>
      </c>
      <c r="AF15" s="11">
        <f t="shared" si="6"/>
        <v>16798049911.077358</v>
      </c>
      <c r="AG15" s="11">
        <f t="shared" si="7"/>
        <v>17705079473.143105</v>
      </c>
      <c r="AH15" s="10">
        <f t="shared" ref="AH15" si="40">5%*AG15</f>
        <v>885253973.65715528</v>
      </c>
      <c r="AI15" s="11">
        <f t="shared" si="9"/>
        <v>1770507947.3143106</v>
      </c>
      <c r="AJ15" s="11">
        <f t="shared" si="10"/>
        <v>1062304768.3885863</v>
      </c>
      <c r="AK15" s="10">
        <f t="shared" si="31"/>
        <v>39143195.514877342</v>
      </c>
      <c r="AL15" s="11">
        <f t="shared" si="11"/>
        <v>17705079473.143105</v>
      </c>
      <c r="AM15" s="10">
        <f t="shared" si="32"/>
        <v>12931075994.6961</v>
      </c>
      <c r="AN15" s="30">
        <f t="shared" si="12"/>
        <v>48640000</v>
      </c>
      <c r="AO15" s="10">
        <f t="shared" si="13"/>
        <v>12979715994.6961</v>
      </c>
      <c r="AP15" s="10">
        <f t="shared" si="14"/>
        <v>4725363478.4470043</v>
      </c>
      <c r="AQ15" s="10">
        <f t="shared" si="15"/>
        <v>472536347.84470046</v>
      </c>
      <c r="AR15" s="10">
        <f t="shared" si="16"/>
        <v>4252827130.602304</v>
      </c>
    </row>
    <row r="16" spans="1:44" x14ac:dyDescent="0.25">
      <c r="A16" s="12"/>
      <c r="B16" s="65" t="s">
        <v>9</v>
      </c>
      <c r="C16" s="65"/>
      <c r="H16" s="3">
        <v>2032</v>
      </c>
      <c r="I16" s="3">
        <v>10</v>
      </c>
      <c r="J16" s="3"/>
      <c r="K16" s="3"/>
      <c r="L16" s="36">
        <f t="shared" si="17"/>
        <v>80813534.670995831</v>
      </c>
      <c r="M16" s="36">
        <f t="shared" si="18"/>
        <v>75545103.504569411</v>
      </c>
      <c r="N16" s="36">
        <f t="shared" si="19"/>
        <v>80813534.670995831</v>
      </c>
      <c r="O16" s="36">
        <f t="shared" si="20"/>
        <v>90760236.163819313</v>
      </c>
      <c r="P16" s="36">
        <f t="shared" si="33"/>
        <v>9995023.1355221663</v>
      </c>
      <c r="Q16" s="36">
        <f t="shared" si="0"/>
        <v>80765213.028297141</v>
      </c>
      <c r="R16" s="10">
        <f t="shared" si="21"/>
        <v>41.779469700905366</v>
      </c>
      <c r="S16" s="10">
        <f t="shared" si="22"/>
        <v>55.705959601207148</v>
      </c>
      <c r="T16" s="10">
        <f t="shared" si="1"/>
        <v>33.42357576072429</v>
      </c>
      <c r="U16" s="10">
        <f t="shared" si="2"/>
        <v>7584659107.1044922</v>
      </c>
      <c r="V16" s="10">
        <f t="shared" si="3"/>
        <v>8209519730.3474627</v>
      </c>
      <c r="W16" s="10">
        <f t="shared" si="23"/>
        <v>116.0540825025149</v>
      </c>
      <c r="X16" s="10">
        <f t="shared" si="24"/>
        <v>58.027041251257451</v>
      </c>
      <c r="Y16" s="11">
        <f t="shared" si="4"/>
        <v>18146058294.807926</v>
      </c>
      <c r="Z16" s="11">
        <f t="shared" si="5"/>
        <v>19331854935.939003</v>
      </c>
      <c r="AA16" s="10">
        <f t="shared" si="25"/>
        <v>696324495.01508939</v>
      </c>
      <c r="AB16" s="10">
        <f t="shared" si="26"/>
        <v>651557850.7109766</v>
      </c>
      <c r="AC16" s="10">
        <f t="shared" si="27"/>
        <v>1037496984.040001</v>
      </c>
      <c r="AD16" s="10">
        <f t="shared" si="28"/>
        <v>814447313.38872075</v>
      </c>
      <c r="AE16" s="10">
        <f t="shared" si="29"/>
        <v>2022778867.8539536</v>
      </c>
      <c r="AF16" s="11">
        <f t="shared" si="6"/>
        <v>18146058294.807926</v>
      </c>
      <c r="AG16" s="11">
        <f t="shared" si="7"/>
        <v>19331854935.939003</v>
      </c>
      <c r="AH16" s="10">
        <f t="shared" ref="AH16" si="41">5%*AG16</f>
        <v>966592746.79695022</v>
      </c>
      <c r="AI16" s="11">
        <f t="shared" si="9"/>
        <v>1933185493.5939004</v>
      </c>
      <c r="AJ16" s="11">
        <f t="shared" si="10"/>
        <v>1159911296.1563401</v>
      </c>
      <c r="AK16" s="10">
        <f t="shared" si="31"/>
        <v>40317491.380323663</v>
      </c>
      <c r="AL16" s="11">
        <f t="shared" si="11"/>
        <v>19331854935.939003</v>
      </c>
      <c r="AM16" s="10">
        <f t="shared" si="32"/>
        <v>14251670643.368282</v>
      </c>
      <c r="AN16" s="30">
        <f t="shared" si="12"/>
        <v>48640000</v>
      </c>
      <c r="AO16" s="10">
        <f t="shared" si="13"/>
        <v>14300310643.368282</v>
      </c>
      <c r="AP16" s="10">
        <f t="shared" si="14"/>
        <v>5031544292.5707207</v>
      </c>
      <c r="AQ16" s="10">
        <f t="shared" si="15"/>
        <v>503154429.25707209</v>
      </c>
      <c r="AR16" s="10">
        <f t="shared" si="16"/>
        <v>4528389863.3136482</v>
      </c>
    </row>
    <row r="17" spans="1:3" x14ac:dyDescent="0.25">
      <c r="A17" s="12"/>
      <c r="B17" s="20" t="s">
        <v>10</v>
      </c>
      <c r="C17" s="19" t="s">
        <v>11</v>
      </c>
    </row>
    <row r="18" spans="1:3" x14ac:dyDescent="0.25">
      <c r="A18" s="18">
        <v>2020</v>
      </c>
      <c r="B18" s="19">
        <v>45000000</v>
      </c>
      <c r="C18" s="19">
        <v>30000000</v>
      </c>
    </row>
    <row r="19" spans="1:3" x14ac:dyDescent="0.25">
      <c r="A19" s="18">
        <v>2021</v>
      </c>
      <c r="B19" s="19">
        <f>B18*(1+B12)</f>
        <v>47250000</v>
      </c>
      <c r="C19" s="19">
        <f>C18*(1+B13)</f>
        <v>32400000.000000004</v>
      </c>
    </row>
    <row r="20" spans="1:3" x14ac:dyDescent="0.25">
      <c r="A20" s="18">
        <v>2022</v>
      </c>
      <c r="B20" s="19">
        <f>B19*(1+B12)</f>
        <v>49612500</v>
      </c>
      <c r="C20" s="19">
        <f>C19*(1+B13)</f>
        <v>34992000.000000007</v>
      </c>
    </row>
    <row r="23" spans="1:3" x14ac:dyDescent="0.25">
      <c r="A23" s="21" t="s">
        <v>45</v>
      </c>
      <c r="B23" s="22">
        <v>2432000000</v>
      </c>
    </row>
  </sheetData>
  <mergeCells count="14">
    <mergeCell ref="AD4:AE4"/>
    <mergeCell ref="AF4:AG4"/>
    <mergeCell ref="AH4:AJ4"/>
    <mergeCell ref="W3:Z3"/>
    <mergeCell ref="U4:V4"/>
    <mergeCell ref="W4:X4"/>
    <mergeCell ref="Y4:Z4"/>
    <mergeCell ref="AB4:AC4"/>
    <mergeCell ref="B16:C16"/>
    <mergeCell ref="L4:M4"/>
    <mergeCell ref="N4:Q4"/>
    <mergeCell ref="L3:Q3"/>
    <mergeCell ref="R3:T3"/>
    <mergeCell ref="R4:S4"/>
  </mergeCells>
  <pageMargins left="0.7" right="0.7" top="0.75" bottom="0.75" header="0.3" footer="0.3"/>
  <pageSetup orientation="portrait" r:id="rId1"/>
  <ignoredErrors>
    <ignoredError sqref="AC7:AC9 AI6:AI16 AC10:AC16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D8D072-22F5-44BA-A819-D9A659450B63}">
  <dimension ref="A1:D7"/>
  <sheetViews>
    <sheetView workbookViewId="0">
      <selection activeCell="B9" sqref="B9"/>
    </sheetView>
  </sheetViews>
  <sheetFormatPr defaultRowHeight="15" x14ac:dyDescent="0.25"/>
  <cols>
    <col min="1" max="1" width="47.85546875" style="2" bestFit="1" customWidth="1"/>
    <col min="2" max="2" width="16.28515625" style="2" bestFit="1" customWidth="1"/>
    <col min="3" max="3" width="9.140625" style="2" customWidth="1"/>
    <col min="4" max="4" width="9.140625" style="2"/>
  </cols>
  <sheetData>
    <row r="1" spans="1:4" x14ac:dyDescent="0.25">
      <c r="A1" s="58" t="s">
        <v>50</v>
      </c>
      <c r="B1" s="61">
        <f>200000000</f>
        <v>200000000</v>
      </c>
      <c r="C1"/>
      <c r="D1"/>
    </row>
    <row r="2" spans="1:4" x14ac:dyDescent="0.25">
      <c r="A2" s="58" t="s">
        <v>51</v>
      </c>
      <c r="B2" s="60">
        <f>'Ques 1'!AA16</f>
        <v>696324495.01508939</v>
      </c>
      <c r="C2"/>
      <c r="D2"/>
    </row>
    <row r="3" spans="1:4" x14ac:dyDescent="0.25">
      <c r="A3" s="58" t="s">
        <v>52</v>
      </c>
      <c r="B3" s="59">
        <v>0.11</v>
      </c>
      <c r="C3"/>
      <c r="D3"/>
    </row>
    <row r="4" spans="1:4" x14ac:dyDescent="0.25">
      <c r="A4" s="58" t="s">
        <v>53</v>
      </c>
      <c r="B4" s="60">
        <f>B1+B2</f>
        <v>896324495.01508939</v>
      </c>
      <c r="C4"/>
      <c r="D4"/>
    </row>
    <row r="5" spans="1:4" x14ac:dyDescent="0.25">
      <c r="A5" s="58" t="s">
        <v>54</v>
      </c>
      <c r="B5" s="60">
        <f>B4*((1-B3)^10)</f>
        <v>279489393.69928896</v>
      </c>
      <c r="C5"/>
      <c r="D5"/>
    </row>
    <row r="6" spans="1:4" x14ac:dyDescent="0.25">
      <c r="A6" s="58" t="s">
        <v>55</v>
      </c>
      <c r="B6" s="62">
        <f>B4*((1-B7)^10)</f>
        <v>8.3286846694788092E-4</v>
      </c>
      <c r="C6"/>
      <c r="D6"/>
    </row>
    <row r="7" spans="1:4" x14ac:dyDescent="0.25">
      <c r="A7" s="63" t="s">
        <v>48</v>
      </c>
      <c r="B7" s="64">
        <v>0.93736586046883108</v>
      </c>
      <c r="C7"/>
      <c r="D7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F1DDEC-E552-4EA7-BE5D-501168FC597B}">
  <dimension ref="A2:AS28"/>
  <sheetViews>
    <sheetView topLeftCell="E1" workbookViewId="0">
      <selection activeCell="L4" sqref="L4:M4"/>
    </sheetView>
  </sheetViews>
  <sheetFormatPr defaultRowHeight="15" x14ac:dyDescent="0.25"/>
  <cols>
    <col min="1" max="1" width="35.85546875" style="2" bestFit="1" customWidth="1"/>
    <col min="2" max="2" width="39" style="2" bestFit="1" customWidth="1"/>
    <col min="3" max="3" width="17.42578125" style="2" bestFit="1" customWidth="1"/>
    <col min="4" max="7" width="9.140625" style="2"/>
    <col min="8" max="8" width="6" style="2" bestFit="1" customWidth="1"/>
    <col min="9" max="9" width="5.42578125" style="2" bestFit="1" customWidth="1"/>
    <col min="10" max="10" width="16.28515625" style="2" bestFit="1" customWidth="1"/>
    <col min="11" max="11" width="18" style="2" bestFit="1" customWidth="1"/>
    <col min="12" max="13" width="12.5703125" style="2" bestFit="1" customWidth="1"/>
    <col min="14" max="14" width="13.28515625" style="2" bestFit="1" customWidth="1"/>
    <col min="15" max="15" width="13.42578125" style="2" bestFit="1" customWidth="1"/>
    <col min="16" max="16" width="31.5703125" style="2" bestFit="1" customWidth="1"/>
    <col min="17" max="17" width="28.7109375" style="2" bestFit="1" customWidth="1"/>
    <col min="18" max="18" width="13.140625" style="2" bestFit="1" customWidth="1"/>
    <col min="19" max="19" width="12.5703125" style="2" bestFit="1" customWidth="1"/>
    <col min="20" max="20" width="15" style="2" bestFit="1" customWidth="1"/>
    <col min="21" max="22" width="20.28515625" style="2" bestFit="1" customWidth="1"/>
    <col min="23" max="23" width="15.140625" style="2" bestFit="1" customWidth="1"/>
    <col min="24" max="24" width="9.7109375" style="2" bestFit="1" customWidth="1"/>
    <col min="25" max="26" width="20.28515625" style="2" bestFit="1" customWidth="1"/>
    <col min="27" max="27" width="24.28515625" style="2" bestFit="1" customWidth="1"/>
    <col min="28" max="28" width="16.28515625" style="2" bestFit="1" customWidth="1"/>
    <col min="29" max="29" width="21.28515625" style="2" bestFit="1" customWidth="1"/>
    <col min="30" max="30" width="24.42578125" style="2" bestFit="1" customWidth="1"/>
    <col min="31" max="31" width="27.5703125" style="2" bestFit="1" customWidth="1"/>
    <col min="32" max="33" width="20.28515625" style="2" bestFit="1" customWidth="1"/>
    <col min="34" max="36" width="19.28515625" style="2" bestFit="1" customWidth="1"/>
    <col min="37" max="37" width="15.28515625" style="2" bestFit="1" customWidth="1"/>
    <col min="38" max="38" width="20.28515625" style="2" bestFit="1" customWidth="1"/>
    <col min="39" max="39" width="24.5703125" style="2" bestFit="1" customWidth="1"/>
    <col min="40" max="40" width="18.5703125" style="2" bestFit="1" customWidth="1"/>
    <col min="41" max="41" width="24.140625" style="2" bestFit="1" customWidth="1"/>
    <col min="42" max="42" width="18" style="2" bestFit="1" customWidth="1"/>
    <col min="43" max="43" width="16.28515625" style="2" bestFit="1" customWidth="1"/>
    <col min="44" max="44" width="23.85546875" style="2" bestFit="1" customWidth="1"/>
    <col min="45" max="45" width="23.28515625" style="2" bestFit="1" customWidth="1"/>
    <col min="46" max="16384" width="9.140625" style="2"/>
  </cols>
  <sheetData>
    <row r="2" spans="1:45" x14ac:dyDescent="0.25">
      <c r="A2" s="50" t="s">
        <v>0</v>
      </c>
      <c r="B2" s="51">
        <v>0.1</v>
      </c>
    </row>
    <row r="3" spans="1:45" x14ac:dyDescent="0.25">
      <c r="A3" s="50" t="s">
        <v>2</v>
      </c>
      <c r="B3" s="51">
        <v>0.02</v>
      </c>
      <c r="H3" s="31"/>
      <c r="I3" s="31"/>
      <c r="J3" s="31"/>
      <c r="K3" s="31"/>
      <c r="L3" s="67" t="s">
        <v>20</v>
      </c>
      <c r="M3" s="67"/>
      <c r="N3" s="67"/>
      <c r="O3" s="67"/>
      <c r="P3" s="67"/>
      <c r="Q3" s="67"/>
      <c r="R3" s="66" t="s">
        <v>21</v>
      </c>
      <c r="S3" s="66"/>
      <c r="T3" s="66"/>
      <c r="U3" s="32"/>
      <c r="V3" s="32"/>
      <c r="W3" s="67" t="s">
        <v>22</v>
      </c>
      <c r="X3" s="67"/>
      <c r="Y3" s="67"/>
      <c r="Z3" s="67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</row>
    <row r="4" spans="1:45" x14ac:dyDescent="0.25">
      <c r="A4" s="50" t="s">
        <v>1</v>
      </c>
      <c r="B4" s="52">
        <v>1.4999999999999999E-2</v>
      </c>
      <c r="H4" s="33"/>
      <c r="I4" s="33"/>
      <c r="J4" s="33"/>
      <c r="K4" s="33"/>
      <c r="L4" s="66" t="s">
        <v>58</v>
      </c>
      <c r="M4" s="66"/>
      <c r="N4" s="66" t="s">
        <v>59</v>
      </c>
      <c r="O4" s="66"/>
      <c r="P4" s="66"/>
      <c r="Q4" s="66"/>
      <c r="R4" s="66" t="s">
        <v>58</v>
      </c>
      <c r="S4" s="66"/>
      <c r="T4" s="5" t="s">
        <v>59</v>
      </c>
      <c r="U4" s="67" t="s">
        <v>23</v>
      </c>
      <c r="V4" s="67"/>
      <c r="W4" s="67" t="s">
        <v>24</v>
      </c>
      <c r="X4" s="67"/>
      <c r="Y4" s="67" t="s">
        <v>25</v>
      </c>
      <c r="Z4" s="67"/>
      <c r="AA4" s="4"/>
      <c r="AB4" s="67" t="s">
        <v>26</v>
      </c>
      <c r="AC4" s="67"/>
      <c r="AD4" s="66" t="s">
        <v>27</v>
      </c>
      <c r="AE4" s="66"/>
      <c r="AF4" s="66" t="s">
        <v>28</v>
      </c>
      <c r="AG4" s="66"/>
      <c r="AH4" s="67" t="s">
        <v>29</v>
      </c>
      <c r="AI4" s="67"/>
      <c r="AJ4" s="67"/>
      <c r="AK4" s="4"/>
      <c r="AL4" s="4"/>
      <c r="AM4" s="4"/>
      <c r="AN4" s="4"/>
      <c r="AO4" s="4"/>
      <c r="AP4" s="4"/>
      <c r="AQ4" s="4"/>
      <c r="AR4" s="34"/>
    </row>
    <row r="5" spans="1:45" x14ac:dyDescent="0.25">
      <c r="A5" s="50" t="s">
        <v>3</v>
      </c>
      <c r="B5" s="53">
        <v>0.11</v>
      </c>
      <c r="H5" s="35" t="s">
        <v>12</v>
      </c>
      <c r="I5" s="35" t="s">
        <v>13</v>
      </c>
      <c r="J5" s="35" t="s">
        <v>14</v>
      </c>
      <c r="K5" s="35" t="s">
        <v>15</v>
      </c>
      <c r="L5" s="35" t="s">
        <v>16</v>
      </c>
      <c r="M5" s="35" t="s">
        <v>8</v>
      </c>
      <c r="N5" s="35" t="s">
        <v>17</v>
      </c>
      <c r="O5" s="35" t="s">
        <v>18</v>
      </c>
      <c r="P5" s="35" t="s">
        <v>60</v>
      </c>
      <c r="Q5" s="35" t="s">
        <v>19</v>
      </c>
      <c r="R5" s="5" t="s">
        <v>17</v>
      </c>
      <c r="S5" s="5" t="s">
        <v>8</v>
      </c>
      <c r="T5" s="5" t="s">
        <v>8</v>
      </c>
      <c r="U5" s="5" t="s">
        <v>56</v>
      </c>
      <c r="V5" s="5" t="s">
        <v>61</v>
      </c>
      <c r="W5" s="5" t="s">
        <v>30</v>
      </c>
      <c r="X5" s="5" t="s">
        <v>62</v>
      </c>
      <c r="Y5" s="5" t="s">
        <v>56</v>
      </c>
      <c r="Z5" s="6" t="s">
        <v>61</v>
      </c>
      <c r="AA5" s="5" t="s">
        <v>31</v>
      </c>
      <c r="AB5" s="5" t="s">
        <v>32</v>
      </c>
      <c r="AC5" s="5" t="s">
        <v>33</v>
      </c>
      <c r="AD5" s="5" t="s">
        <v>34</v>
      </c>
      <c r="AE5" s="5" t="s">
        <v>35</v>
      </c>
      <c r="AF5" s="5" t="s">
        <v>56</v>
      </c>
      <c r="AG5" s="5" t="s">
        <v>61</v>
      </c>
      <c r="AH5" s="5" t="s">
        <v>36</v>
      </c>
      <c r="AI5" s="5" t="s">
        <v>37</v>
      </c>
      <c r="AJ5" s="5" t="s">
        <v>38</v>
      </c>
      <c r="AK5" s="5" t="s">
        <v>39</v>
      </c>
      <c r="AL5" s="5" t="s">
        <v>28</v>
      </c>
      <c r="AM5" s="7" t="s">
        <v>63</v>
      </c>
      <c r="AN5" s="6" t="s">
        <v>40</v>
      </c>
      <c r="AO5" s="6" t="s">
        <v>41</v>
      </c>
      <c r="AP5" s="5" t="s">
        <v>42</v>
      </c>
      <c r="AQ5" s="8" t="s">
        <v>43</v>
      </c>
      <c r="AR5" s="8" t="s">
        <v>44</v>
      </c>
      <c r="AS5" s="41" t="s">
        <v>46</v>
      </c>
    </row>
    <row r="6" spans="1:45" x14ac:dyDescent="0.25">
      <c r="A6" s="54" t="s">
        <v>4</v>
      </c>
      <c r="B6" s="55">
        <v>100</v>
      </c>
      <c r="H6" s="3">
        <v>2022</v>
      </c>
      <c r="I6" s="3">
        <v>0</v>
      </c>
      <c r="J6" s="9">
        <v>150000000</v>
      </c>
      <c r="K6" s="9">
        <v>1000000000</v>
      </c>
      <c r="L6" s="3">
        <f>B20</f>
        <v>49612500</v>
      </c>
      <c r="M6" s="3">
        <f>C20</f>
        <v>34992000.000000007</v>
      </c>
      <c r="N6" s="3">
        <f>B20</f>
        <v>49612500</v>
      </c>
      <c r="O6" s="3">
        <f>C20</f>
        <v>34992000.000000007</v>
      </c>
      <c r="P6" s="3">
        <v>0</v>
      </c>
      <c r="Q6" s="3">
        <f>O6-P6</f>
        <v>34992000.000000007</v>
      </c>
      <c r="R6" s="9">
        <v>36</v>
      </c>
      <c r="S6" s="9">
        <v>48</v>
      </c>
      <c r="T6" s="10">
        <f>S6*60%</f>
        <v>28.799999999999997</v>
      </c>
      <c r="U6" s="10">
        <f>(R6*L6)+(S6*M6)</f>
        <v>3465666000.0000005</v>
      </c>
      <c r="V6" s="10">
        <f>(R6*N6)+(Q6*S6)+(P6*T6)</f>
        <v>3465666000.0000005</v>
      </c>
      <c r="W6" s="9">
        <v>100</v>
      </c>
      <c r="X6" s="9">
        <v>50</v>
      </c>
      <c r="Y6" s="11">
        <f>(L6+M6)*W6</f>
        <v>8460450000</v>
      </c>
      <c r="Z6" s="11">
        <f>((N6+Q6)*W6+(P6*X6))</f>
        <v>8460450000</v>
      </c>
      <c r="AA6" s="9">
        <v>600000000</v>
      </c>
      <c r="AB6" s="9">
        <v>400000000</v>
      </c>
      <c r="AC6" s="9">
        <v>400000000</v>
      </c>
      <c r="AD6" s="9">
        <v>500000000</v>
      </c>
      <c r="AE6" s="9">
        <f>500000000</f>
        <v>500000000</v>
      </c>
      <c r="AF6" s="11">
        <f>Y6</f>
        <v>8460450000</v>
      </c>
      <c r="AG6" s="11">
        <f>Z6</f>
        <v>8460450000</v>
      </c>
      <c r="AH6" s="10">
        <f>5%*AG6</f>
        <v>423022500</v>
      </c>
      <c r="AI6" s="11">
        <f>10%*AG6</f>
        <v>846045000</v>
      </c>
      <c r="AJ6" s="11">
        <f>6%*AG6</f>
        <v>507627000</v>
      </c>
      <c r="AK6" s="9">
        <f>30000000</f>
        <v>30000000</v>
      </c>
      <c r="AL6" s="11">
        <f>Z6</f>
        <v>8460450000</v>
      </c>
      <c r="AM6" s="10">
        <f>J6+K6+V6+AH6+AI6+AJ6-AK6</f>
        <v>6362360500</v>
      </c>
      <c r="AN6" s="30">
        <f>$B$3*$B$23</f>
        <v>48640000</v>
      </c>
      <c r="AO6" s="10">
        <f>AM6+AN6</f>
        <v>6411000500</v>
      </c>
      <c r="AP6" s="10">
        <f>AL6-AO6</f>
        <v>2049449500</v>
      </c>
      <c r="AQ6" s="10">
        <f>AP6*$B$2</f>
        <v>204944950</v>
      </c>
      <c r="AR6" s="40">
        <f>AP6-AQ6</f>
        <v>1844504550</v>
      </c>
      <c r="AS6" s="42">
        <f>AR6*((1-$B$4)^I6)</f>
        <v>1844504550</v>
      </c>
    </row>
    <row r="7" spans="1:45" x14ac:dyDescent="0.25">
      <c r="A7" s="56" t="s">
        <v>5</v>
      </c>
      <c r="B7" s="55">
        <v>50</v>
      </c>
      <c r="H7" s="3">
        <v>2023</v>
      </c>
      <c r="I7" s="3">
        <v>1</v>
      </c>
      <c r="J7" s="3"/>
      <c r="K7" s="3"/>
      <c r="L7" s="3">
        <f>L6*(1+$B$12)</f>
        <v>52093125</v>
      </c>
      <c r="M7" s="3">
        <f>M6*(1+$B$13)</f>
        <v>37791360.000000007</v>
      </c>
      <c r="N7" s="3">
        <f>N6*(1+$C$12)</f>
        <v>52093125</v>
      </c>
      <c r="O7" s="3">
        <f>O6*(1+$C$13)</f>
        <v>38491200.000000015</v>
      </c>
      <c r="P7" s="3">
        <v>5000000</v>
      </c>
      <c r="Q7" s="3">
        <f t="shared" ref="Q7:Q24" si="0">O7-P7</f>
        <v>33491200.000000015</v>
      </c>
      <c r="R7" s="10">
        <f>R6*(1+$B$4)</f>
        <v>36.54</v>
      </c>
      <c r="S7" s="10">
        <f>S6*(1+$B$4)</f>
        <v>48.72</v>
      </c>
      <c r="T7" s="10">
        <f t="shared" ref="T7:T24" si="1">S7*60%</f>
        <v>29.231999999999999</v>
      </c>
      <c r="U7" s="10">
        <f t="shared" ref="U7:U24" si="2">(R7*L7)+(S7*M7)</f>
        <v>3744677846.7000003</v>
      </c>
      <c r="V7" s="10">
        <f t="shared" ref="V7:V24" si="3">(R7*N7)+(Q7*S7)+(P7*T7)</f>
        <v>3681334051.500001</v>
      </c>
      <c r="W7" s="10">
        <f>W6*(1+$B$4)</f>
        <v>101.49999999999999</v>
      </c>
      <c r="X7" s="10">
        <f>X6*(1+$B$4)</f>
        <v>50.749999999999993</v>
      </c>
      <c r="Y7" s="11">
        <f t="shared" ref="Y7:Y24" si="4">(L7+M7)*W7</f>
        <v>9123275227.4999981</v>
      </c>
      <c r="Z7" s="11">
        <f t="shared" ref="Z7:Z24" si="5">((N7+Q7)*W7+(P7*X7))</f>
        <v>8940558987.5</v>
      </c>
      <c r="AA7" s="10">
        <f>AA6*(1+$B$4)</f>
        <v>609000000</v>
      </c>
      <c r="AB7" s="10">
        <f>AB6*(1+5%)</f>
        <v>420000000</v>
      </c>
      <c r="AC7" s="10">
        <f>AC6*(1+10%)</f>
        <v>440000000.00000006</v>
      </c>
      <c r="AD7" s="10">
        <f>AD6*(1+5%)</f>
        <v>525000000</v>
      </c>
      <c r="AE7" s="10">
        <f>AE6*(1+15%)</f>
        <v>575000000</v>
      </c>
      <c r="AF7" s="11">
        <f t="shared" ref="AF7:AG22" si="6">Y7</f>
        <v>9123275227.4999981</v>
      </c>
      <c r="AG7" s="11">
        <f t="shared" si="6"/>
        <v>8940558987.5</v>
      </c>
      <c r="AH7" s="10">
        <f t="shared" ref="AH7" si="7">5%*AG7</f>
        <v>447027949.375</v>
      </c>
      <c r="AI7" s="11">
        <f t="shared" ref="AI7:AI24" si="8">10%*AG7</f>
        <v>894055898.75</v>
      </c>
      <c r="AJ7" s="11">
        <f t="shared" ref="AJ7:AJ24" si="9">6%*AG7</f>
        <v>536433539.25</v>
      </c>
      <c r="AK7" s="10">
        <f>AK6*(1+3%)</f>
        <v>30900000</v>
      </c>
      <c r="AL7" s="11">
        <f t="shared" ref="AL7:AL24" si="10">Z7</f>
        <v>8940558987.5</v>
      </c>
      <c r="AM7" s="10">
        <f>V7+AE7+AH7+AI7+AJ7-AK7</f>
        <v>6102951438.875001</v>
      </c>
      <c r="AN7" s="30">
        <f t="shared" ref="AN7:AN24" si="11">$B$3*$B$23</f>
        <v>48640000</v>
      </c>
      <c r="AO7" s="10">
        <f t="shared" ref="AO7:AO24" si="12">AM7+AN7</f>
        <v>6151591438.875001</v>
      </c>
      <c r="AP7" s="10">
        <f t="shared" ref="AP7:AP24" si="13">AL7-AO7</f>
        <v>2788967548.624999</v>
      </c>
      <c r="AQ7" s="10">
        <f t="shared" ref="AQ7:AQ24" si="14">AP7*$B$2</f>
        <v>278896754.86249989</v>
      </c>
      <c r="AR7" s="40">
        <f t="shared" ref="AR7:AR24" si="15">AP7-AQ7</f>
        <v>2510070793.7624993</v>
      </c>
      <c r="AS7" s="42">
        <f t="shared" ref="AS7:AS24" si="16">AR7*((1-$B$4)^I7)</f>
        <v>2472419731.8560619</v>
      </c>
    </row>
    <row r="8" spans="1:45" x14ac:dyDescent="0.25">
      <c r="H8" s="3">
        <v>2024</v>
      </c>
      <c r="I8" s="3">
        <v>2</v>
      </c>
      <c r="J8" s="3"/>
      <c r="K8" s="3"/>
      <c r="L8" s="3">
        <f t="shared" ref="L8:L24" si="17">L7*(1+$B$12)</f>
        <v>54697781.25</v>
      </c>
      <c r="M8" s="3">
        <f t="shared" ref="M8:M24" si="18">M7*(1+$B$13)</f>
        <v>40814668.800000012</v>
      </c>
      <c r="N8" s="3">
        <f t="shared" ref="N8:N24" si="19">N7*(1+$C$12)</f>
        <v>54697781.25</v>
      </c>
      <c r="O8" s="3">
        <f t="shared" ref="O8:O24" si="20">O7*(1+$C$13)</f>
        <v>42340320.000000022</v>
      </c>
      <c r="P8" s="3">
        <f>P7*(1+8%)</f>
        <v>5400000</v>
      </c>
      <c r="Q8" s="3">
        <f t="shared" si="0"/>
        <v>36940320.000000022</v>
      </c>
      <c r="R8" s="10">
        <f t="shared" ref="R8:S15" si="21">R7*(1+$B$4)</f>
        <v>37.088099999999997</v>
      </c>
      <c r="S8" s="10">
        <f t="shared" si="21"/>
        <v>49.450799999999994</v>
      </c>
      <c r="T8" s="10">
        <f t="shared" si="1"/>
        <v>29.670479999999994</v>
      </c>
      <c r="U8" s="10">
        <f t="shared" si="2"/>
        <v>4046954804.6731653</v>
      </c>
      <c r="V8" s="10">
        <f t="shared" si="3"/>
        <v>4015585749.0341258</v>
      </c>
      <c r="W8" s="10">
        <f t="shared" ref="W8:X16" si="22">W7*(1+$B$4)</f>
        <v>103.02249999999998</v>
      </c>
      <c r="X8" s="10">
        <f t="shared" si="22"/>
        <v>51.51124999999999</v>
      </c>
      <c r="Y8" s="11">
        <f t="shared" si="4"/>
        <v>9839931385.276125</v>
      </c>
      <c r="Z8" s="11">
        <f t="shared" si="5"/>
        <v>9718947036.0281258</v>
      </c>
      <c r="AA8" s="10">
        <f t="shared" ref="AA8:AA24" si="23">AA7*(1+$B$4)</f>
        <v>618135000</v>
      </c>
      <c r="AB8" s="10">
        <f t="shared" ref="AB8:AB24" si="24">AB7*(1+5%)</f>
        <v>441000000</v>
      </c>
      <c r="AC8" s="10">
        <f t="shared" ref="AC8:AC24" si="25">AC7*(1+10%)</f>
        <v>484000000.00000012</v>
      </c>
      <c r="AD8" s="10">
        <f t="shared" ref="AD8:AD24" si="26">AD7*(1+5%)</f>
        <v>551250000</v>
      </c>
      <c r="AE8" s="10">
        <f t="shared" ref="AE8:AE24" si="27">AE7*(1+15%)</f>
        <v>661250000</v>
      </c>
      <c r="AF8" s="11">
        <f t="shared" si="6"/>
        <v>9839931385.276125</v>
      </c>
      <c r="AG8" s="11">
        <f t="shared" si="6"/>
        <v>9718947036.0281258</v>
      </c>
      <c r="AH8" s="10">
        <f t="shared" ref="AH8" si="28">5%*AG8</f>
        <v>485947351.80140632</v>
      </c>
      <c r="AI8" s="11">
        <f t="shared" si="8"/>
        <v>971894703.60281265</v>
      </c>
      <c r="AJ8" s="11">
        <f t="shared" si="9"/>
        <v>583136822.16168749</v>
      </c>
      <c r="AK8" s="10">
        <f t="shared" ref="AK8:AK24" si="29">AK7*(1+3%)</f>
        <v>31827000</v>
      </c>
      <c r="AL8" s="11">
        <f t="shared" si="10"/>
        <v>9718947036.0281258</v>
      </c>
      <c r="AM8" s="10">
        <f t="shared" ref="AM8:AM24" si="30">V8+AE8+AH8+AI8+AJ8-AK8</f>
        <v>6685987626.6000328</v>
      </c>
      <c r="AN8" s="30">
        <f t="shared" si="11"/>
        <v>48640000</v>
      </c>
      <c r="AO8" s="10">
        <f t="shared" si="12"/>
        <v>6734627626.6000328</v>
      </c>
      <c r="AP8" s="10">
        <f t="shared" si="13"/>
        <v>2984319409.428093</v>
      </c>
      <c r="AQ8" s="10">
        <f t="shared" si="14"/>
        <v>298431940.94280928</v>
      </c>
      <c r="AR8" s="40">
        <f t="shared" si="15"/>
        <v>2685887468.4852839</v>
      </c>
      <c r="AS8" s="42">
        <f t="shared" si="16"/>
        <v>2605915169.1111345</v>
      </c>
    </row>
    <row r="9" spans="1:45" x14ac:dyDescent="0.25">
      <c r="H9" s="3">
        <v>2025</v>
      </c>
      <c r="I9" s="3">
        <v>3</v>
      </c>
      <c r="J9" s="3"/>
      <c r="K9" s="3"/>
      <c r="L9" s="3">
        <f t="shared" si="17"/>
        <v>57432670.3125</v>
      </c>
      <c r="M9" s="3">
        <f t="shared" si="18"/>
        <v>44079842.304000013</v>
      </c>
      <c r="N9" s="3">
        <f t="shared" si="19"/>
        <v>57432670.3125</v>
      </c>
      <c r="O9" s="3">
        <f t="shared" si="20"/>
        <v>46574352.00000003</v>
      </c>
      <c r="P9" s="3">
        <f t="shared" ref="P9:P24" si="31">P8*(1+8%)</f>
        <v>5832000</v>
      </c>
      <c r="Q9" s="3">
        <f t="shared" si="0"/>
        <v>40742352.00000003</v>
      </c>
      <c r="R9" s="10">
        <f t="shared" si="21"/>
        <v>37.644421499999993</v>
      </c>
      <c r="S9" s="10">
        <f t="shared" si="21"/>
        <v>50.192561999999988</v>
      </c>
      <c r="T9" s="10">
        <f t="shared" si="1"/>
        <v>30.115537199999991</v>
      </c>
      <c r="U9" s="10">
        <f t="shared" si="2"/>
        <v>4374499866.9080296</v>
      </c>
      <c r="V9" s="10">
        <f t="shared" si="3"/>
        <v>4382616490.8505116</v>
      </c>
      <c r="W9" s="10">
        <f t="shared" si="22"/>
        <v>104.56783749999997</v>
      </c>
      <c r="X9" s="10">
        <f t="shared" si="22"/>
        <v>52.283918749999984</v>
      </c>
      <c r="Y9" s="11">
        <f t="shared" si="4"/>
        <v>10614943923.498871</v>
      </c>
      <c r="Z9" s="11">
        <f t="shared" si="5"/>
        <v>10570869593.882374</v>
      </c>
      <c r="AA9" s="10">
        <f t="shared" si="23"/>
        <v>627407024.99999988</v>
      </c>
      <c r="AB9" s="10">
        <f t="shared" si="24"/>
        <v>463050000</v>
      </c>
      <c r="AC9" s="10">
        <f t="shared" si="25"/>
        <v>532400000.00000018</v>
      </c>
      <c r="AD9" s="10">
        <f t="shared" si="26"/>
        <v>578812500</v>
      </c>
      <c r="AE9" s="10">
        <f t="shared" si="27"/>
        <v>760437500</v>
      </c>
      <c r="AF9" s="11">
        <f t="shared" si="6"/>
        <v>10614943923.498871</v>
      </c>
      <c r="AG9" s="11">
        <f t="shared" si="6"/>
        <v>10570869593.882374</v>
      </c>
      <c r="AH9" s="10">
        <f t="shared" ref="AH9" si="32">5%*AG9</f>
        <v>528543479.69411874</v>
      </c>
      <c r="AI9" s="11">
        <f t="shared" si="8"/>
        <v>1057086959.3882375</v>
      </c>
      <c r="AJ9" s="11">
        <f t="shared" si="9"/>
        <v>634252175.63294244</v>
      </c>
      <c r="AK9" s="10">
        <f t="shared" si="29"/>
        <v>32781810</v>
      </c>
      <c r="AL9" s="11">
        <f t="shared" si="10"/>
        <v>10570869593.882374</v>
      </c>
      <c r="AM9" s="10">
        <f t="shared" si="30"/>
        <v>7330154795.5658092</v>
      </c>
      <c r="AN9" s="30">
        <f t="shared" si="11"/>
        <v>48640000</v>
      </c>
      <c r="AO9" s="10">
        <f t="shared" si="12"/>
        <v>7378794795.5658092</v>
      </c>
      <c r="AP9" s="10">
        <f t="shared" si="13"/>
        <v>3192074798.3165646</v>
      </c>
      <c r="AQ9" s="10">
        <f t="shared" si="14"/>
        <v>319207479.83165646</v>
      </c>
      <c r="AR9" s="40">
        <f t="shared" si="15"/>
        <v>2872867318.4849081</v>
      </c>
      <c r="AS9" s="42">
        <f t="shared" si="16"/>
        <v>2745517778.6658649</v>
      </c>
    </row>
    <row r="10" spans="1:45" x14ac:dyDescent="0.25">
      <c r="A10" s="13"/>
      <c r="B10" s="14" t="s">
        <v>6</v>
      </c>
      <c r="C10" s="15"/>
      <c r="H10" s="3">
        <v>2026</v>
      </c>
      <c r="I10" s="3">
        <v>4</v>
      </c>
      <c r="J10" s="3"/>
      <c r="K10" s="3"/>
      <c r="L10" s="3">
        <f t="shared" si="17"/>
        <v>60304303.828125</v>
      </c>
      <c r="M10" s="3">
        <f t="shared" si="18"/>
        <v>47606229.688320018</v>
      </c>
      <c r="N10" s="3">
        <f t="shared" si="19"/>
        <v>60304303.828125</v>
      </c>
      <c r="O10" s="3">
        <f t="shared" si="20"/>
        <v>51231787.20000004</v>
      </c>
      <c r="P10" s="3">
        <f t="shared" si="31"/>
        <v>6298560</v>
      </c>
      <c r="Q10" s="3">
        <f t="shared" si="0"/>
        <v>44933227.20000004</v>
      </c>
      <c r="R10" s="10">
        <f t="shared" si="21"/>
        <v>38.209087822499988</v>
      </c>
      <c r="S10" s="10">
        <f t="shared" si="21"/>
        <v>50.94545042999998</v>
      </c>
      <c r="T10" s="10">
        <f t="shared" si="1"/>
        <v>30.567270257999986</v>
      </c>
      <c r="U10" s="10">
        <f t="shared" si="2"/>
        <v>4729493255.7890511</v>
      </c>
      <c r="V10" s="10">
        <f t="shared" si="3"/>
        <v>4785845725.7773085</v>
      </c>
      <c r="W10" s="10">
        <f t="shared" si="22"/>
        <v>106.13635506249996</v>
      </c>
      <c r="X10" s="10">
        <f t="shared" si="22"/>
        <v>53.068177531249979</v>
      </c>
      <c r="Y10" s="11">
        <f t="shared" si="4"/>
        <v>11453230700.28521</v>
      </c>
      <c r="Z10" s="11">
        <f t="shared" si="5"/>
        <v>11503781059.373167</v>
      </c>
      <c r="AA10" s="10">
        <f t="shared" si="23"/>
        <v>636818130.37499976</v>
      </c>
      <c r="AB10" s="10">
        <f t="shared" si="24"/>
        <v>486202500</v>
      </c>
      <c r="AC10" s="10">
        <f t="shared" si="25"/>
        <v>585640000.00000024</v>
      </c>
      <c r="AD10" s="10">
        <f t="shared" si="26"/>
        <v>607753125</v>
      </c>
      <c r="AE10" s="10">
        <f t="shared" si="27"/>
        <v>874503124.99999988</v>
      </c>
      <c r="AF10" s="11">
        <f t="shared" si="6"/>
        <v>11453230700.28521</v>
      </c>
      <c r="AG10" s="11">
        <f t="shared" si="6"/>
        <v>11503781059.373167</v>
      </c>
      <c r="AH10" s="10">
        <f t="shared" ref="AH10" si="33">5%*AG10</f>
        <v>575189052.96865833</v>
      </c>
      <c r="AI10" s="11">
        <f t="shared" si="8"/>
        <v>1150378105.9373167</v>
      </c>
      <c r="AJ10" s="11">
        <f t="shared" si="9"/>
        <v>690226863.56238997</v>
      </c>
      <c r="AK10" s="10">
        <f t="shared" si="29"/>
        <v>33765264.300000004</v>
      </c>
      <c r="AL10" s="11">
        <f t="shared" si="10"/>
        <v>11503781059.373167</v>
      </c>
      <c r="AM10" s="10">
        <f t="shared" si="30"/>
        <v>8042377608.9456739</v>
      </c>
      <c r="AN10" s="30">
        <f t="shared" si="11"/>
        <v>48640000</v>
      </c>
      <c r="AO10" s="10">
        <f t="shared" si="12"/>
        <v>8091017608.9456739</v>
      </c>
      <c r="AP10" s="10">
        <f t="shared" si="13"/>
        <v>3412763450.4274931</v>
      </c>
      <c r="AQ10" s="10">
        <f t="shared" si="14"/>
        <v>341276345.04274935</v>
      </c>
      <c r="AR10" s="40">
        <f t="shared" si="15"/>
        <v>3071487105.3847437</v>
      </c>
      <c r="AS10" s="42">
        <f t="shared" si="16"/>
        <v>2891303077.0720406</v>
      </c>
    </row>
    <row r="11" spans="1:45" x14ac:dyDescent="0.25">
      <c r="A11" s="1"/>
      <c r="B11" s="14" t="s">
        <v>56</v>
      </c>
      <c r="C11" s="16" t="s">
        <v>57</v>
      </c>
      <c r="H11" s="3">
        <v>2027</v>
      </c>
      <c r="I11" s="3">
        <v>5</v>
      </c>
      <c r="J11" s="3"/>
      <c r="K11" s="3"/>
      <c r="L11" s="3">
        <f t="shared" si="17"/>
        <v>63319519.01953125</v>
      </c>
      <c r="M11" s="3">
        <f t="shared" si="18"/>
        <v>51414728.063385621</v>
      </c>
      <c r="N11" s="3">
        <f t="shared" si="19"/>
        <v>63319519.01953125</v>
      </c>
      <c r="O11" s="3">
        <f t="shared" si="20"/>
        <v>56354965.920000046</v>
      </c>
      <c r="P11" s="3">
        <f t="shared" si="31"/>
        <v>6802444.8000000007</v>
      </c>
      <c r="Q11" s="3">
        <f t="shared" si="0"/>
        <v>49552521.120000049</v>
      </c>
      <c r="R11" s="10">
        <f t="shared" si="21"/>
        <v>38.782224139837481</v>
      </c>
      <c r="S11" s="10">
        <f t="shared" si="21"/>
        <v>51.709632186449973</v>
      </c>
      <c r="T11" s="10">
        <f t="shared" si="1"/>
        <v>31.025779311869982</v>
      </c>
      <c r="U11" s="10">
        <f t="shared" si="2"/>
        <v>5114308456.1661816</v>
      </c>
      <c r="V11" s="10">
        <f t="shared" si="3"/>
        <v>5229065571.2146378</v>
      </c>
      <c r="W11" s="10">
        <f t="shared" si="22"/>
        <v>107.72840038843745</v>
      </c>
      <c r="X11" s="10">
        <f t="shared" si="22"/>
        <v>53.864200194218725</v>
      </c>
      <c r="Y11" s="11">
        <f t="shared" si="4"/>
        <v>12360136908.01438</v>
      </c>
      <c r="Z11" s="11">
        <f t="shared" si="5"/>
        <v>12525932581.328533</v>
      </c>
      <c r="AA11" s="10">
        <f t="shared" si="23"/>
        <v>646370402.3306247</v>
      </c>
      <c r="AB11" s="10">
        <f t="shared" si="24"/>
        <v>510512625</v>
      </c>
      <c r="AC11" s="10">
        <f t="shared" si="25"/>
        <v>644204000.00000036</v>
      </c>
      <c r="AD11" s="10">
        <f t="shared" si="26"/>
        <v>638140781.25</v>
      </c>
      <c r="AE11" s="10">
        <f t="shared" si="27"/>
        <v>1005678593.7499998</v>
      </c>
      <c r="AF11" s="11">
        <f t="shared" si="6"/>
        <v>12360136908.01438</v>
      </c>
      <c r="AG11" s="11">
        <f t="shared" si="6"/>
        <v>12525932581.328533</v>
      </c>
      <c r="AH11" s="10">
        <f t="shared" ref="AH11" si="34">5%*AG11</f>
        <v>626296629.06642663</v>
      </c>
      <c r="AI11" s="11">
        <f t="shared" si="8"/>
        <v>1252593258.1328533</v>
      </c>
      <c r="AJ11" s="11">
        <f t="shared" si="9"/>
        <v>751555954.87971199</v>
      </c>
      <c r="AK11" s="10">
        <f t="shared" si="29"/>
        <v>34778222.229000002</v>
      </c>
      <c r="AL11" s="11">
        <f t="shared" si="10"/>
        <v>12525932581.328533</v>
      </c>
      <c r="AM11" s="10">
        <f t="shared" si="30"/>
        <v>8830411784.8146286</v>
      </c>
      <c r="AN11" s="30">
        <f t="shared" si="11"/>
        <v>48640000</v>
      </c>
      <c r="AO11" s="10">
        <f t="shared" si="12"/>
        <v>8879051784.8146286</v>
      </c>
      <c r="AP11" s="10">
        <f t="shared" si="13"/>
        <v>3646880796.5139046</v>
      </c>
      <c r="AQ11" s="10">
        <f t="shared" si="14"/>
        <v>364688079.65139049</v>
      </c>
      <c r="AR11" s="40">
        <f t="shared" si="15"/>
        <v>3282192716.862514</v>
      </c>
      <c r="AS11" s="42">
        <f t="shared" si="16"/>
        <v>3043303251.0191884</v>
      </c>
    </row>
    <row r="12" spans="1:45" x14ac:dyDescent="0.25">
      <c r="A12" s="16" t="s">
        <v>7</v>
      </c>
      <c r="B12" s="17">
        <v>0.05</v>
      </c>
      <c r="C12" s="17">
        <v>0.05</v>
      </c>
      <c r="H12" s="3">
        <v>2028</v>
      </c>
      <c r="I12" s="3">
        <v>6</v>
      </c>
      <c r="J12" s="3"/>
      <c r="K12" s="3"/>
      <c r="L12" s="3">
        <f t="shared" si="17"/>
        <v>66485494.970507815</v>
      </c>
      <c r="M12" s="3">
        <f t="shared" si="18"/>
        <v>55527906.308456473</v>
      </c>
      <c r="N12" s="3">
        <f t="shared" si="19"/>
        <v>66485494.970507815</v>
      </c>
      <c r="O12" s="3">
        <f t="shared" si="20"/>
        <v>61990462.512000054</v>
      </c>
      <c r="P12" s="3">
        <f t="shared" si="31"/>
        <v>7346640.3840000015</v>
      </c>
      <c r="Q12" s="3">
        <f t="shared" si="0"/>
        <v>54643822.128000051</v>
      </c>
      <c r="R12" s="10">
        <f t="shared" si="21"/>
        <v>39.36395750193504</v>
      </c>
      <c r="S12" s="10">
        <f t="shared" si="21"/>
        <v>52.485276669246716</v>
      </c>
      <c r="T12" s="10">
        <f t="shared" si="1"/>
        <v>31.491166001548027</v>
      </c>
      <c r="U12" s="10">
        <f t="shared" si="2"/>
        <v>5531529723.9775333</v>
      </c>
      <c r="V12" s="10">
        <f t="shared" si="3"/>
        <v>5716482593.0535946</v>
      </c>
      <c r="W12" s="10">
        <f t="shared" si="22"/>
        <v>109.344326394264</v>
      </c>
      <c r="X12" s="10">
        <f t="shared" si="22"/>
        <v>54.672163197132001</v>
      </c>
      <c r="Y12" s="11">
        <f t="shared" si="4"/>
        <v>13341473173.921379</v>
      </c>
      <c r="Z12" s="11">
        <f t="shared" si="5"/>
        <v>13646460306.758236</v>
      </c>
      <c r="AA12" s="10">
        <f t="shared" si="23"/>
        <v>656065958.36558402</v>
      </c>
      <c r="AB12" s="10">
        <f t="shared" si="24"/>
        <v>536038256.25</v>
      </c>
      <c r="AC12" s="10">
        <f t="shared" si="25"/>
        <v>708624400.00000048</v>
      </c>
      <c r="AD12" s="10">
        <f t="shared" si="26"/>
        <v>670047820.3125</v>
      </c>
      <c r="AE12" s="10">
        <f t="shared" si="27"/>
        <v>1156530382.8124995</v>
      </c>
      <c r="AF12" s="11">
        <f t="shared" si="6"/>
        <v>13341473173.921379</v>
      </c>
      <c r="AG12" s="11">
        <f t="shared" si="6"/>
        <v>13646460306.758236</v>
      </c>
      <c r="AH12" s="10">
        <f t="shared" ref="AH12" si="35">5%*AG12</f>
        <v>682323015.33791184</v>
      </c>
      <c r="AI12" s="11">
        <f t="shared" si="8"/>
        <v>1364646030.6758237</v>
      </c>
      <c r="AJ12" s="11">
        <f t="shared" si="9"/>
        <v>818787618.40549409</v>
      </c>
      <c r="AK12" s="10">
        <f t="shared" si="29"/>
        <v>35821568.89587</v>
      </c>
      <c r="AL12" s="11">
        <f t="shared" si="10"/>
        <v>13646460306.758236</v>
      </c>
      <c r="AM12" s="10">
        <f t="shared" si="30"/>
        <v>9702948071.3894539</v>
      </c>
      <c r="AN12" s="30">
        <f t="shared" si="11"/>
        <v>48640000</v>
      </c>
      <c r="AO12" s="10">
        <f t="shared" si="12"/>
        <v>9751588071.3894539</v>
      </c>
      <c r="AP12" s="10">
        <f t="shared" si="13"/>
        <v>3894872235.368782</v>
      </c>
      <c r="AQ12" s="10">
        <f t="shared" si="14"/>
        <v>389487223.53687823</v>
      </c>
      <c r="AR12" s="40">
        <f t="shared" si="15"/>
        <v>3505385011.8319039</v>
      </c>
      <c r="AS12" s="42">
        <f t="shared" si="16"/>
        <v>3201497067.663928</v>
      </c>
    </row>
    <row r="13" spans="1:45" x14ac:dyDescent="0.25">
      <c r="A13" s="16" t="s">
        <v>8</v>
      </c>
      <c r="B13" s="17">
        <v>0.08</v>
      </c>
      <c r="C13" s="17">
        <v>0.1</v>
      </c>
      <c r="H13" s="3">
        <v>2029</v>
      </c>
      <c r="I13" s="3">
        <v>7</v>
      </c>
      <c r="J13" s="3"/>
      <c r="K13" s="3"/>
      <c r="L13" s="3">
        <f t="shared" si="17"/>
        <v>69809769.719033211</v>
      </c>
      <c r="M13" s="3">
        <f t="shared" si="18"/>
        <v>59970138.813132994</v>
      </c>
      <c r="N13" s="3">
        <f t="shared" si="19"/>
        <v>69809769.719033211</v>
      </c>
      <c r="O13" s="3">
        <f t="shared" si="20"/>
        <v>68189508.76320006</v>
      </c>
      <c r="P13" s="3">
        <f t="shared" si="31"/>
        <v>7934371.6147200018</v>
      </c>
      <c r="Q13" s="3">
        <f t="shared" si="0"/>
        <v>60255137.148480058</v>
      </c>
      <c r="R13" s="10">
        <f t="shared" si="21"/>
        <v>39.954416864464065</v>
      </c>
      <c r="S13" s="10">
        <f t="shared" si="21"/>
        <v>53.272555819285408</v>
      </c>
      <c r="T13" s="10">
        <f t="shared" si="1"/>
        <v>31.963533491571244</v>
      </c>
      <c r="U13" s="10">
        <f t="shared" si="2"/>
        <v>5983971207.9794159</v>
      </c>
      <c r="V13" s="10">
        <f t="shared" si="3"/>
        <v>6252764350.5492706</v>
      </c>
      <c r="W13" s="10">
        <f t="shared" si="22"/>
        <v>110.98449129017796</v>
      </c>
      <c r="X13" s="10">
        <f t="shared" si="22"/>
        <v>55.492245645088978</v>
      </c>
      <c r="Y13" s="11">
        <f t="shared" si="4"/>
        <v>14403557128.128292</v>
      </c>
      <c r="Z13" s="11">
        <f t="shared" si="5"/>
        <v>14875483622.078798</v>
      </c>
      <c r="AA13" s="10">
        <f t="shared" si="23"/>
        <v>665906947.74106777</v>
      </c>
      <c r="AB13" s="10">
        <f t="shared" si="24"/>
        <v>562840169.0625</v>
      </c>
      <c r="AC13" s="10">
        <f t="shared" si="25"/>
        <v>779486840.0000006</v>
      </c>
      <c r="AD13" s="10">
        <f t="shared" si="26"/>
        <v>703550211.328125</v>
      </c>
      <c r="AE13" s="10">
        <f t="shared" si="27"/>
        <v>1330009940.2343743</v>
      </c>
      <c r="AF13" s="11">
        <f t="shared" si="6"/>
        <v>14403557128.128292</v>
      </c>
      <c r="AG13" s="11">
        <f t="shared" si="6"/>
        <v>14875483622.078798</v>
      </c>
      <c r="AH13" s="10">
        <f t="shared" ref="AH13" si="36">5%*AG13</f>
        <v>743774181.10394001</v>
      </c>
      <c r="AI13" s="11">
        <f t="shared" si="8"/>
        <v>1487548362.20788</v>
      </c>
      <c r="AJ13" s="11">
        <f t="shared" si="9"/>
        <v>892529017.32472789</v>
      </c>
      <c r="AK13" s="10">
        <f t="shared" si="29"/>
        <v>36896215.962746099</v>
      </c>
      <c r="AL13" s="11">
        <f t="shared" si="10"/>
        <v>14875483622.078798</v>
      </c>
      <c r="AM13" s="10">
        <f t="shared" si="30"/>
        <v>10669729635.457447</v>
      </c>
      <c r="AN13" s="30">
        <f t="shared" si="11"/>
        <v>48640000</v>
      </c>
      <c r="AO13" s="10">
        <f t="shared" si="12"/>
        <v>10718369635.457447</v>
      </c>
      <c r="AP13" s="10">
        <f t="shared" si="13"/>
        <v>4157113986.6213512</v>
      </c>
      <c r="AQ13" s="10">
        <f t="shared" si="14"/>
        <v>415711398.66213512</v>
      </c>
      <c r="AR13" s="40">
        <f t="shared" si="15"/>
        <v>3741402587.9592161</v>
      </c>
      <c r="AS13" s="42">
        <f t="shared" si="16"/>
        <v>3365798060.2026134</v>
      </c>
    </row>
    <row r="14" spans="1:45" x14ac:dyDescent="0.25">
      <c r="H14" s="3">
        <v>2030</v>
      </c>
      <c r="I14" s="3">
        <v>8</v>
      </c>
      <c r="J14" s="3"/>
      <c r="K14" s="3"/>
      <c r="L14" s="3">
        <f t="shared" si="17"/>
        <v>73300258.204984874</v>
      </c>
      <c r="M14" s="3">
        <f t="shared" si="18"/>
        <v>64767749.91818364</v>
      </c>
      <c r="N14" s="3">
        <f t="shared" si="19"/>
        <v>73300258.204984874</v>
      </c>
      <c r="O14" s="3">
        <f t="shared" si="20"/>
        <v>75008459.639520079</v>
      </c>
      <c r="P14" s="3">
        <f t="shared" si="31"/>
        <v>8569121.3438976035</v>
      </c>
      <c r="Q14" s="3">
        <f t="shared" si="0"/>
        <v>66439338.295622475</v>
      </c>
      <c r="R14" s="10">
        <f t="shared" si="21"/>
        <v>40.553733117431022</v>
      </c>
      <c r="S14" s="10">
        <f t="shared" si="21"/>
        <v>54.071644156574685</v>
      </c>
      <c r="T14" s="10">
        <f t="shared" si="1"/>
        <v>32.442986493944808</v>
      </c>
      <c r="U14" s="10">
        <f t="shared" si="2"/>
        <v>6474697835.0817852</v>
      </c>
      <c r="V14" s="10">
        <f t="shared" si="3"/>
        <v>6843091255.0279684</v>
      </c>
      <c r="W14" s="10">
        <f t="shared" si="22"/>
        <v>112.64925865953062</v>
      </c>
      <c r="X14" s="10">
        <f t="shared" si="22"/>
        <v>56.324629329765308</v>
      </c>
      <c r="Y14" s="11">
        <f t="shared" si="4"/>
        <v>15553258759.672985</v>
      </c>
      <c r="Z14" s="11">
        <f t="shared" si="5"/>
        <v>16224214534.552168</v>
      </c>
      <c r="AA14" s="10">
        <f t="shared" si="23"/>
        <v>675895551.95718372</v>
      </c>
      <c r="AB14" s="10">
        <f t="shared" si="24"/>
        <v>590982177.515625</v>
      </c>
      <c r="AC14" s="10">
        <f t="shared" si="25"/>
        <v>857435524.00000072</v>
      </c>
      <c r="AD14" s="10">
        <f t="shared" si="26"/>
        <v>738727721.89453125</v>
      </c>
      <c r="AE14" s="10">
        <f t="shared" si="27"/>
        <v>1529511431.2695303</v>
      </c>
      <c r="AF14" s="11">
        <f t="shared" si="6"/>
        <v>15553258759.672985</v>
      </c>
      <c r="AG14" s="11">
        <f t="shared" si="6"/>
        <v>16224214534.552168</v>
      </c>
      <c r="AH14" s="10">
        <f t="shared" ref="AH14" si="37">5%*AG14</f>
        <v>811210726.72760844</v>
      </c>
      <c r="AI14" s="11">
        <f t="shared" si="8"/>
        <v>1622421453.4552169</v>
      </c>
      <c r="AJ14" s="11">
        <f t="shared" si="9"/>
        <v>973452872.07313001</v>
      </c>
      <c r="AK14" s="10">
        <f t="shared" si="29"/>
        <v>38003102.441628486</v>
      </c>
      <c r="AL14" s="11">
        <f t="shared" si="10"/>
        <v>16224214534.552168</v>
      </c>
      <c r="AM14" s="10">
        <f t="shared" si="30"/>
        <v>11741684636.111824</v>
      </c>
      <c r="AN14" s="30">
        <f t="shared" si="11"/>
        <v>48640000</v>
      </c>
      <c r="AO14" s="10">
        <f t="shared" si="12"/>
        <v>11790324636.111824</v>
      </c>
      <c r="AP14" s="10">
        <f t="shared" si="13"/>
        <v>4433889898.4403439</v>
      </c>
      <c r="AQ14" s="10">
        <f t="shared" si="14"/>
        <v>443388989.84403443</v>
      </c>
      <c r="AR14" s="40">
        <f t="shared" si="15"/>
        <v>3990500908.5963097</v>
      </c>
      <c r="AS14" s="42">
        <f t="shared" si="16"/>
        <v>3536040723.5260043</v>
      </c>
    </row>
    <row r="15" spans="1:45" x14ac:dyDescent="0.25">
      <c r="H15" s="3">
        <v>2031</v>
      </c>
      <c r="I15" s="3">
        <v>9</v>
      </c>
      <c r="J15" s="3"/>
      <c r="K15" s="3"/>
      <c r="L15" s="3">
        <f t="shared" si="17"/>
        <v>76965271.115234122</v>
      </c>
      <c r="M15" s="3">
        <f t="shared" si="18"/>
        <v>69949169.911638334</v>
      </c>
      <c r="N15" s="3">
        <f t="shared" si="19"/>
        <v>76965271.115234122</v>
      </c>
      <c r="O15" s="3">
        <f t="shared" si="20"/>
        <v>82509305.603472099</v>
      </c>
      <c r="P15" s="3">
        <f t="shared" si="31"/>
        <v>9254651.0514094122</v>
      </c>
      <c r="Q15" s="3">
        <f t="shared" si="0"/>
        <v>73254654.55206269</v>
      </c>
      <c r="R15" s="10">
        <f t="shared" ref="R15" si="38">R14*(1+$B$4)</f>
        <v>41.162039114192481</v>
      </c>
      <c r="S15" s="10">
        <f t="shared" si="21"/>
        <v>54.882718818923301</v>
      </c>
      <c r="T15" s="10">
        <f t="shared" si="1"/>
        <v>32.929631291353978</v>
      </c>
      <c r="U15" s="10">
        <f t="shared" si="2"/>
        <v>7007048123.9572325</v>
      </c>
      <c r="V15" s="10">
        <f t="shared" si="3"/>
        <v>7493214354.8909655</v>
      </c>
      <c r="W15" s="10">
        <f t="shared" si="22"/>
        <v>114.33899753942356</v>
      </c>
      <c r="X15" s="10">
        <f t="shared" si="22"/>
        <v>57.16949876971178</v>
      </c>
      <c r="Y15" s="11">
        <f t="shared" si="4"/>
        <v>16798049911.077358</v>
      </c>
      <c r="Z15" s="11">
        <f t="shared" si="5"/>
        <v>17705079473.143105</v>
      </c>
      <c r="AA15" s="10">
        <f t="shared" si="23"/>
        <v>686033985.23654139</v>
      </c>
      <c r="AB15" s="10">
        <f t="shared" si="24"/>
        <v>620531286.3914063</v>
      </c>
      <c r="AC15" s="10">
        <f t="shared" si="25"/>
        <v>943179076.40000081</v>
      </c>
      <c r="AD15" s="10">
        <f t="shared" si="26"/>
        <v>775664107.98925781</v>
      </c>
      <c r="AE15" s="10">
        <f t="shared" si="27"/>
        <v>1758938145.9599597</v>
      </c>
      <c r="AF15" s="11">
        <f t="shared" si="6"/>
        <v>16798049911.077358</v>
      </c>
      <c r="AG15" s="11">
        <f t="shared" si="6"/>
        <v>17705079473.143105</v>
      </c>
      <c r="AH15" s="10">
        <f t="shared" ref="AH15" si="39">5%*AG15</f>
        <v>885253973.65715528</v>
      </c>
      <c r="AI15" s="11">
        <f t="shared" si="8"/>
        <v>1770507947.3143106</v>
      </c>
      <c r="AJ15" s="11">
        <f t="shared" si="9"/>
        <v>1062304768.3885863</v>
      </c>
      <c r="AK15" s="10">
        <f t="shared" si="29"/>
        <v>39143195.514877342</v>
      </c>
      <c r="AL15" s="11">
        <f t="shared" si="10"/>
        <v>17705079473.143105</v>
      </c>
      <c r="AM15" s="10">
        <f t="shared" si="30"/>
        <v>12931075994.6961</v>
      </c>
      <c r="AN15" s="30">
        <f t="shared" si="11"/>
        <v>48640000</v>
      </c>
      <c r="AO15" s="10">
        <f t="shared" si="12"/>
        <v>12979715994.6961</v>
      </c>
      <c r="AP15" s="10">
        <f t="shared" si="13"/>
        <v>4725363478.4470043</v>
      </c>
      <c r="AQ15" s="10">
        <f t="shared" si="14"/>
        <v>472536347.84470046</v>
      </c>
      <c r="AR15" s="40">
        <f t="shared" si="15"/>
        <v>4252827130.602304</v>
      </c>
      <c r="AS15" s="42">
        <f t="shared" si="16"/>
        <v>3711964416.0856867</v>
      </c>
    </row>
    <row r="16" spans="1:45" x14ac:dyDescent="0.25">
      <c r="A16" s="12"/>
      <c r="B16" s="68" t="s">
        <v>9</v>
      </c>
      <c r="C16" s="68"/>
      <c r="H16" s="38">
        <v>2032</v>
      </c>
      <c r="I16" s="38">
        <v>10</v>
      </c>
      <c r="J16" s="3"/>
      <c r="K16" s="3"/>
      <c r="L16" s="3">
        <f t="shared" si="17"/>
        <v>80813534.670995831</v>
      </c>
      <c r="M16" s="3">
        <f t="shared" si="18"/>
        <v>75545103.504569411</v>
      </c>
      <c r="N16" s="3">
        <f t="shared" si="19"/>
        <v>80813534.670995831</v>
      </c>
      <c r="O16" s="3">
        <f t="shared" si="20"/>
        <v>90760236.163819313</v>
      </c>
      <c r="P16" s="3">
        <f t="shared" si="31"/>
        <v>9995023.1355221663</v>
      </c>
      <c r="Q16" s="3">
        <f t="shared" si="0"/>
        <v>80765213.028297141</v>
      </c>
      <c r="R16" s="10">
        <f t="shared" ref="R16:S16" si="40">R15*(1+$B$4)</f>
        <v>41.779469700905366</v>
      </c>
      <c r="S16" s="10">
        <f t="shared" si="40"/>
        <v>55.705959601207148</v>
      </c>
      <c r="T16" s="10">
        <f t="shared" si="1"/>
        <v>33.42357576072429</v>
      </c>
      <c r="U16" s="10">
        <f t="shared" si="2"/>
        <v>7584659107.1044922</v>
      </c>
      <c r="V16" s="10">
        <f t="shared" si="3"/>
        <v>8209519730.3474627</v>
      </c>
      <c r="W16" s="10">
        <f t="shared" si="22"/>
        <v>116.0540825025149</v>
      </c>
      <c r="X16" s="10">
        <f t="shared" si="22"/>
        <v>58.027041251257451</v>
      </c>
      <c r="Y16" s="11">
        <f t="shared" si="4"/>
        <v>18146058294.807926</v>
      </c>
      <c r="Z16" s="11">
        <f t="shared" si="5"/>
        <v>19331854935.939003</v>
      </c>
      <c r="AA16" s="10">
        <f t="shared" si="23"/>
        <v>696324495.01508939</v>
      </c>
      <c r="AB16" s="10">
        <f t="shared" si="24"/>
        <v>651557850.7109766</v>
      </c>
      <c r="AC16" s="10">
        <f t="shared" si="25"/>
        <v>1037496984.040001</v>
      </c>
      <c r="AD16" s="10">
        <f t="shared" si="26"/>
        <v>814447313.38872075</v>
      </c>
      <c r="AE16" s="10">
        <f t="shared" si="27"/>
        <v>2022778867.8539536</v>
      </c>
      <c r="AF16" s="11">
        <f t="shared" si="6"/>
        <v>18146058294.807926</v>
      </c>
      <c r="AG16" s="11">
        <f t="shared" si="6"/>
        <v>19331854935.939003</v>
      </c>
      <c r="AH16" s="10">
        <f t="shared" ref="AH16" si="41">5%*AG16</f>
        <v>966592746.79695022</v>
      </c>
      <c r="AI16" s="11">
        <f t="shared" si="8"/>
        <v>1933185493.5939004</v>
      </c>
      <c r="AJ16" s="11">
        <f t="shared" si="9"/>
        <v>1159911296.1563401</v>
      </c>
      <c r="AK16" s="10">
        <f t="shared" si="29"/>
        <v>40317491.380323663</v>
      </c>
      <c r="AL16" s="11">
        <f t="shared" si="10"/>
        <v>19331854935.939003</v>
      </c>
      <c r="AM16" s="10">
        <f t="shared" si="30"/>
        <v>14251670643.368282</v>
      </c>
      <c r="AN16" s="30">
        <f t="shared" si="11"/>
        <v>48640000</v>
      </c>
      <c r="AO16" s="10">
        <f t="shared" si="12"/>
        <v>14300310643.368282</v>
      </c>
      <c r="AP16" s="10">
        <f t="shared" si="13"/>
        <v>5031544292.5707207</v>
      </c>
      <c r="AQ16" s="10">
        <f t="shared" si="14"/>
        <v>503154429.25707209</v>
      </c>
      <c r="AR16" s="40">
        <f t="shared" si="15"/>
        <v>4528389863.3136482</v>
      </c>
      <c r="AS16" s="42">
        <f t="shared" si="16"/>
        <v>3893194619.9084635</v>
      </c>
    </row>
    <row r="17" spans="1:45" x14ac:dyDescent="0.25">
      <c r="A17" s="12"/>
      <c r="B17" s="43" t="s">
        <v>10</v>
      </c>
      <c r="C17" s="44" t="s">
        <v>11</v>
      </c>
      <c r="H17" s="39">
        <v>2033</v>
      </c>
      <c r="I17" s="39">
        <v>11</v>
      </c>
      <c r="J17" s="37"/>
      <c r="K17" s="3"/>
      <c r="L17" s="3">
        <f t="shared" si="17"/>
        <v>84854211.40454562</v>
      </c>
      <c r="M17" s="3">
        <f t="shared" si="18"/>
        <v>81588711.784934968</v>
      </c>
      <c r="N17" s="3">
        <f t="shared" si="19"/>
        <v>84854211.40454562</v>
      </c>
      <c r="O17" s="3">
        <f t="shared" si="20"/>
        <v>99836259.780201256</v>
      </c>
      <c r="P17" s="3">
        <f t="shared" si="31"/>
        <v>10794624.98636394</v>
      </c>
      <c r="Q17" s="3">
        <f t="shared" si="0"/>
        <v>89041634.793837309</v>
      </c>
      <c r="R17" s="10">
        <f t="shared" ref="R17:S17" si="42">R16*(1+$B$4)</f>
        <v>42.406161746418945</v>
      </c>
      <c r="S17" s="10">
        <f t="shared" si="42"/>
        <v>56.541548995225249</v>
      </c>
      <c r="T17" s="10">
        <f t="shared" si="1"/>
        <v>33.924929397135145</v>
      </c>
      <c r="U17" s="10">
        <f t="shared" si="2"/>
        <v>8211493558.5312004</v>
      </c>
      <c r="V17" s="10">
        <f t="shared" si="3"/>
        <v>8999100260.5276413</v>
      </c>
      <c r="W17" s="10">
        <f t="shared" ref="W17:X17" si="43">W16*(1+$B$4)</f>
        <v>117.79489374005261</v>
      </c>
      <c r="X17" s="10">
        <f t="shared" si="43"/>
        <v>58.897446870026307</v>
      </c>
      <c r="Y17" s="11">
        <f t="shared" si="4"/>
        <v>19606126450.888607</v>
      </c>
      <c r="Z17" s="11">
        <f t="shared" si="5"/>
        <v>21119818576.391277</v>
      </c>
      <c r="AA17" s="10">
        <f t="shared" si="23"/>
        <v>706769362.44031572</v>
      </c>
      <c r="AB17" s="10">
        <f t="shared" si="24"/>
        <v>684135743.24652541</v>
      </c>
      <c r="AC17" s="10">
        <f t="shared" si="25"/>
        <v>1141246682.4440012</v>
      </c>
      <c r="AD17" s="10">
        <f t="shared" si="26"/>
        <v>855169679.05815685</v>
      </c>
      <c r="AE17" s="10">
        <f t="shared" si="27"/>
        <v>2326195698.0320463</v>
      </c>
      <c r="AF17" s="11">
        <f t="shared" si="6"/>
        <v>19606126450.888607</v>
      </c>
      <c r="AG17" s="11">
        <f t="shared" si="6"/>
        <v>21119818576.391277</v>
      </c>
      <c r="AH17" s="10">
        <f t="shared" ref="AH17" si="44">5%*AG17</f>
        <v>1055990928.8195639</v>
      </c>
      <c r="AI17" s="11">
        <f t="shared" si="8"/>
        <v>2111981857.6391277</v>
      </c>
      <c r="AJ17" s="11">
        <f t="shared" si="9"/>
        <v>1267189114.5834765</v>
      </c>
      <c r="AK17" s="10">
        <f t="shared" si="29"/>
        <v>41527016.121733375</v>
      </c>
      <c r="AL17" s="11">
        <f t="shared" si="10"/>
        <v>21119818576.391277</v>
      </c>
      <c r="AM17" s="10">
        <f t="shared" si="30"/>
        <v>15718930843.480125</v>
      </c>
      <c r="AN17" s="30">
        <f t="shared" si="11"/>
        <v>48640000</v>
      </c>
      <c r="AO17" s="10">
        <f t="shared" si="12"/>
        <v>15767570843.480125</v>
      </c>
      <c r="AP17" s="10">
        <f t="shared" si="13"/>
        <v>5352247732.9111519</v>
      </c>
      <c r="AQ17" s="10">
        <f t="shared" si="14"/>
        <v>535224773.29111522</v>
      </c>
      <c r="AR17" s="40">
        <f t="shared" si="15"/>
        <v>4817022959.6200371</v>
      </c>
      <c r="AS17" s="42">
        <f t="shared" si="16"/>
        <v>4079221160.2548823</v>
      </c>
    </row>
    <row r="18" spans="1:45" x14ac:dyDescent="0.25">
      <c r="A18" s="45">
        <v>2020</v>
      </c>
      <c r="B18" s="44">
        <v>45000000</v>
      </c>
      <c r="C18" s="44">
        <v>30000000</v>
      </c>
      <c r="H18" s="39">
        <v>2034</v>
      </c>
      <c r="I18" s="39">
        <v>12</v>
      </c>
      <c r="J18" s="37"/>
      <c r="K18" s="3"/>
      <c r="L18" s="3">
        <f t="shared" si="17"/>
        <v>89096921.9747729</v>
      </c>
      <c r="M18" s="3">
        <f t="shared" si="18"/>
        <v>88115808.727729768</v>
      </c>
      <c r="N18" s="3">
        <f t="shared" si="19"/>
        <v>89096921.9747729</v>
      </c>
      <c r="O18" s="3">
        <f t="shared" si="20"/>
        <v>109819885.75822139</v>
      </c>
      <c r="P18" s="3">
        <f t="shared" si="31"/>
        <v>11658194.985273056</v>
      </c>
      <c r="Q18" s="3">
        <f t="shared" si="0"/>
        <v>98161690.772948325</v>
      </c>
      <c r="R18" s="10">
        <f t="shared" ref="R18:S18" si="45">R17*(1+$B$4)</f>
        <v>43.042254172615223</v>
      </c>
      <c r="S18" s="10">
        <f t="shared" si="45"/>
        <v>57.389672230153622</v>
      </c>
      <c r="T18" s="10">
        <f t="shared" si="1"/>
        <v>34.433803338092169</v>
      </c>
      <c r="U18" s="10">
        <f t="shared" si="2"/>
        <v>8891869742.8151627</v>
      </c>
      <c r="V18" s="10">
        <f t="shared" si="3"/>
        <v>9869835614.0530663</v>
      </c>
      <c r="W18" s="10">
        <f t="shared" ref="W18:X18" si="46">W17*(1+$B$4)</f>
        <v>119.56181714615339</v>
      </c>
      <c r="X18" s="10">
        <f t="shared" si="46"/>
        <v>59.780908573076694</v>
      </c>
      <c r="Y18" s="11">
        <f t="shared" si="4"/>
        <v>21187876104.223145</v>
      </c>
      <c r="Z18" s="11">
        <f t="shared" si="5"/>
        <v>23085917504.927101</v>
      </c>
      <c r="AA18" s="10">
        <f t="shared" si="23"/>
        <v>717370902.87692034</v>
      </c>
      <c r="AB18" s="10">
        <f t="shared" si="24"/>
        <v>718342530.40885174</v>
      </c>
      <c r="AC18" s="10">
        <f t="shared" si="25"/>
        <v>1255371350.6884015</v>
      </c>
      <c r="AD18" s="10">
        <f t="shared" si="26"/>
        <v>897928163.01106477</v>
      </c>
      <c r="AE18" s="10">
        <f t="shared" si="27"/>
        <v>2675125052.7368531</v>
      </c>
      <c r="AF18" s="11">
        <f t="shared" si="6"/>
        <v>21187876104.223145</v>
      </c>
      <c r="AG18" s="11">
        <f t="shared" si="6"/>
        <v>23085917504.927101</v>
      </c>
      <c r="AH18" s="10">
        <f t="shared" ref="AH18" si="47">5%*AG18</f>
        <v>1154295875.2463551</v>
      </c>
      <c r="AI18" s="11">
        <f t="shared" si="8"/>
        <v>2308591750.4927101</v>
      </c>
      <c r="AJ18" s="11">
        <f t="shared" si="9"/>
        <v>1385155050.2956259</v>
      </c>
      <c r="AK18" s="10">
        <f t="shared" si="29"/>
        <v>42772826.605385378</v>
      </c>
      <c r="AL18" s="11">
        <f t="shared" si="10"/>
        <v>23085917504.927101</v>
      </c>
      <c r="AM18" s="10">
        <f t="shared" si="30"/>
        <v>17350230516.219227</v>
      </c>
      <c r="AN18" s="30">
        <f t="shared" si="11"/>
        <v>48640000</v>
      </c>
      <c r="AO18" s="10">
        <f t="shared" si="12"/>
        <v>17398870516.219227</v>
      </c>
      <c r="AP18" s="10">
        <f t="shared" si="13"/>
        <v>5687046988.7078743</v>
      </c>
      <c r="AQ18" s="10">
        <f t="shared" si="14"/>
        <v>568704698.8707875</v>
      </c>
      <c r="AR18" s="40">
        <f t="shared" si="15"/>
        <v>5118342289.8370867</v>
      </c>
      <c r="AS18" s="42">
        <f t="shared" si="16"/>
        <v>4269372928.864161</v>
      </c>
    </row>
    <row r="19" spans="1:45" x14ac:dyDescent="0.25">
      <c r="A19" s="45">
        <v>2021</v>
      </c>
      <c r="B19" s="44">
        <f>B18*(1+B12)</f>
        <v>47250000</v>
      </c>
      <c r="C19" s="44">
        <f>C18*(1+B13)</f>
        <v>32400000.000000004</v>
      </c>
      <c r="H19" s="39">
        <v>2035</v>
      </c>
      <c r="I19" s="39">
        <v>13</v>
      </c>
      <c r="J19" s="37"/>
      <c r="K19" s="3"/>
      <c r="L19" s="3">
        <f t="shared" si="17"/>
        <v>93551768.073511556</v>
      </c>
      <c r="M19" s="3">
        <f t="shared" si="18"/>
        <v>95165073.425948158</v>
      </c>
      <c r="N19" s="3">
        <f t="shared" si="19"/>
        <v>93551768.073511556</v>
      </c>
      <c r="O19" s="3">
        <f t="shared" si="20"/>
        <v>120801874.33404353</v>
      </c>
      <c r="P19" s="3">
        <f t="shared" si="31"/>
        <v>12590850.584094901</v>
      </c>
      <c r="Q19" s="3">
        <f t="shared" si="0"/>
        <v>108211023.74994864</v>
      </c>
      <c r="R19" s="10">
        <f t="shared" ref="R19:S19" si="48">R18*(1+$B$4)</f>
        <v>43.687887985204448</v>
      </c>
      <c r="S19" s="10">
        <f t="shared" si="48"/>
        <v>58.250517313605918</v>
      </c>
      <c r="T19" s="10">
        <f t="shared" si="1"/>
        <v>34.950310388163551</v>
      </c>
      <c r="U19" s="10">
        <f t="shared" si="2"/>
        <v>9630493921.6621704</v>
      </c>
      <c r="V19" s="10">
        <f t="shared" si="3"/>
        <v>10830481412.84791</v>
      </c>
      <c r="W19" s="10">
        <f t="shared" ref="W19:X19" si="49">W18*(1+$B$4)</f>
        <v>121.35524440334568</v>
      </c>
      <c r="X19" s="10">
        <f t="shared" si="49"/>
        <v>60.67762220167284</v>
      </c>
      <c r="Y19" s="11">
        <f t="shared" si="4"/>
        <v>22901778423.194382</v>
      </c>
      <c r="Z19" s="11">
        <f t="shared" si="5"/>
        <v>25248955788.176788</v>
      </c>
      <c r="AA19" s="10">
        <f t="shared" si="23"/>
        <v>728131466.42007411</v>
      </c>
      <c r="AB19" s="10">
        <f t="shared" si="24"/>
        <v>754259656.92929435</v>
      </c>
      <c r="AC19" s="10">
        <f t="shared" si="25"/>
        <v>1380908485.7572417</v>
      </c>
      <c r="AD19" s="10">
        <f t="shared" si="26"/>
        <v>942824571.16161799</v>
      </c>
      <c r="AE19" s="10">
        <f t="shared" si="27"/>
        <v>3076393810.6473808</v>
      </c>
      <c r="AF19" s="11">
        <f t="shared" si="6"/>
        <v>22901778423.194382</v>
      </c>
      <c r="AG19" s="11">
        <f t="shared" si="6"/>
        <v>25248955788.176788</v>
      </c>
      <c r="AH19" s="10">
        <f t="shared" ref="AH19" si="50">5%*AG19</f>
        <v>1262447789.4088395</v>
      </c>
      <c r="AI19" s="11">
        <f t="shared" si="8"/>
        <v>2524895578.8176789</v>
      </c>
      <c r="AJ19" s="11">
        <f t="shared" si="9"/>
        <v>1514937347.2906072</v>
      </c>
      <c r="AK19" s="10">
        <f t="shared" si="29"/>
        <v>44056011.403546937</v>
      </c>
      <c r="AL19" s="11">
        <f t="shared" si="10"/>
        <v>25248955788.176788</v>
      </c>
      <c r="AM19" s="10">
        <f t="shared" si="30"/>
        <v>19165099927.608871</v>
      </c>
      <c r="AN19" s="30">
        <f t="shared" si="11"/>
        <v>48640000</v>
      </c>
      <c r="AO19" s="10">
        <f t="shared" si="12"/>
        <v>19213739927.608871</v>
      </c>
      <c r="AP19" s="10">
        <f t="shared" si="13"/>
        <v>6035215860.5679169</v>
      </c>
      <c r="AQ19" s="10">
        <f t="shared" si="14"/>
        <v>603521586.05679166</v>
      </c>
      <c r="AR19" s="40">
        <f t="shared" si="15"/>
        <v>5431694274.5111256</v>
      </c>
      <c r="AS19" s="42">
        <f t="shared" si="16"/>
        <v>4462788589.0744801</v>
      </c>
    </row>
    <row r="20" spans="1:45" x14ac:dyDescent="0.25">
      <c r="A20" s="45">
        <v>2022</v>
      </c>
      <c r="B20" s="44">
        <f>B19*(1+B12)</f>
        <v>49612500</v>
      </c>
      <c r="C20" s="44">
        <f>C19*(1+B13)</f>
        <v>34992000.000000007</v>
      </c>
      <c r="H20" s="39">
        <v>2036</v>
      </c>
      <c r="I20" s="39">
        <v>14</v>
      </c>
      <c r="J20" s="37"/>
      <c r="K20" s="3"/>
      <c r="L20" s="3">
        <f t="shared" si="17"/>
        <v>98229356.477187142</v>
      </c>
      <c r="M20" s="3">
        <f t="shared" si="18"/>
        <v>102778279.30002402</v>
      </c>
      <c r="N20" s="3">
        <f t="shared" si="19"/>
        <v>98229356.477187142</v>
      </c>
      <c r="O20" s="3">
        <f t="shared" si="20"/>
        <v>132882061.7674479</v>
      </c>
      <c r="P20" s="3">
        <f t="shared" si="31"/>
        <v>13598118.630822493</v>
      </c>
      <c r="Q20" s="3">
        <f t="shared" si="0"/>
        <v>119283943.13662541</v>
      </c>
      <c r="R20" s="10">
        <f t="shared" ref="R20:S20" si="51">R19*(1+$B$4)</f>
        <v>44.343206304982509</v>
      </c>
      <c r="S20" s="10">
        <f t="shared" si="51"/>
        <v>59.124275073310002</v>
      </c>
      <c r="T20" s="10">
        <f t="shared" si="1"/>
        <v>35.474565043985997</v>
      </c>
      <c r="U20" s="10">
        <f t="shared" si="2"/>
        <v>10432495876.369682</v>
      </c>
      <c r="V20" s="10">
        <f t="shared" si="3"/>
        <v>11890768629.157438</v>
      </c>
      <c r="W20" s="10">
        <f t="shared" ref="W20:X20" si="52">W19*(1+$B$4)</f>
        <v>123.17557306939585</v>
      </c>
      <c r="X20" s="10">
        <f t="shared" si="52"/>
        <v>61.587786534697926</v>
      </c>
      <c r="Y20" s="11">
        <f t="shared" si="4"/>
        <v>24759230728.182381</v>
      </c>
      <c r="Z20" s="11">
        <f t="shared" si="5"/>
        <v>27629803357.655155</v>
      </c>
      <c r="AA20" s="10">
        <f t="shared" si="23"/>
        <v>739053438.41637516</v>
      </c>
      <c r="AB20" s="10">
        <f t="shared" si="24"/>
        <v>791972639.7757591</v>
      </c>
      <c r="AC20" s="10">
        <f t="shared" si="25"/>
        <v>1518999334.3329661</v>
      </c>
      <c r="AD20" s="10">
        <f t="shared" si="26"/>
        <v>989965799.71969891</v>
      </c>
      <c r="AE20" s="10">
        <f t="shared" si="27"/>
        <v>3537852882.2444878</v>
      </c>
      <c r="AF20" s="11">
        <f t="shared" si="6"/>
        <v>24759230728.182381</v>
      </c>
      <c r="AG20" s="11">
        <f t="shared" si="6"/>
        <v>27629803357.655155</v>
      </c>
      <c r="AH20" s="10">
        <f t="shared" ref="AH20" si="53">5%*AG20</f>
        <v>1381490167.8827579</v>
      </c>
      <c r="AI20" s="11">
        <f t="shared" si="8"/>
        <v>2762980335.7655158</v>
      </c>
      <c r="AJ20" s="11">
        <f t="shared" si="9"/>
        <v>1657788201.4593093</v>
      </c>
      <c r="AK20" s="10">
        <f t="shared" si="29"/>
        <v>45377691.745653346</v>
      </c>
      <c r="AL20" s="11">
        <f t="shared" si="10"/>
        <v>27629803357.655155</v>
      </c>
      <c r="AM20" s="10">
        <f t="shared" si="30"/>
        <v>21185502524.763851</v>
      </c>
      <c r="AN20" s="30">
        <f t="shared" si="11"/>
        <v>48640000</v>
      </c>
      <c r="AO20" s="10">
        <f t="shared" si="12"/>
        <v>21234142524.763851</v>
      </c>
      <c r="AP20" s="10">
        <f t="shared" si="13"/>
        <v>6395660832.891304</v>
      </c>
      <c r="AQ20" s="10">
        <f t="shared" si="14"/>
        <v>639566083.28913045</v>
      </c>
      <c r="AR20" s="40">
        <f t="shared" si="15"/>
        <v>5756094749.6021738</v>
      </c>
      <c r="AS20" s="42">
        <f t="shared" si="16"/>
        <v>4658382666.233757</v>
      </c>
    </row>
    <row r="21" spans="1:45" x14ac:dyDescent="0.25">
      <c r="H21" s="39">
        <v>2037</v>
      </c>
      <c r="I21" s="39">
        <v>15</v>
      </c>
      <c r="J21" s="37"/>
      <c r="K21" s="3"/>
      <c r="L21" s="3">
        <f t="shared" si="17"/>
        <v>103140824.30104651</v>
      </c>
      <c r="M21" s="3">
        <f t="shared" si="18"/>
        <v>111000541.64402595</v>
      </c>
      <c r="N21" s="3">
        <f t="shared" si="19"/>
        <v>103140824.30104651</v>
      </c>
      <c r="O21" s="3">
        <f t="shared" si="20"/>
        <v>146170267.94419271</v>
      </c>
      <c r="P21" s="3">
        <f t="shared" si="31"/>
        <v>14685968.121288294</v>
      </c>
      <c r="Q21" s="3">
        <f t="shared" si="0"/>
        <v>131484299.82290441</v>
      </c>
      <c r="R21" s="10">
        <f t="shared" ref="R21:S21" si="54">R20*(1+$B$4)</f>
        <v>45.008354399557241</v>
      </c>
      <c r="S21" s="10">
        <f t="shared" si="54"/>
        <v>60.011139199409648</v>
      </c>
      <c r="T21" s="10">
        <f t="shared" si="1"/>
        <v>36.00668351964579</v>
      </c>
      <c r="U21" s="10">
        <f t="shared" si="2"/>
        <v>11303467729.013477</v>
      </c>
      <c r="V21" s="10">
        <f t="shared" si="3"/>
        <v>13061514398.736031</v>
      </c>
      <c r="W21" s="10">
        <f t="shared" ref="W21:X21" si="55">W20*(1+$B$4)</f>
        <v>125.02320666543677</v>
      </c>
      <c r="X21" s="10">
        <f t="shared" si="55"/>
        <v>62.511603332718387</v>
      </c>
      <c r="Y21" s="11">
        <f t="shared" si="4"/>
        <v>26772640250.16972</v>
      </c>
      <c r="Z21" s="11">
        <f t="shared" si="5"/>
        <v>30251628796.007389</v>
      </c>
      <c r="AA21" s="10">
        <f t="shared" si="23"/>
        <v>750139239.99262071</v>
      </c>
      <c r="AB21" s="10">
        <f t="shared" si="24"/>
        <v>831571271.76454711</v>
      </c>
      <c r="AC21" s="10">
        <f t="shared" si="25"/>
        <v>1670899267.7662628</v>
      </c>
      <c r="AD21" s="10">
        <f t="shared" si="26"/>
        <v>1039464089.7056839</v>
      </c>
      <c r="AE21" s="10">
        <f t="shared" si="27"/>
        <v>4068530814.5811605</v>
      </c>
      <c r="AF21" s="11">
        <f t="shared" si="6"/>
        <v>26772640250.16972</v>
      </c>
      <c r="AG21" s="11">
        <f t="shared" si="6"/>
        <v>30251628796.007389</v>
      </c>
      <c r="AH21" s="10">
        <f t="shared" ref="AH21" si="56">5%*AG21</f>
        <v>1512581439.8003695</v>
      </c>
      <c r="AI21" s="11">
        <f t="shared" si="8"/>
        <v>3025162879.600739</v>
      </c>
      <c r="AJ21" s="11">
        <f t="shared" si="9"/>
        <v>1815097727.7604432</v>
      </c>
      <c r="AK21" s="10">
        <f t="shared" si="29"/>
        <v>46739022.498022951</v>
      </c>
      <c r="AL21" s="11">
        <f t="shared" si="10"/>
        <v>30251628796.007389</v>
      </c>
      <c r="AM21" s="10">
        <f t="shared" si="30"/>
        <v>23436148237.980721</v>
      </c>
      <c r="AN21" s="30">
        <f t="shared" si="11"/>
        <v>48640000</v>
      </c>
      <c r="AO21" s="10">
        <f t="shared" si="12"/>
        <v>23484788237.980721</v>
      </c>
      <c r="AP21" s="10">
        <f t="shared" si="13"/>
        <v>6766840558.0266685</v>
      </c>
      <c r="AQ21" s="10">
        <f t="shared" si="14"/>
        <v>676684055.8026669</v>
      </c>
      <c r="AR21" s="40">
        <f t="shared" si="15"/>
        <v>6090156502.2240019</v>
      </c>
      <c r="AS21" s="42">
        <f t="shared" si="16"/>
        <v>4854806341.4476099</v>
      </c>
    </row>
    <row r="22" spans="1:45" x14ac:dyDescent="0.25">
      <c r="H22" s="39">
        <v>2038</v>
      </c>
      <c r="I22" s="39">
        <v>16</v>
      </c>
      <c r="J22" s="37"/>
      <c r="K22" s="3"/>
      <c r="L22" s="3">
        <f t="shared" si="17"/>
        <v>108297865.51609884</v>
      </c>
      <c r="M22" s="3">
        <f t="shared" si="18"/>
        <v>119880584.97554803</v>
      </c>
      <c r="N22" s="3">
        <f t="shared" si="19"/>
        <v>108297865.51609884</v>
      </c>
      <c r="O22" s="3">
        <f t="shared" si="20"/>
        <v>160787294.738612</v>
      </c>
      <c r="P22" s="3">
        <f t="shared" si="31"/>
        <v>15860845.570991358</v>
      </c>
      <c r="Q22" s="3">
        <f t="shared" si="0"/>
        <v>144926449.16762063</v>
      </c>
      <c r="R22" s="10">
        <f t="shared" ref="R22:S22" si="57">R21*(1+$B$4)</f>
        <v>45.683479715550597</v>
      </c>
      <c r="S22" s="10">
        <f t="shared" si="57"/>
        <v>60.911306287400784</v>
      </c>
      <c r="T22" s="10">
        <f t="shared" si="1"/>
        <v>36.54678377244047</v>
      </c>
      <c r="U22" s="10">
        <f t="shared" si="2"/>
        <v>12249506371.900509</v>
      </c>
      <c r="V22" s="10">
        <f t="shared" si="3"/>
        <v>14354745570.467579</v>
      </c>
      <c r="W22" s="10">
        <f t="shared" ref="W22:X22" si="58">W21*(1+$B$4)</f>
        <v>126.89855476541831</v>
      </c>
      <c r="X22" s="10">
        <f t="shared" si="58"/>
        <v>63.449277382709155</v>
      </c>
      <c r="Y22" s="11">
        <f t="shared" si="4"/>
        <v>28955515596.002544</v>
      </c>
      <c r="Z22" s="11">
        <f t="shared" si="5"/>
        <v>33140158754.985638</v>
      </c>
      <c r="AA22" s="10">
        <f t="shared" si="23"/>
        <v>761391328.59250998</v>
      </c>
      <c r="AB22" s="10">
        <f t="shared" si="24"/>
        <v>873149835.3527745</v>
      </c>
      <c r="AC22" s="10">
        <f t="shared" si="25"/>
        <v>1837989194.5428891</v>
      </c>
      <c r="AD22" s="10">
        <f t="shared" si="26"/>
        <v>1091437294.1909683</v>
      </c>
      <c r="AE22" s="10">
        <f t="shared" si="27"/>
        <v>4678810436.7683344</v>
      </c>
      <c r="AF22" s="11">
        <f t="shared" si="6"/>
        <v>28955515596.002544</v>
      </c>
      <c r="AG22" s="11">
        <f t="shared" si="6"/>
        <v>33140158754.985638</v>
      </c>
      <c r="AH22" s="10">
        <f t="shared" ref="AH22" si="59">5%*AG22</f>
        <v>1657007937.7492819</v>
      </c>
      <c r="AI22" s="11">
        <f t="shared" si="8"/>
        <v>3314015875.4985638</v>
      </c>
      <c r="AJ22" s="11">
        <f t="shared" si="9"/>
        <v>1988409525.2991381</v>
      </c>
      <c r="AK22" s="10">
        <f t="shared" si="29"/>
        <v>48141193.172963642</v>
      </c>
      <c r="AL22" s="11">
        <f t="shared" si="10"/>
        <v>33140158754.985638</v>
      </c>
      <c r="AM22" s="10">
        <f t="shared" si="30"/>
        <v>25944848152.609932</v>
      </c>
      <c r="AN22" s="30">
        <f t="shared" si="11"/>
        <v>48640000</v>
      </c>
      <c r="AO22" s="10">
        <f t="shared" si="12"/>
        <v>25993488152.609932</v>
      </c>
      <c r="AP22" s="10">
        <f t="shared" si="13"/>
        <v>7146670602.3757057</v>
      </c>
      <c r="AQ22" s="10">
        <f t="shared" si="14"/>
        <v>714667060.23757064</v>
      </c>
      <c r="AR22" s="40">
        <f t="shared" si="15"/>
        <v>6432003542.138135</v>
      </c>
      <c r="AS22" s="42">
        <f t="shared" si="16"/>
        <v>5050402169.3998861</v>
      </c>
    </row>
    <row r="23" spans="1:45" x14ac:dyDescent="0.25">
      <c r="A23" s="46" t="s">
        <v>45</v>
      </c>
      <c r="B23" s="47">
        <v>2432000000</v>
      </c>
      <c r="H23" s="39">
        <v>2039</v>
      </c>
      <c r="I23" s="39">
        <v>17</v>
      </c>
      <c r="J23" s="37"/>
      <c r="K23" s="3"/>
      <c r="L23" s="3">
        <f t="shared" si="17"/>
        <v>113712758.79190379</v>
      </c>
      <c r="M23" s="3">
        <f t="shared" si="18"/>
        <v>129471031.77359188</v>
      </c>
      <c r="N23" s="3">
        <f t="shared" si="19"/>
        <v>113712758.79190379</v>
      </c>
      <c r="O23" s="3">
        <f t="shared" si="20"/>
        <v>176866024.21247321</v>
      </c>
      <c r="P23" s="3">
        <f t="shared" si="31"/>
        <v>17129713.216670666</v>
      </c>
      <c r="Q23" s="3">
        <f t="shared" si="0"/>
        <v>159736310.99580255</v>
      </c>
      <c r="R23" s="10">
        <f t="shared" ref="R23:S23" si="60">R22*(1+$B$4)</f>
        <v>46.368731911283852</v>
      </c>
      <c r="S23" s="10">
        <f t="shared" si="60"/>
        <v>61.824975881711786</v>
      </c>
      <c r="T23" s="10">
        <f t="shared" si="1"/>
        <v>37.09498552902707</v>
      </c>
      <c r="U23" s="10">
        <f t="shared" si="2"/>
        <v>13277259844.096931</v>
      </c>
      <c r="V23" s="10">
        <f t="shared" si="3"/>
        <v>15783836465.95216</v>
      </c>
      <c r="W23" s="10">
        <f t="shared" ref="W23:X23" si="61">W22*(1+$B$4)</f>
        <v>128.80203308689957</v>
      </c>
      <c r="X23" s="10">
        <f t="shared" si="61"/>
        <v>64.401016543449785</v>
      </c>
      <c r="Y23" s="11">
        <f t="shared" si="4"/>
        <v>31322566638.614628</v>
      </c>
      <c r="Z23" s="11">
        <f t="shared" si="5"/>
        <v>36323967078.629425</v>
      </c>
      <c r="AA23" s="10">
        <f t="shared" si="23"/>
        <v>772812198.52139759</v>
      </c>
      <c r="AB23" s="10">
        <f t="shared" si="24"/>
        <v>916807327.1204133</v>
      </c>
      <c r="AC23" s="10">
        <f t="shared" si="25"/>
        <v>2021788113.9971781</v>
      </c>
      <c r="AD23" s="10">
        <f t="shared" si="26"/>
        <v>1146009158.9005167</v>
      </c>
      <c r="AE23" s="10">
        <f t="shared" si="27"/>
        <v>5380632002.2835846</v>
      </c>
      <c r="AF23" s="11">
        <f t="shared" ref="AF23:AG24" si="62">Y23</f>
        <v>31322566638.614628</v>
      </c>
      <c r="AG23" s="11">
        <f t="shared" si="62"/>
        <v>36323967078.629425</v>
      </c>
      <c r="AH23" s="10">
        <f t="shared" ref="AH23" si="63">5%*AG23</f>
        <v>1816198353.9314713</v>
      </c>
      <c r="AI23" s="11">
        <f t="shared" si="8"/>
        <v>3632396707.8629427</v>
      </c>
      <c r="AJ23" s="11">
        <f t="shared" si="9"/>
        <v>2179438024.7177653</v>
      </c>
      <c r="AK23" s="10">
        <f t="shared" si="29"/>
        <v>49585428.968152553</v>
      </c>
      <c r="AL23" s="11">
        <f t="shared" si="10"/>
        <v>36323967078.629425</v>
      </c>
      <c r="AM23" s="10">
        <f t="shared" si="30"/>
        <v>28742916125.779774</v>
      </c>
      <c r="AN23" s="30">
        <f t="shared" si="11"/>
        <v>48640000</v>
      </c>
      <c r="AO23" s="10">
        <f t="shared" si="12"/>
        <v>28791556125.779774</v>
      </c>
      <c r="AP23" s="10">
        <f t="shared" si="13"/>
        <v>7532410952.8496513</v>
      </c>
      <c r="AQ23" s="10">
        <f t="shared" si="14"/>
        <v>753241095.28496516</v>
      </c>
      <c r="AR23" s="40">
        <f t="shared" si="15"/>
        <v>6779169857.5646858</v>
      </c>
      <c r="AS23" s="42">
        <f t="shared" si="16"/>
        <v>5243151830.0802765</v>
      </c>
    </row>
    <row r="24" spans="1:45" x14ac:dyDescent="0.25">
      <c r="H24" s="39">
        <v>2040</v>
      </c>
      <c r="I24" s="39">
        <v>18</v>
      </c>
      <c r="J24" s="37"/>
      <c r="K24" s="3"/>
      <c r="L24" s="3">
        <f t="shared" si="17"/>
        <v>119398396.73149899</v>
      </c>
      <c r="M24" s="3">
        <f t="shared" si="18"/>
        <v>139828714.31547925</v>
      </c>
      <c r="N24" s="3">
        <f t="shared" si="19"/>
        <v>119398396.73149899</v>
      </c>
      <c r="O24" s="3">
        <f t="shared" si="20"/>
        <v>194552626.63372055</v>
      </c>
      <c r="P24" s="3">
        <f t="shared" si="31"/>
        <v>18500090.274004322</v>
      </c>
      <c r="Q24" s="3">
        <f t="shared" si="0"/>
        <v>176052536.35971624</v>
      </c>
      <c r="R24" s="10">
        <f t="shared" ref="R24:S24" si="64">R23*(1+$B$4)</f>
        <v>47.064262889953106</v>
      </c>
      <c r="S24" s="10">
        <f t="shared" si="64"/>
        <v>62.752350519937458</v>
      </c>
      <c r="T24" s="10">
        <f t="shared" si="1"/>
        <v>37.651410311962472</v>
      </c>
      <c r="U24" s="10">
        <f t="shared" si="2"/>
        <v>14393978025.887337</v>
      </c>
      <c r="V24" s="10">
        <f t="shared" si="3"/>
        <v>17363662493.694016</v>
      </c>
      <c r="W24" s="10">
        <f t="shared" ref="W24:X24" si="65">W23*(1+$B$4)</f>
        <v>130.73406358320304</v>
      </c>
      <c r="X24" s="10">
        <f t="shared" si="65"/>
        <v>65.367031791601519</v>
      </c>
      <c r="Y24" s="11">
        <f t="shared" si="4"/>
        <v>33889813618.105686</v>
      </c>
      <c r="Z24" s="11">
        <f t="shared" si="5"/>
        <v>39834797061.551941</v>
      </c>
      <c r="AA24" s="10">
        <f t="shared" si="23"/>
        <v>784404381.49921846</v>
      </c>
      <c r="AB24" s="10">
        <f t="shared" si="24"/>
        <v>962647693.47643399</v>
      </c>
      <c r="AC24" s="10">
        <f t="shared" si="25"/>
        <v>2223966925.3968959</v>
      </c>
      <c r="AD24" s="10">
        <f t="shared" si="26"/>
        <v>1203309616.8455427</v>
      </c>
      <c r="AE24" s="10">
        <f t="shared" si="27"/>
        <v>6187726802.6261215</v>
      </c>
      <c r="AF24" s="11">
        <f t="shared" si="62"/>
        <v>33889813618.105686</v>
      </c>
      <c r="AG24" s="11">
        <f t="shared" si="62"/>
        <v>39834797061.551941</v>
      </c>
      <c r="AH24" s="10">
        <f t="shared" ref="AH24" si="66">5%*AG24</f>
        <v>1991739853.0775971</v>
      </c>
      <c r="AI24" s="11">
        <f t="shared" si="8"/>
        <v>3983479706.1551943</v>
      </c>
      <c r="AJ24" s="11">
        <f t="shared" si="9"/>
        <v>2390087823.6931162</v>
      </c>
      <c r="AK24" s="10">
        <f t="shared" si="29"/>
        <v>51072991.837197132</v>
      </c>
      <c r="AL24" s="11">
        <f t="shared" si="10"/>
        <v>39834797061.551941</v>
      </c>
      <c r="AM24" s="10">
        <f t="shared" si="30"/>
        <v>31865623687.408848</v>
      </c>
      <c r="AN24" s="30">
        <f t="shared" si="11"/>
        <v>48640000</v>
      </c>
      <c r="AO24" s="10">
        <f t="shared" si="12"/>
        <v>31914263687.408848</v>
      </c>
      <c r="AP24" s="10">
        <f t="shared" si="13"/>
        <v>7920533374.1430931</v>
      </c>
      <c r="AQ24" s="10">
        <f t="shared" si="14"/>
        <v>792053337.41430938</v>
      </c>
      <c r="AR24" s="40">
        <f t="shared" si="15"/>
        <v>7128480036.7287836</v>
      </c>
      <c r="AS24" s="42">
        <f t="shared" si="16"/>
        <v>5430615897.8935089</v>
      </c>
    </row>
    <row r="26" spans="1:45" x14ac:dyDescent="0.25">
      <c r="A26" s="23" t="s">
        <v>49</v>
      </c>
      <c r="B26" s="48">
        <f>SUM(AS6:AS24)</f>
        <v>71360200028.359543</v>
      </c>
    </row>
    <row r="27" spans="1:45" x14ac:dyDescent="0.25">
      <c r="A27" s="23" t="s">
        <v>47</v>
      </c>
      <c r="B27" s="57">
        <f>B26*((1-B28)^18)</f>
        <v>6.4244889837531901E-4</v>
      </c>
    </row>
    <row r="28" spans="1:45" x14ac:dyDescent="0.25">
      <c r="A28" s="23" t="s">
        <v>48</v>
      </c>
      <c r="B28" s="49">
        <v>0.83416052343517355</v>
      </c>
    </row>
  </sheetData>
  <mergeCells count="14">
    <mergeCell ref="AB4:AC4"/>
    <mergeCell ref="AD4:AE4"/>
    <mergeCell ref="AF4:AG4"/>
    <mergeCell ref="AH4:AJ4"/>
    <mergeCell ref="B16:C16"/>
    <mergeCell ref="L3:Q3"/>
    <mergeCell ref="R3:T3"/>
    <mergeCell ref="W3:Z3"/>
    <mergeCell ref="L4:M4"/>
    <mergeCell ref="N4:Q4"/>
    <mergeCell ref="R4:S4"/>
    <mergeCell ref="U4:V4"/>
    <mergeCell ref="W4:X4"/>
    <mergeCell ref="Y4:Z4"/>
  </mergeCells>
  <pageMargins left="0.7" right="0.7" top="0.75" bottom="0.75" header="0.3" footer="0.3"/>
  <pageSetup orientation="portrait" r:id="rId1"/>
  <ignoredErrors>
    <ignoredError sqref="AC7:AC10 AC16:AC24 AC11:AC14 AC15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Ques 1</vt:lpstr>
      <vt:lpstr>Ques 2</vt:lpstr>
      <vt:lpstr>Ques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Rishika Agarwal</cp:lastModifiedBy>
  <dcterms:created xsi:type="dcterms:W3CDTF">2022-02-25T17:03:55Z</dcterms:created>
  <dcterms:modified xsi:type="dcterms:W3CDTF">2022-03-05T13:03:44Z</dcterms:modified>
</cp:coreProperties>
</file>