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5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hriyagupta/Desktop/"/>
    </mc:Choice>
  </mc:AlternateContent>
  <xr:revisionPtr revIDLastSave="0" documentId="13_ncr:1_{FAD3BF8E-7572-8F4D-8D78-DFB1666DF1E2}" xr6:coauthVersionLast="47" xr6:coauthVersionMax="47" xr10:uidLastSave="{00000000-0000-0000-0000-000000000000}"/>
  <bookViews>
    <workbookView xWindow="20" yWindow="500" windowWidth="25560" windowHeight="14280" xr2:uid="{96293653-95C4-AC47-BE63-7D591EC6B9A6}"/>
  </bookViews>
  <sheets>
    <sheet name="After-Tax Incremental Cash-flow" sheetId="2" r:id="rId1"/>
    <sheet name="NPV &amp; IRR" sheetId="3" r:id="rId2"/>
    <sheet name="Life of Project Increased" sheetId="6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88" i="6" l="1"/>
  <c r="I34" i="3"/>
  <c r="I33" i="3"/>
  <c r="L356" i="6"/>
  <c r="F335" i="6"/>
  <c r="J340" i="6" s="1"/>
  <c r="F307" i="6"/>
  <c r="J315" i="6" s="1"/>
  <c r="G305" i="6"/>
  <c r="D222" i="6"/>
  <c r="D223" i="6" s="1"/>
  <c r="D224" i="6" s="1"/>
  <c r="D225" i="6" s="1"/>
  <c r="D226" i="6" s="1"/>
  <c r="D227" i="6" s="1"/>
  <c r="D228" i="6" s="1"/>
  <c r="D229" i="6" s="1"/>
  <c r="D230" i="6" s="1"/>
  <c r="D231" i="6" s="1"/>
  <c r="D232" i="6" s="1"/>
  <c r="D233" i="6" s="1"/>
  <c r="D234" i="6" s="1"/>
  <c r="D235" i="6" s="1"/>
  <c r="D236" i="6" s="1"/>
  <c r="D174" i="6"/>
  <c r="D175" i="6" s="1"/>
  <c r="D176" i="6" s="1"/>
  <c r="D177" i="6" s="1"/>
  <c r="D178" i="6" s="1"/>
  <c r="D179" i="6" s="1"/>
  <c r="D180" i="6" s="1"/>
  <c r="D181" i="6" s="1"/>
  <c r="D182" i="6" s="1"/>
  <c r="D183" i="6" s="1"/>
  <c r="D184" i="6" s="1"/>
  <c r="D185" i="6" s="1"/>
  <c r="D186" i="6" s="1"/>
  <c r="D187" i="6" s="1"/>
  <c r="D188" i="6" s="1"/>
  <c r="D189" i="6" s="1"/>
  <c r="I168" i="6"/>
  <c r="I171" i="6" s="1"/>
  <c r="G150" i="6"/>
  <c r="G151" i="6" s="1"/>
  <c r="G152" i="6" s="1"/>
  <c r="G153" i="6" s="1"/>
  <c r="G154" i="6" s="1"/>
  <c r="G155" i="6" s="1"/>
  <c r="G156" i="6" s="1"/>
  <c r="G157" i="6" s="1"/>
  <c r="G158" i="6" s="1"/>
  <c r="G159" i="6" s="1"/>
  <c r="G160" i="6" s="1"/>
  <c r="G161" i="6" s="1"/>
  <c r="G162" i="6" s="1"/>
  <c r="G163" i="6" s="1"/>
  <c r="G164" i="6" s="1"/>
  <c r="D149" i="6"/>
  <c r="D150" i="6" s="1"/>
  <c r="D151" i="6" s="1"/>
  <c r="D152" i="6" s="1"/>
  <c r="D153" i="6" s="1"/>
  <c r="D154" i="6" s="1"/>
  <c r="D155" i="6" s="1"/>
  <c r="D156" i="6" s="1"/>
  <c r="D157" i="6" s="1"/>
  <c r="D158" i="6" s="1"/>
  <c r="D159" i="6" s="1"/>
  <c r="D160" i="6" s="1"/>
  <c r="D161" i="6" s="1"/>
  <c r="D162" i="6" s="1"/>
  <c r="D163" i="6" s="1"/>
  <c r="D164" i="6" s="1"/>
  <c r="J126" i="6"/>
  <c r="J127" i="6" s="1"/>
  <c r="J128" i="6" s="1"/>
  <c r="J129" i="6" s="1"/>
  <c r="J130" i="6" s="1"/>
  <c r="J131" i="6" s="1"/>
  <c r="J132" i="6" s="1"/>
  <c r="J133" i="6" s="1"/>
  <c r="J134" i="6" s="1"/>
  <c r="J135" i="6" s="1"/>
  <c r="J136" i="6" s="1"/>
  <c r="J137" i="6" s="1"/>
  <c r="J138" i="6" s="1"/>
  <c r="J139" i="6" s="1"/>
  <c r="J140" i="6" s="1"/>
  <c r="G120" i="6"/>
  <c r="D125" i="6" s="1"/>
  <c r="G98" i="6"/>
  <c r="G102" i="6" s="1"/>
  <c r="G103" i="6" s="1"/>
  <c r="G104" i="6" s="1"/>
  <c r="G105" i="6" s="1"/>
  <c r="G106" i="6" s="1"/>
  <c r="G107" i="6" s="1"/>
  <c r="G108" i="6" s="1"/>
  <c r="G109" i="6" s="1"/>
  <c r="G110" i="6" s="1"/>
  <c r="G111" i="6" s="1"/>
  <c r="G112" i="6" s="1"/>
  <c r="G113" i="6" s="1"/>
  <c r="G114" i="6" s="1"/>
  <c r="G115" i="6" s="1"/>
  <c r="G116" i="6" s="1"/>
  <c r="D54" i="6"/>
  <c r="D55" i="6" s="1"/>
  <c r="D56" i="6" s="1"/>
  <c r="D57" i="6" s="1"/>
  <c r="D58" i="6" s="1"/>
  <c r="D59" i="6" s="1"/>
  <c r="D60" i="6" s="1"/>
  <c r="D61" i="6" s="1"/>
  <c r="D62" i="6" s="1"/>
  <c r="D63" i="6" s="1"/>
  <c r="P31" i="6"/>
  <c r="H53" i="6" s="1"/>
  <c r="O31" i="6"/>
  <c r="O32" i="6" s="1"/>
  <c r="O33" i="6" s="1"/>
  <c r="O34" i="6" s="1"/>
  <c r="O35" i="6" s="1"/>
  <c r="O36" i="6" s="1"/>
  <c r="O37" i="6" s="1"/>
  <c r="O38" i="6" s="1"/>
  <c r="O39" i="6" s="1"/>
  <c r="O40" i="6" s="1"/>
  <c r="O41" i="6" s="1"/>
  <c r="O42" i="6" s="1"/>
  <c r="O43" i="6" s="1"/>
  <c r="O44" i="6" s="1"/>
  <c r="O45" i="6" s="1"/>
  <c r="H31" i="6"/>
  <c r="H32" i="6" s="1"/>
  <c r="H33" i="6" s="1"/>
  <c r="H34" i="6" s="1"/>
  <c r="H35" i="6" s="1"/>
  <c r="H36" i="6" s="1"/>
  <c r="H37" i="6" s="1"/>
  <c r="H38" i="6" s="1"/>
  <c r="H39" i="6" s="1"/>
  <c r="H40" i="6" s="1"/>
  <c r="H41" i="6" s="1"/>
  <c r="H42" i="6" s="1"/>
  <c r="H43" i="6" s="1"/>
  <c r="H44" i="6" s="1"/>
  <c r="H45" i="6" s="1"/>
  <c r="I30" i="6"/>
  <c r="I31" i="6" s="1"/>
  <c r="I32" i="6" s="1"/>
  <c r="I33" i="6" s="1"/>
  <c r="I34" i="6" s="1"/>
  <c r="I35" i="6" s="1"/>
  <c r="I36" i="6" s="1"/>
  <c r="I37" i="6" s="1"/>
  <c r="I38" i="6" s="1"/>
  <c r="I39" i="6" s="1"/>
  <c r="I40" i="6" s="1"/>
  <c r="I41" i="6" s="1"/>
  <c r="I42" i="6" s="1"/>
  <c r="I43" i="6" s="1"/>
  <c r="I44" i="6" s="1"/>
  <c r="I45" i="6" s="1"/>
  <c r="H23" i="6"/>
  <c r="Q30" i="6" s="1"/>
  <c r="H18" i="6"/>
  <c r="D30" i="6" s="1"/>
  <c r="K69" i="3"/>
  <c r="D67" i="3"/>
  <c r="D43" i="3"/>
  <c r="G92" i="2"/>
  <c r="G93" i="2" s="1"/>
  <c r="G94" i="2" s="1"/>
  <c r="G95" i="2" s="1"/>
  <c r="G96" i="2" s="1"/>
  <c r="G97" i="2" s="1"/>
  <c r="G98" i="2" s="1"/>
  <c r="G99" i="2" s="1"/>
  <c r="G100" i="2" s="1"/>
  <c r="D52" i="2"/>
  <c r="D53" i="2" s="1"/>
  <c r="D54" i="2" s="1"/>
  <c r="D55" i="2" s="1"/>
  <c r="D56" i="2" s="1"/>
  <c r="D57" i="2" s="1"/>
  <c r="D58" i="2" s="1"/>
  <c r="D59" i="2" s="1"/>
  <c r="D60" i="2" s="1"/>
  <c r="P32" i="2"/>
  <c r="P33" i="2" s="1"/>
  <c r="O32" i="2"/>
  <c r="O33" i="2" s="1"/>
  <c r="O34" i="2" s="1"/>
  <c r="O35" i="2" s="1"/>
  <c r="O36" i="2" s="1"/>
  <c r="O37" i="2" s="1"/>
  <c r="O38" i="2" s="1"/>
  <c r="O39" i="2" s="1"/>
  <c r="O40" i="2" s="1"/>
  <c r="O41" i="2" s="1"/>
  <c r="H32" i="2"/>
  <c r="H33" i="2" s="1"/>
  <c r="H34" i="2" s="1"/>
  <c r="H35" i="2" s="1"/>
  <c r="H36" i="2" s="1"/>
  <c r="H37" i="2" s="1"/>
  <c r="H38" i="2" s="1"/>
  <c r="H39" i="2" s="1"/>
  <c r="H40" i="2" s="1"/>
  <c r="H41" i="2" s="1"/>
  <c r="H10" i="3"/>
  <c r="H8" i="3"/>
  <c r="H7" i="3"/>
  <c r="E52" i="3"/>
  <c r="I66" i="3" s="1"/>
  <c r="K66" i="3" s="1"/>
  <c r="E29" i="3"/>
  <c r="I43" i="3" s="1"/>
  <c r="K43" i="3" s="1"/>
  <c r="F27" i="3"/>
  <c r="D57" i="3" s="1"/>
  <c r="J355" i="6" l="1"/>
  <c r="L355" i="6" s="1"/>
  <c r="J351" i="6"/>
  <c r="L351" i="6" s="1"/>
  <c r="J353" i="6"/>
  <c r="L353" i="6" s="1"/>
  <c r="J352" i="6"/>
  <c r="L352" i="6" s="1"/>
  <c r="J354" i="6"/>
  <c r="L354" i="6" s="1"/>
  <c r="J323" i="6"/>
  <c r="J326" i="6"/>
  <c r="J322" i="6"/>
  <c r="J325" i="6"/>
  <c r="J324" i="6"/>
  <c r="J341" i="6"/>
  <c r="L341" i="6" s="1"/>
  <c r="J348" i="6"/>
  <c r="L348" i="6" s="1"/>
  <c r="J344" i="6"/>
  <c r="L344" i="6" s="1"/>
  <c r="J345" i="6"/>
  <c r="L345" i="6" s="1"/>
  <c r="J347" i="6"/>
  <c r="L347" i="6" s="1"/>
  <c r="J343" i="6"/>
  <c r="L343" i="6" s="1"/>
  <c r="J349" i="6"/>
  <c r="L349" i="6" s="1"/>
  <c r="J350" i="6"/>
  <c r="J346" i="6"/>
  <c r="L346" i="6" s="1"/>
  <c r="J342" i="6"/>
  <c r="L342" i="6" s="1"/>
  <c r="J320" i="6"/>
  <c r="J316" i="6"/>
  <c r="J312" i="6"/>
  <c r="J311" i="6"/>
  <c r="J318" i="6"/>
  <c r="J314" i="6"/>
  <c r="J321" i="6"/>
  <c r="J317" i="6"/>
  <c r="J313" i="6"/>
  <c r="J319" i="6"/>
  <c r="L340" i="6"/>
  <c r="E311" i="6"/>
  <c r="D64" i="6"/>
  <c r="G174" i="6"/>
  <c r="G175" i="6" s="1"/>
  <c r="G176" i="6" s="1"/>
  <c r="G177" i="6" s="1"/>
  <c r="G178" i="6" s="1"/>
  <c r="G179" i="6" s="1"/>
  <c r="G180" i="6" s="1"/>
  <c r="G181" i="6" s="1"/>
  <c r="G182" i="6" s="1"/>
  <c r="G183" i="6" s="1"/>
  <c r="G184" i="6" s="1"/>
  <c r="G185" i="6" s="1"/>
  <c r="G186" i="6" s="1"/>
  <c r="G187" i="6" s="1"/>
  <c r="G188" i="6" s="1"/>
  <c r="G189" i="6" s="1"/>
  <c r="Q31" i="6"/>
  <c r="U31" i="6" s="1"/>
  <c r="G125" i="6"/>
  <c r="G126" i="6" s="1"/>
  <c r="G127" i="6" s="1"/>
  <c r="G128" i="6" s="1"/>
  <c r="G129" i="6" s="1"/>
  <c r="G130" i="6" s="1"/>
  <c r="G131" i="6" s="1"/>
  <c r="G132" i="6" s="1"/>
  <c r="G133" i="6" s="1"/>
  <c r="G134" i="6" s="1"/>
  <c r="G135" i="6" s="1"/>
  <c r="G136" i="6" s="1"/>
  <c r="G137" i="6" s="1"/>
  <c r="G138" i="6" s="1"/>
  <c r="G139" i="6" s="1"/>
  <c r="G140" i="6" s="1"/>
  <c r="K30" i="6"/>
  <c r="D31" i="6"/>
  <c r="D126" i="6"/>
  <c r="U30" i="6"/>
  <c r="G53" i="6"/>
  <c r="P32" i="6"/>
  <c r="H51" i="2"/>
  <c r="D33" i="3"/>
  <c r="P34" i="2"/>
  <c r="H52" i="2"/>
  <c r="G51" i="2"/>
  <c r="I51" i="2" s="1"/>
  <c r="H12" i="3"/>
  <c r="H16" i="3" s="1"/>
  <c r="H17" i="3" s="1"/>
  <c r="H18" i="3" s="1"/>
  <c r="K34" i="3"/>
  <c r="I36" i="3"/>
  <c r="K36" i="3" s="1"/>
  <c r="I38" i="3"/>
  <c r="K38" i="3" s="1"/>
  <c r="I40" i="3"/>
  <c r="K40" i="3" s="1"/>
  <c r="I42" i="3"/>
  <c r="K42" i="3" s="1"/>
  <c r="I57" i="3"/>
  <c r="K57" i="3" s="1"/>
  <c r="I59" i="3"/>
  <c r="K59" i="3" s="1"/>
  <c r="I61" i="3"/>
  <c r="K61" i="3" s="1"/>
  <c r="I63" i="3"/>
  <c r="K63" i="3" s="1"/>
  <c r="I65" i="3"/>
  <c r="K65" i="3" s="1"/>
  <c r="I67" i="3"/>
  <c r="K67" i="3" s="1"/>
  <c r="K33" i="3"/>
  <c r="I35" i="3"/>
  <c r="K35" i="3" s="1"/>
  <c r="I37" i="3"/>
  <c r="K37" i="3" s="1"/>
  <c r="I39" i="3"/>
  <c r="K39" i="3" s="1"/>
  <c r="I41" i="3"/>
  <c r="K41" i="3" s="1"/>
  <c r="I58" i="3"/>
  <c r="K58" i="3" s="1"/>
  <c r="I60" i="3"/>
  <c r="K60" i="3" s="1"/>
  <c r="I62" i="3"/>
  <c r="K62" i="3" s="1"/>
  <c r="I64" i="3"/>
  <c r="K64" i="3" s="1"/>
  <c r="L311" i="6" l="1"/>
  <c r="D65" i="6"/>
  <c r="M125" i="6"/>
  <c r="Q32" i="6"/>
  <c r="U32" i="6" s="1"/>
  <c r="D32" i="6"/>
  <c r="K31" i="6"/>
  <c r="H54" i="6"/>
  <c r="P33" i="6"/>
  <c r="M126" i="6"/>
  <c r="D127" i="6"/>
  <c r="G54" i="6"/>
  <c r="I53" i="6"/>
  <c r="D72" i="6" s="1"/>
  <c r="D263" i="6" s="1"/>
  <c r="K45" i="3"/>
  <c r="E53" i="3"/>
  <c r="P35" i="2"/>
  <c r="H53" i="2"/>
  <c r="G52" i="2"/>
  <c r="G53" i="2" s="1"/>
  <c r="G54" i="2" s="1"/>
  <c r="G55" i="2" s="1"/>
  <c r="G56" i="2" s="1"/>
  <c r="G57" i="2" s="1"/>
  <c r="G58" i="2" s="1"/>
  <c r="G59" i="2" s="1"/>
  <c r="G60" i="2" s="1"/>
  <c r="D66" i="6" l="1"/>
  <c r="Q33" i="6"/>
  <c r="U33" i="6" s="1"/>
  <c r="I199" i="6"/>
  <c r="D199" i="6"/>
  <c r="G199" i="6"/>
  <c r="G55" i="6"/>
  <c r="I54" i="6"/>
  <c r="D73" i="6" s="1"/>
  <c r="M127" i="6"/>
  <c r="D128" i="6"/>
  <c r="K32" i="6"/>
  <c r="D33" i="6"/>
  <c r="H55" i="6"/>
  <c r="P34" i="6"/>
  <c r="P36" i="2"/>
  <c r="H54" i="2"/>
  <c r="D187" i="2"/>
  <c r="D188" i="2" s="1"/>
  <c r="D189" i="2" s="1"/>
  <c r="D190" i="2" s="1"/>
  <c r="D191" i="2" s="1"/>
  <c r="D192" i="2" s="1"/>
  <c r="D193" i="2" s="1"/>
  <c r="D194" i="2" s="1"/>
  <c r="D195" i="2" s="1"/>
  <c r="D196" i="2" s="1"/>
  <c r="D148" i="2"/>
  <c r="D149" i="2" s="1"/>
  <c r="D150" i="2" s="1"/>
  <c r="D151" i="2" s="1"/>
  <c r="D152" i="2" s="1"/>
  <c r="D153" i="2" s="1"/>
  <c r="D154" i="2" s="1"/>
  <c r="D155" i="2" s="1"/>
  <c r="D156" i="2" s="1"/>
  <c r="D157" i="2" s="1"/>
  <c r="D158" i="2" s="1"/>
  <c r="I142" i="2"/>
  <c r="I145" i="2" s="1"/>
  <c r="G129" i="2"/>
  <c r="G130" i="2" s="1"/>
  <c r="G131" i="2" s="1"/>
  <c r="G132" i="2" s="1"/>
  <c r="G133" i="2" s="1"/>
  <c r="G134" i="2" s="1"/>
  <c r="G135" i="2" s="1"/>
  <c r="G136" i="2" s="1"/>
  <c r="G137" i="2" s="1"/>
  <c r="G138" i="2" s="1"/>
  <c r="D128" i="2"/>
  <c r="D129" i="2" s="1"/>
  <c r="D130" i="2" s="1"/>
  <c r="D131" i="2" s="1"/>
  <c r="D132" i="2" s="1"/>
  <c r="D133" i="2" s="1"/>
  <c r="D134" i="2" s="1"/>
  <c r="D135" i="2" s="1"/>
  <c r="D136" i="2" s="1"/>
  <c r="D137" i="2" s="1"/>
  <c r="D138" i="2" s="1"/>
  <c r="J110" i="2"/>
  <c r="J111" i="2" s="1"/>
  <c r="J112" i="2" s="1"/>
  <c r="J113" i="2" s="1"/>
  <c r="J114" i="2" s="1"/>
  <c r="J115" i="2" s="1"/>
  <c r="J116" i="2" s="1"/>
  <c r="J117" i="2" s="1"/>
  <c r="J118" i="2" s="1"/>
  <c r="J119" i="2" s="1"/>
  <c r="G104" i="2"/>
  <c r="G109" i="2" s="1"/>
  <c r="G110" i="2" s="1"/>
  <c r="G111" i="2" s="1"/>
  <c r="G112" i="2" s="1"/>
  <c r="G113" i="2" s="1"/>
  <c r="G114" i="2" s="1"/>
  <c r="G115" i="2" s="1"/>
  <c r="G116" i="2" s="1"/>
  <c r="G117" i="2" s="1"/>
  <c r="G118" i="2" s="1"/>
  <c r="G119" i="2" s="1"/>
  <c r="G87" i="2"/>
  <c r="I31" i="2"/>
  <c r="I32" i="2" s="1"/>
  <c r="I33" i="2" s="1"/>
  <c r="I34" i="2" s="1"/>
  <c r="I35" i="2" s="1"/>
  <c r="I36" i="2" s="1"/>
  <c r="I37" i="2" s="1"/>
  <c r="I38" i="2" s="1"/>
  <c r="I39" i="2" s="1"/>
  <c r="I40" i="2" s="1"/>
  <c r="I41" i="2" s="1"/>
  <c r="H24" i="2"/>
  <c r="Q31" i="2" s="1"/>
  <c r="H19" i="2"/>
  <c r="D31" i="2" s="1"/>
  <c r="D32" i="2" s="1"/>
  <c r="D33" i="2" s="1"/>
  <c r="D34" i="2" s="1"/>
  <c r="D35" i="2" s="1"/>
  <c r="D36" i="2" s="1"/>
  <c r="D37" i="2" s="1"/>
  <c r="D38" i="2" s="1"/>
  <c r="D39" i="2" s="1"/>
  <c r="D40" i="2" s="1"/>
  <c r="D41" i="2" s="1"/>
  <c r="D264" i="6" l="1"/>
  <c r="D67" i="6"/>
  <c r="Q34" i="6"/>
  <c r="U34" i="6" s="1"/>
  <c r="I200" i="6"/>
  <c r="D200" i="6"/>
  <c r="G200" i="6"/>
  <c r="H56" i="6"/>
  <c r="P35" i="6"/>
  <c r="K33" i="6"/>
  <c r="D34" i="6"/>
  <c r="M128" i="6"/>
  <c r="D129" i="6"/>
  <c r="L199" i="6"/>
  <c r="D241" i="6" s="1"/>
  <c r="F263" i="6" s="1"/>
  <c r="H263" i="6" s="1"/>
  <c r="G56" i="6"/>
  <c r="I55" i="6"/>
  <c r="D74" i="6" s="1"/>
  <c r="Q32" i="2"/>
  <c r="U32" i="2" s="1"/>
  <c r="U31" i="2"/>
  <c r="P37" i="2"/>
  <c r="H55" i="2"/>
  <c r="D109" i="2"/>
  <c r="M109" i="2" s="1"/>
  <c r="G148" i="2"/>
  <c r="G149" i="2" s="1"/>
  <c r="G150" i="2" s="1"/>
  <c r="G151" i="2" s="1"/>
  <c r="G152" i="2" s="1"/>
  <c r="G153" i="2" s="1"/>
  <c r="G154" i="2" s="1"/>
  <c r="G155" i="2" s="1"/>
  <c r="G156" i="2" s="1"/>
  <c r="G157" i="2" s="1"/>
  <c r="G158" i="2" s="1"/>
  <c r="I53" i="2"/>
  <c r="I52" i="2"/>
  <c r="K32" i="2"/>
  <c r="K31" i="2"/>
  <c r="D66" i="2" s="1"/>
  <c r="Q35" i="6" l="1"/>
  <c r="U35" i="6" s="1"/>
  <c r="L200" i="6"/>
  <c r="D242" i="6" s="1"/>
  <c r="K263" i="6"/>
  <c r="M263" i="6" s="1"/>
  <c r="D265" i="6"/>
  <c r="I201" i="6"/>
  <c r="D201" i="6"/>
  <c r="G201" i="6"/>
  <c r="K34" i="6"/>
  <c r="D35" i="6"/>
  <c r="M129" i="6"/>
  <c r="D130" i="6"/>
  <c r="H57" i="6"/>
  <c r="P36" i="6"/>
  <c r="G57" i="6"/>
  <c r="I56" i="6"/>
  <c r="D75" i="6" s="1"/>
  <c r="Q33" i="2"/>
  <c r="U33" i="2" s="1"/>
  <c r="D67" i="2"/>
  <c r="I170" i="2" s="1"/>
  <c r="D110" i="2"/>
  <c r="M110" i="2" s="1"/>
  <c r="P38" i="2"/>
  <c r="H56" i="2"/>
  <c r="D218" i="2"/>
  <c r="G169" i="2"/>
  <c r="I169" i="2"/>
  <c r="D169" i="2"/>
  <c r="I54" i="2"/>
  <c r="K33" i="2"/>
  <c r="D266" i="6" l="1"/>
  <c r="F264" i="6"/>
  <c r="H264" i="6" s="1"/>
  <c r="K264" i="6" s="1"/>
  <c r="M264" i="6" s="1"/>
  <c r="E312" i="6"/>
  <c r="L312" i="6" s="1"/>
  <c r="Q36" i="6"/>
  <c r="U36" i="6" s="1"/>
  <c r="I202" i="6"/>
  <c r="D202" i="6"/>
  <c r="G202" i="6"/>
  <c r="M130" i="6"/>
  <c r="D131" i="6"/>
  <c r="H58" i="6"/>
  <c r="P37" i="6"/>
  <c r="G58" i="6"/>
  <c r="I57" i="6"/>
  <c r="D76" i="6" s="1"/>
  <c r="K35" i="6"/>
  <c r="D36" i="6"/>
  <c r="L201" i="6"/>
  <c r="D243" i="6" s="1"/>
  <c r="D111" i="2"/>
  <c r="D112" i="2" s="1"/>
  <c r="D113" i="2" s="1"/>
  <c r="D114" i="2" s="1"/>
  <c r="D115" i="2" s="1"/>
  <c r="D116" i="2" s="1"/>
  <c r="D117" i="2" s="1"/>
  <c r="D118" i="2" s="1"/>
  <c r="D119" i="2" s="1"/>
  <c r="Q34" i="2"/>
  <c r="U34" i="2" s="1"/>
  <c r="D68" i="2"/>
  <c r="P39" i="2"/>
  <c r="H57" i="2"/>
  <c r="G170" i="2"/>
  <c r="D219" i="2"/>
  <c r="D170" i="2"/>
  <c r="L169" i="2"/>
  <c r="D201" i="2" s="1"/>
  <c r="F218" i="2" s="1"/>
  <c r="H218" i="2" s="1"/>
  <c r="I55" i="2"/>
  <c r="K34" i="2"/>
  <c r="F265" i="6" l="1"/>
  <c r="H265" i="6" s="1"/>
  <c r="K265" i="6" s="1"/>
  <c r="M265" i="6" s="1"/>
  <c r="E313" i="6"/>
  <c r="L313" i="6" s="1"/>
  <c r="Q37" i="6"/>
  <c r="U37" i="6" s="1"/>
  <c r="L202" i="6"/>
  <c r="D244" i="6" s="1"/>
  <c r="M131" i="6"/>
  <c r="D132" i="6"/>
  <c r="G59" i="6"/>
  <c r="I58" i="6"/>
  <c r="D77" i="6" s="1"/>
  <c r="K36" i="6"/>
  <c r="D37" i="6"/>
  <c r="H59" i="6"/>
  <c r="P38" i="6"/>
  <c r="I203" i="6"/>
  <c r="D267" i="6"/>
  <c r="D203" i="6"/>
  <c r="G203" i="6"/>
  <c r="G171" i="2"/>
  <c r="D171" i="2"/>
  <c r="D220" i="2"/>
  <c r="M112" i="2"/>
  <c r="M111" i="2"/>
  <c r="I171" i="2"/>
  <c r="Q35" i="2"/>
  <c r="U35" i="2" s="1"/>
  <c r="D69" i="2"/>
  <c r="P40" i="2"/>
  <c r="H58" i="2"/>
  <c r="L170" i="2"/>
  <c r="D202" i="2" s="1"/>
  <c r="F219" i="2" s="1"/>
  <c r="H219" i="2" s="1"/>
  <c r="K219" i="2" s="1"/>
  <c r="M219" i="2" s="1"/>
  <c r="K218" i="2"/>
  <c r="M218" i="2" s="1"/>
  <c r="M113" i="2"/>
  <c r="I56" i="2"/>
  <c r="K35" i="2"/>
  <c r="F266" i="6" l="1"/>
  <c r="H266" i="6" s="1"/>
  <c r="K266" i="6" s="1"/>
  <c r="M266" i="6" s="1"/>
  <c r="E314" i="6"/>
  <c r="L314" i="6" s="1"/>
  <c r="Q38" i="6"/>
  <c r="Q39" i="6" s="1"/>
  <c r="L203" i="6"/>
  <c r="D245" i="6" s="1"/>
  <c r="I204" i="6"/>
  <c r="D204" i="6"/>
  <c r="D268" i="6"/>
  <c r="G204" i="6"/>
  <c r="H60" i="6"/>
  <c r="P39" i="6"/>
  <c r="G60" i="6"/>
  <c r="I59" i="6"/>
  <c r="D78" i="6" s="1"/>
  <c r="K37" i="6"/>
  <c r="D38" i="6"/>
  <c r="M132" i="6"/>
  <c r="D133" i="6"/>
  <c r="L171" i="2"/>
  <c r="D203" i="2" s="1"/>
  <c r="F220" i="2" s="1"/>
  <c r="H220" i="2" s="1"/>
  <c r="K220" i="2" s="1"/>
  <c r="M220" i="2" s="1"/>
  <c r="G172" i="2"/>
  <c r="I172" i="2"/>
  <c r="D172" i="2"/>
  <c r="D221" i="2"/>
  <c r="Q36" i="2"/>
  <c r="U36" i="2" s="1"/>
  <c r="D70" i="2"/>
  <c r="P41" i="2"/>
  <c r="H60" i="2" s="1"/>
  <c r="H59" i="2"/>
  <c r="M114" i="2"/>
  <c r="I57" i="2"/>
  <c r="K36" i="2"/>
  <c r="F267" i="6" l="1"/>
  <c r="H267" i="6" s="1"/>
  <c r="K267" i="6" s="1"/>
  <c r="M267" i="6" s="1"/>
  <c r="E315" i="6"/>
  <c r="L315" i="6" s="1"/>
  <c r="U38" i="6"/>
  <c r="L204" i="6"/>
  <c r="D246" i="6" s="1"/>
  <c r="K38" i="6"/>
  <c r="D39" i="6"/>
  <c r="H61" i="6"/>
  <c r="P40" i="6"/>
  <c r="D269" i="6"/>
  <c r="I205" i="6"/>
  <c r="D205" i="6"/>
  <c r="G205" i="6"/>
  <c r="U39" i="6"/>
  <c r="Q40" i="6"/>
  <c r="M133" i="6"/>
  <c r="D134" i="6"/>
  <c r="G61" i="6"/>
  <c r="I60" i="6"/>
  <c r="D79" i="6" s="1"/>
  <c r="L172" i="2"/>
  <c r="D204" i="2" s="1"/>
  <c r="F221" i="2" s="1"/>
  <c r="H221" i="2" s="1"/>
  <c r="K221" i="2" s="1"/>
  <c r="M221" i="2" s="1"/>
  <c r="G173" i="2"/>
  <c r="D222" i="2"/>
  <c r="I173" i="2"/>
  <c r="D173" i="2"/>
  <c r="Q37" i="2"/>
  <c r="U37" i="2" s="1"/>
  <c r="D71" i="2"/>
  <c r="M115" i="2"/>
  <c r="I58" i="2"/>
  <c r="K37" i="2"/>
  <c r="F268" i="6" l="1"/>
  <c r="H268" i="6" s="1"/>
  <c r="K268" i="6" s="1"/>
  <c r="M268" i="6" s="1"/>
  <c r="E316" i="6"/>
  <c r="L316" i="6" s="1"/>
  <c r="U40" i="6"/>
  <c r="Q41" i="6"/>
  <c r="H62" i="6"/>
  <c r="P41" i="6"/>
  <c r="I206" i="6"/>
  <c r="D206" i="6"/>
  <c r="D270" i="6"/>
  <c r="G206" i="6"/>
  <c r="K39" i="6"/>
  <c r="D40" i="6"/>
  <c r="G62" i="6"/>
  <c r="G63" i="6" s="1"/>
  <c r="I61" i="6"/>
  <c r="D80" i="6" s="1"/>
  <c r="M134" i="6"/>
  <c r="D135" i="6"/>
  <c r="L205" i="6"/>
  <c r="D247" i="6" s="1"/>
  <c r="L173" i="2"/>
  <c r="D205" i="2" s="1"/>
  <c r="F222" i="2" s="1"/>
  <c r="H222" i="2" s="1"/>
  <c r="K222" i="2" s="1"/>
  <c r="M222" i="2" s="1"/>
  <c r="D174" i="2"/>
  <c r="D223" i="2"/>
  <c r="G174" i="2"/>
  <c r="I174" i="2"/>
  <c r="Q38" i="2"/>
  <c r="U38" i="2" s="1"/>
  <c r="D72" i="2"/>
  <c r="M116" i="2"/>
  <c r="I59" i="2"/>
  <c r="K38" i="2"/>
  <c r="F269" i="6" l="1"/>
  <c r="H269" i="6" s="1"/>
  <c r="E317" i="6"/>
  <c r="L317" i="6" s="1"/>
  <c r="D271" i="6"/>
  <c r="M135" i="6"/>
  <c r="D136" i="6"/>
  <c r="G64" i="6"/>
  <c r="P42" i="6"/>
  <c r="H63" i="6"/>
  <c r="I63" i="6" s="1"/>
  <c r="K40" i="6"/>
  <c r="D41" i="6"/>
  <c r="U41" i="6"/>
  <c r="Q42" i="6"/>
  <c r="I62" i="6"/>
  <c r="D81" i="6" s="1"/>
  <c r="L206" i="6"/>
  <c r="D248" i="6" s="1"/>
  <c r="I207" i="6"/>
  <c r="D207" i="6"/>
  <c r="G207" i="6"/>
  <c r="K269" i="6"/>
  <c r="M269" i="6" s="1"/>
  <c r="L174" i="2"/>
  <c r="D206" i="2" s="1"/>
  <c r="F223" i="2" s="1"/>
  <c r="H223" i="2" s="1"/>
  <c r="K223" i="2" s="1"/>
  <c r="M223" i="2" s="1"/>
  <c r="G175" i="2"/>
  <c r="I175" i="2"/>
  <c r="D224" i="2"/>
  <c r="D175" i="2"/>
  <c r="Q39" i="2"/>
  <c r="U39" i="2" s="1"/>
  <c r="D73" i="2"/>
  <c r="M117" i="2"/>
  <c r="I60" i="2"/>
  <c r="K39" i="2"/>
  <c r="F270" i="6" l="1"/>
  <c r="H270" i="6" s="1"/>
  <c r="E318" i="6"/>
  <c r="L318" i="6" s="1"/>
  <c r="M136" i="6"/>
  <c r="D137" i="6"/>
  <c r="D82" i="6"/>
  <c r="P43" i="6"/>
  <c r="H64" i="6"/>
  <c r="I64" i="6" s="1"/>
  <c r="G65" i="6"/>
  <c r="U42" i="6"/>
  <c r="Q43" i="6"/>
  <c r="K41" i="6"/>
  <c r="D42" i="6"/>
  <c r="I208" i="6"/>
  <c r="D208" i="6"/>
  <c r="D272" i="6"/>
  <c r="G208" i="6"/>
  <c r="K270" i="6"/>
  <c r="M270" i="6" s="1"/>
  <c r="L207" i="6"/>
  <c r="D249" i="6" s="1"/>
  <c r="G176" i="2"/>
  <c r="D176" i="2"/>
  <c r="D225" i="2"/>
  <c r="L175" i="2"/>
  <c r="D207" i="2" s="1"/>
  <c r="F224" i="2" s="1"/>
  <c r="H224" i="2" s="1"/>
  <c r="K224" i="2" s="1"/>
  <c r="M224" i="2" s="1"/>
  <c r="Q40" i="2"/>
  <c r="U40" i="2" s="1"/>
  <c r="D74" i="2"/>
  <c r="I176" i="2"/>
  <c r="M118" i="2"/>
  <c r="M119" i="2"/>
  <c r="D211" i="2" s="1"/>
  <c r="F228" i="2" s="1"/>
  <c r="K41" i="2"/>
  <c r="K40" i="2"/>
  <c r="F271" i="6" l="1"/>
  <c r="H271" i="6" s="1"/>
  <c r="E319" i="6"/>
  <c r="L319" i="6" s="1"/>
  <c r="G209" i="6"/>
  <c r="D209" i="6"/>
  <c r="I209" i="6"/>
  <c r="D138" i="6"/>
  <c r="M137" i="6"/>
  <c r="D83" i="6"/>
  <c r="G66" i="6"/>
  <c r="P44" i="6"/>
  <c r="H65" i="6"/>
  <c r="I65" i="6" s="1"/>
  <c r="Q44" i="6"/>
  <c r="U43" i="6"/>
  <c r="D43" i="6"/>
  <c r="K42" i="6"/>
  <c r="K271" i="6"/>
  <c r="M271" i="6" s="1"/>
  <c r="L208" i="6"/>
  <c r="D250" i="6" s="1"/>
  <c r="L176" i="2"/>
  <c r="D208" i="2" s="1"/>
  <c r="F225" i="2" s="1"/>
  <c r="H225" i="2" s="1"/>
  <c r="K225" i="2" s="1"/>
  <c r="M225" i="2" s="1"/>
  <c r="D177" i="2"/>
  <c r="D226" i="2"/>
  <c r="G177" i="2"/>
  <c r="I177" i="2"/>
  <c r="Q41" i="2"/>
  <c r="D75" i="2"/>
  <c r="D178" i="2" s="1"/>
  <c r="F272" i="6" l="1"/>
  <c r="H272" i="6" s="1"/>
  <c r="E320" i="6"/>
  <c r="L320" i="6" s="1"/>
  <c r="L209" i="6"/>
  <c r="D251" i="6" s="1"/>
  <c r="G210" i="6"/>
  <c r="D274" i="6"/>
  <c r="I210" i="6"/>
  <c r="D210" i="6"/>
  <c r="D139" i="6"/>
  <c r="M138" i="6"/>
  <c r="D84" i="6"/>
  <c r="P45" i="6"/>
  <c r="H67" i="6" s="1"/>
  <c r="H66" i="6"/>
  <c r="I66" i="6" s="1"/>
  <c r="G67" i="6"/>
  <c r="K43" i="6"/>
  <c r="D44" i="6"/>
  <c r="Q45" i="6"/>
  <c r="U44" i="6"/>
  <c r="K272" i="6"/>
  <c r="M272" i="6" s="1"/>
  <c r="U41" i="2"/>
  <c r="D76" i="2" s="1"/>
  <c r="L177" i="2"/>
  <c r="D209" i="2" s="1"/>
  <c r="F226" i="2" s="1"/>
  <c r="H226" i="2" s="1"/>
  <c r="K226" i="2" s="1"/>
  <c r="M226" i="2" s="1"/>
  <c r="I178" i="2"/>
  <c r="G178" i="2"/>
  <c r="D227" i="2"/>
  <c r="F273" i="6" l="1"/>
  <c r="E321" i="6"/>
  <c r="L321" i="6" s="1"/>
  <c r="L328" i="6" s="1"/>
  <c r="I211" i="6"/>
  <c r="G211" i="6"/>
  <c r="D211" i="6"/>
  <c r="D275" i="6"/>
  <c r="L210" i="6"/>
  <c r="D252" i="6" s="1"/>
  <c r="D140" i="6"/>
  <c r="M140" i="6" s="1"/>
  <c r="D256" i="6" s="1"/>
  <c r="M139" i="6"/>
  <c r="U45" i="6"/>
  <c r="D85" i="6"/>
  <c r="I67" i="6"/>
  <c r="K44" i="6"/>
  <c r="D45" i="6"/>
  <c r="K45" i="6" s="1"/>
  <c r="I179" i="2"/>
  <c r="G179" i="2"/>
  <c r="D179" i="2"/>
  <c r="D228" i="2"/>
  <c r="H228" i="2" s="1"/>
  <c r="K228" i="2" s="1"/>
  <c r="M228" i="2" s="1"/>
  <c r="L178" i="2"/>
  <c r="D210" i="2" s="1"/>
  <c r="F227" i="2" s="1"/>
  <c r="H227" i="2" s="1"/>
  <c r="K227" i="2" s="1"/>
  <c r="M227" i="2" s="1"/>
  <c r="F274" i="6" l="1"/>
  <c r="H274" i="6" s="1"/>
  <c r="K274" i="6" s="1"/>
  <c r="E322" i="6"/>
  <c r="L322" i="6" s="1"/>
  <c r="F278" i="6"/>
  <c r="I293" i="6"/>
  <c r="L211" i="6"/>
  <c r="D253" i="6" s="1"/>
  <c r="G212" i="6"/>
  <c r="D276" i="6"/>
  <c r="I212" i="6"/>
  <c r="D212" i="6"/>
  <c r="D87" i="6"/>
  <c r="D86" i="6"/>
  <c r="F275" i="6" l="1"/>
  <c r="H275" i="6" s="1"/>
  <c r="K275" i="6" s="1"/>
  <c r="M275" i="6" s="1"/>
  <c r="E323" i="6"/>
  <c r="L323" i="6" s="1"/>
  <c r="D278" i="6"/>
  <c r="H278" i="6" s="1"/>
  <c r="K278" i="6" s="1"/>
  <c r="M278" i="6" s="1"/>
  <c r="I292" i="6"/>
  <c r="E326" i="6"/>
  <c r="L326" i="6" s="1"/>
  <c r="M274" i="6"/>
  <c r="L212" i="6"/>
  <c r="D254" i="6" s="1"/>
  <c r="D213" i="6"/>
  <c r="I213" i="6"/>
  <c r="G213" i="6"/>
  <c r="D277" i="6"/>
  <c r="D273" i="6"/>
  <c r="H273" i="6" s="1"/>
  <c r="K273" i="6" s="1"/>
  <c r="M273" i="6" s="1"/>
  <c r="F276" i="6" l="1"/>
  <c r="H276" i="6" s="1"/>
  <c r="K276" i="6" s="1"/>
  <c r="M276" i="6" s="1"/>
  <c r="E324" i="6"/>
  <c r="L324" i="6" s="1"/>
  <c r="L213" i="6"/>
  <c r="D255" i="6" l="1"/>
  <c r="I285" i="6"/>
  <c r="I286" i="6" s="1"/>
  <c r="I290" i="6" s="1"/>
  <c r="I294" i="6" s="1"/>
  <c r="I295" i="6" s="1"/>
  <c r="I296" i="6" s="1"/>
  <c r="L350" i="6" s="1"/>
  <c r="F336" i="6" s="1"/>
  <c r="F277" i="6" l="1"/>
  <c r="H277" i="6" s="1"/>
  <c r="K277" i="6" s="1"/>
  <c r="M277" i="6" s="1"/>
  <c r="E325" i="6"/>
  <c r="L325" i="6" s="1"/>
</calcChain>
</file>

<file path=xl/sharedStrings.xml><?xml version="1.0" encoding="utf-8"?>
<sst xmlns="http://schemas.openxmlformats.org/spreadsheetml/2006/main" count="274" uniqueCount="117">
  <si>
    <t>Year</t>
  </si>
  <si>
    <t>Growth Rate of US &amp; Russian participants without Alternium</t>
  </si>
  <si>
    <t>Growth Rate of US &amp; Russian participants with Alternium</t>
  </si>
  <si>
    <t>No. of US &amp; Russia participants in 2020 (In millions)</t>
  </si>
  <si>
    <t>No. of US &amp; Russia participants in 2022 (In millions)</t>
  </si>
  <si>
    <t>Growth Rate of International participants without Alternium</t>
  </si>
  <si>
    <t>Growth Rate of International participants with Alternium</t>
  </si>
  <si>
    <t>No. of International participants in 2020 (In millions)</t>
  </si>
  <si>
    <t>No. of International participants in 2022 (In millions)</t>
  </si>
  <si>
    <t>Inflation</t>
  </si>
  <si>
    <t>Expenses</t>
  </si>
  <si>
    <t>Pricing And Unit Costs</t>
  </si>
  <si>
    <t>US &amp; Russia Participants (In millions)</t>
  </si>
  <si>
    <t>Flat Charge</t>
  </si>
  <si>
    <t>Cost of servicing</t>
  </si>
  <si>
    <t>Total (In millions)</t>
  </si>
  <si>
    <t>International Participants (In millions)</t>
  </si>
  <si>
    <t>Us Treasury Rate</t>
  </si>
  <si>
    <t>Growth Rate of New Participants</t>
  </si>
  <si>
    <t>Participants (In millions)</t>
  </si>
  <si>
    <t>Service Charge</t>
  </si>
  <si>
    <t>Total Revenue</t>
  </si>
  <si>
    <t>Revenue (In millions)</t>
  </si>
  <si>
    <t xml:space="preserve"> Research &amp; Development Costs (In millions)</t>
  </si>
  <si>
    <t>Introductory Costs</t>
  </si>
  <si>
    <t>Cost of infrastructure (In millions)</t>
  </si>
  <si>
    <t>Salvage Value (In millions)</t>
  </si>
  <si>
    <t>Expected life of the asset (In years)</t>
  </si>
  <si>
    <t>Depreciated value each year (In millions)</t>
  </si>
  <si>
    <t>A)</t>
  </si>
  <si>
    <t>B)</t>
  </si>
  <si>
    <t>C)</t>
  </si>
  <si>
    <t>D)</t>
  </si>
  <si>
    <t>Introductory Costs (In millions)</t>
  </si>
  <si>
    <t>Depreciation Costs (In millons)</t>
  </si>
  <si>
    <t>G&amp;A costs in 2021</t>
  </si>
  <si>
    <t>Growth Rate of Company's G&amp;A</t>
  </si>
  <si>
    <t xml:space="preserve">Growth Rate of Alternium G&amp;A </t>
  </si>
  <si>
    <t xml:space="preserve"> General &amp; Administrative Costs</t>
  </si>
  <si>
    <t>Gross Company G&amp;A (In millions)</t>
  </si>
  <si>
    <t>G&amp;A Allocated to Alternium (In milions)</t>
  </si>
  <si>
    <t>Alternium G&amp;A (In millions)</t>
  </si>
  <si>
    <t>Total G&amp;A (In millions)</t>
  </si>
  <si>
    <t>Advertising expenses in 2021 (In millions)</t>
  </si>
  <si>
    <t>Growth Rate of costs</t>
  </si>
  <si>
    <t>Percentage increase due to alternium</t>
  </si>
  <si>
    <t>Without Alternium (In millions)</t>
  </si>
  <si>
    <t>With Alternium (In millions)</t>
  </si>
  <si>
    <t xml:space="preserve"> Advertising Expenses</t>
  </si>
  <si>
    <t>No. of International Participants in 2021 (In millions)</t>
  </si>
  <si>
    <t>Percentage of facility used</t>
  </si>
  <si>
    <t>Total capacity of the Server (In millions)</t>
  </si>
  <si>
    <t xml:space="preserve">Year </t>
  </si>
  <si>
    <t>Cost of Server (In millions)</t>
  </si>
  <si>
    <t>No. of Participants (In millions)</t>
  </si>
  <si>
    <t>Conversion Charges as percentage of Total Revenue</t>
  </si>
  <si>
    <t>Inventory Charges as percentage of Total Revenue</t>
  </si>
  <si>
    <t>Accounts Payable as percentage of Total Revenue</t>
  </si>
  <si>
    <t>Conversion Charges (In millions)</t>
  </si>
  <si>
    <t>Inventory Charges (In millions)</t>
  </si>
  <si>
    <t>Accounts Payable (In millions)</t>
  </si>
  <si>
    <t>Total Working Capital Needs (In millions)</t>
  </si>
  <si>
    <t>Increase in Savings</t>
  </si>
  <si>
    <t>Cost Savings (In millions)</t>
  </si>
  <si>
    <t>Total Expenses</t>
  </si>
  <si>
    <t>Expenses (In millions)</t>
  </si>
  <si>
    <t>After-Tax Incremental Cashflows</t>
  </si>
  <si>
    <t>Tax</t>
  </si>
  <si>
    <t>Taxable Income (In millions)</t>
  </si>
  <si>
    <t>After-Tax Incremental Cashflows (In millions)</t>
  </si>
  <si>
    <t>NET PRESENT VALUE PROFILE &amp; IRR</t>
  </si>
  <si>
    <t>At the end of the 10th year all the working capital &amp; investment in other assets can be sold at the book value</t>
  </si>
  <si>
    <t>Cost of Capital</t>
  </si>
  <si>
    <t>Working capital at the beginning of 10th year (In millions)</t>
  </si>
  <si>
    <t>Working capital at the end of 10th year (In millions)</t>
  </si>
  <si>
    <t>Value of infrastructure at the end of 10th year (In millions)</t>
  </si>
  <si>
    <t>Value of 2 servers at the end of 10th year (In millions)</t>
  </si>
  <si>
    <t>Total Cash obtained after selling all of the above (In millions)</t>
  </si>
  <si>
    <t>Revenue at the end of 10th year (In millions)</t>
  </si>
  <si>
    <t>Expenses at the end of the 10th year (In millions)</t>
  </si>
  <si>
    <t>Net Profit obtained after selling the assets (In millions)</t>
  </si>
  <si>
    <t>Tax (In millions)</t>
  </si>
  <si>
    <t>After Tax Incrementel Cashflow (In millions)</t>
  </si>
  <si>
    <t>Expenses in Year 2022</t>
  </si>
  <si>
    <t>Research &amp; Develpoment costs (In millions)</t>
  </si>
  <si>
    <t>Cost of Infrastructure (In milions)</t>
  </si>
  <si>
    <t>Advertising Costs (In millions)</t>
  </si>
  <si>
    <t>General &amp; Administrative costs (In millions)</t>
  </si>
  <si>
    <t>Working Capital (In  millions)</t>
  </si>
  <si>
    <t>Cost saving due to Alternium (In millions)</t>
  </si>
  <si>
    <t>Total Expenses (In millions)</t>
  </si>
  <si>
    <t>Discounting factor (v)</t>
  </si>
  <si>
    <t>Time</t>
  </si>
  <si>
    <t>Discounting factor</t>
  </si>
  <si>
    <t>Present Value (In Millions)</t>
  </si>
  <si>
    <t>Net Present Value (In Millions)</t>
  </si>
  <si>
    <t>IRR</t>
  </si>
  <si>
    <t>IRR is obtained when Net Present Value becomes 0</t>
  </si>
  <si>
    <t>Discounting Factor(v)</t>
  </si>
  <si>
    <t>Net Present Value (In millions)</t>
  </si>
  <si>
    <t>Cost Of Servicibg</t>
  </si>
  <si>
    <t>Investment Analysis Case Study</t>
  </si>
  <si>
    <t>Universal Swap - Liquidity Pool</t>
  </si>
  <si>
    <t>The Alternium</t>
  </si>
  <si>
    <t>We will require a new server in 2027 as the number of participants in these years exceed the capacity of the server.</t>
  </si>
  <si>
    <t>Server Cost</t>
  </si>
  <si>
    <t>Working Capital</t>
  </si>
  <si>
    <t>New Participants on Alternium</t>
  </si>
  <si>
    <t>Cost Savings in Current Pool</t>
  </si>
  <si>
    <t>Working capital at the beginning of 15th year (In millions)</t>
  </si>
  <si>
    <t>Working capital at the end of 15th year (In millions)</t>
  </si>
  <si>
    <t>Value of infrastructure at the end of 15th year (In millions)</t>
  </si>
  <si>
    <t>Value of 2 servers at the end of 15th year (In millions)</t>
  </si>
  <si>
    <t>Revenue at the end of 15th year (In millions)</t>
  </si>
  <si>
    <t>Expenses at the end of the 15th year (In millions)</t>
  </si>
  <si>
    <t>sss</t>
  </si>
  <si>
    <t>By - Tarush Gupta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</si>
</sst>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00%"/>
    <numFmt numFmtId="166" formatCode="&quot;₹&quot;\ #,##0.00;[Red]&quot;₹&quot;\ \-#,##0.00"/>
  </numFmts>
  <fonts count="22">
    <font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0"/>
      <color rgb="FFC00000"/>
      <name val="Calibri"/>
      <family val="2"/>
      <scheme val="minor"/>
    </font>
    <font>
      <b/>
      <sz val="20"/>
      <color theme="5" tint="-0.249977111117893"/>
      <name val="Lucida Calligraphy"/>
      <family val="4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6"/>
      <color rgb="FF000000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30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26"/>
      <color theme="1"/>
      <name val="Lucida Calligraphy Italic"/>
    </font>
    <font>
      <b/>
      <sz val="24"/>
      <color theme="1"/>
      <name val="Lucida Calligraphy Italic"/>
    </font>
    <font>
      <b/>
      <sz val="22"/>
      <color theme="1"/>
      <name val="Lucida Calligraphy Italic"/>
    </font>
    <font>
      <b/>
      <sz val="20"/>
      <color theme="1"/>
      <name val="Lucida Calligraphy Italic"/>
    </font>
    <font>
      <b/>
      <sz val="26"/>
      <color rgb="FFC00000"/>
      <name val="Lucida Calligraphy Italic"/>
    </font>
    <font>
      <b/>
      <sz val="24"/>
      <name val="Lucida Calligraphy Italic"/>
    </font>
    <font>
      <sz val="24"/>
      <name val="Lucida Calligraphy Italic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02D9FD"/>
        <bgColor indexed="64"/>
      </patternFill>
    </fill>
    <fill>
      <patternFill patternType="solid">
        <fgColor rgb="FFAAEDC4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Font="1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wrapText="1"/>
    </xf>
    <xf numFmtId="9" fontId="0" fillId="0" borderId="0" xfId="0" applyNumberFormat="1"/>
    <xf numFmtId="2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0" fillId="2" borderId="0" xfId="0" applyFont="1" applyFill="1"/>
    <xf numFmtId="164" fontId="0" fillId="2" borderId="1" xfId="0" applyNumberFormat="1" applyFont="1" applyFill="1" applyBorder="1" applyAlignment="1">
      <alignment horizontal="center" vertical="center"/>
    </xf>
    <xf numFmtId="164" fontId="0" fillId="2" borderId="1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horizontal="center"/>
    </xf>
    <xf numFmtId="0" fontId="0" fillId="0" borderId="1" xfId="0" applyFont="1" applyBorder="1" applyAlignment="1">
      <alignment horizontal="center"/>
    </xf>
    <xf numFmtId="164" fontId="0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left"/>
    </xf>
    <xf numFmtId="0" fontId="0" fillId="0" borderId="1" xfId="0" applyBorder="1" applyAlignment="1">
      <alignment horizontal="center"/>
    </xf>
    <xf numFmtId="0" fontId="0" fillId="0" borderId="1" xfId="0" applyFont="1" applyBorder="1" applyAlignment="1">
      <alignment horizontal="center"/>
    </xf>
    <xf numFmtId="164" fontId="0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/>
    <xf numFmtId="0" fontId="0" fillId="0" borderId="0" xfId="0" applyAlignment="1">
      <alignment horizontal="left"/>
    </xf>
    <xf numFmtId="0" fontId="0" fillId="3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1" xfId="0" applyFill="1" applyBorder="1"/>
    <xf numFmtId="166" fontId="0" fillId="0" borderId="0" xfId="0" applyNumberFormat="1"/>
    <xf numFmtId="0" fontId="7" fillId="0" borderId="0" xfId="0" applyFont="1"/>
    <xf numFmtId="0" fontId="0" fillId="4" borderId="1" xfId="0" applyFont="1" applyFill="1" applyBorder="1" applyAlignment="1">
      <alignment horizontal="center"/>
    </xf>
    <xf numFmtId="9" fontId="2" fillId="5" borderId="0" xfId="0" applyNumberFormat="1" applyFont="1" applyFill="1" applyAlignment="1">
      <alignment horizontal="center"/>
    </xf>
    <xf numFmtId="2" fontId="2" fillId="5" borderId="0" xfId="0" applyNumberFormat="1" applyFont="1" applyFill="1" applyAlignment="1">
      <alignment horizontal="center"/>
    </xf>
    <xf numFmtId="0" fontId="0" fillId="3" borderId="1" xfId="0" applyFont="1" applyFill="1" applyBorder="1" applyAlignment="1">
      <alignment horizontal="center"/>
    </xf>
    <xf numFmtId="0" fontId="0" fillId="3" borderId="1" xfId="0" applyFont="1" applyFill="1" applyBorder="1" applyAlignment="1">
      <alignment horizontal="center"/>
    </xf>
    <xf numFmtId="0" fontId="0" fillId="2" borderId="1" xfId="0" applyFont="1" applyFill="1" applyBorder="1" applyAlignment="1"/>
    <xf numFmtId="0" fontId="0" fillId="0" borderId="1" xfId="0" applyFont="1" applyBorder="1"/>
    <xf numFmtId="9" fontId="0" fillId="5" borderId="0" xfId="0" applyNumberFormat="1" applyFont="1" applyFill="1" applyAlignment="1">
      <alignment horizontal="center"/>
    </xf>
    <xf numFmtId="0" fontId="2" fillId="5" borderId="0" xfId="0" applyFont="1" applyFill="1" applyAlignment="1">
      <alignment horizontal="center"/>
    </xf>
    <xf numFmtId="10" fontId="2" fillId="5" borderId="0" xfId="0" applyNumberFormat="1" applyFont="1" applyFill="1" applyAlignment="1">
      <alignment horizontal="center"/>
    </xf>
    <xf numFmtId="9" fontId="2" fillId="5" borderId="0" xfId="1" applyFont="1" applyFill="1" applyAlignment="1">
      <alignment horizontal="center"/>
    </xf>
    <xf numFmtId="0" fontId="2" fillId="0" borderId="0" xfId="0" applyFont="1" applyFill="1" applyAlignment="1">
      <alignment horizontal="center"/>
    </xf>
    <xf numFmtId="2" fontId="2" fillId="0" borderId="0" xfId="0" applyNumberFormat="1" applyFont="1" applyFill="1" applyAlignment="1">
      <alignment horizontal="center"/>
    </xf>
    <xf numFmtId="9" fontId="2" fillId="0" borderId="0" xfId="0" applyNumberFormat="1" applyFont="1" applyFill="1" applyAlignment="1">
      <alignment horizontal="center"/>
    </xf>
    <xf numFmtId="0" fontId="0" fillId="3" borderId="1" xfId="0" applyFont="1" applyFill="1" applyBorder="1" applyAlignment="1"/>
    <xf numFmtId="0" fontId="2" fillId="5" borderId="0" xfId="0" applyFont="1" applyFill="1"/>
    <xf numFmtId="0" fontId="2" fillId="5" borderId="0" xfId="0" applyFont="1" applyFill="1" applyAlignment="1">
      <alignment horizontal="left"/>
    </xf>
    <xf numFmtId="0" fontId="2" fillId="5" borderId="0" xfId="0" applyFont="1" applyFill="1" applyAlignment="1"/>
    <xf numFmtId="0" fontId="2" fillId="5" borderId="0" xfId="0" applyFont="1" applyFill="1" applyAlignment="1">
      <alignment horizontal="left"/>
    </xf>
    <xf numFmtId="0" fontId="2" fillId="0" borderId="0" xfId="0" applyFont="1" applyFill="1"/>
    <xf numFmtId="0" fontId="2" fillId="5" borderId="0" xfId="0" applyFont="1" applyFill="1" applyAlignment="1">
      <alignment horizontal="left" vertical="center"/>
    </xf>
    <xf numFmtId="0" fontId="0" fillId="5" borderId="0" xfId="0" applyFont="1" applyFill="1" applyAlignment="1">
      <alignment horizontal="center"/>
    </xf>
    <xf numFmtId="0" fontId="2" fillId="5" borderId="0" xfId="0" applyFont="1" applyFill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0" fillId="3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/>
    </xf>
    <xf numFmtId="0" fontId="0" fillId="0" borderId="0" xfId="0" applyFont="1" applyFill="1"/>
    <xf numFmtId="10" fontId="0" fillId="5" borderId="0" xfId="0" applyNumberFormat="1" applyFont="1" applyFill="1" applyAlignment="1">
      <alignment horizontal="center"/>
    </xf>
    <xf numFmtId="164" fontId="0" fillId="5" borderId="0" xfId="0" applyNumberFormat="1" applyFont="1" applyFill="1" applyAlignment="1">
      <alignment horizontal="center"/>
    </xf>
    <xf numFmtId="0" fontId="0" fillId="3" borderId="1" xfId="0" applyFill="1" applyBorder="1" applyAlignment="1">
      <alignment horizontal="center" vertical="center"/>
    </xf>
    <xf numFmtId="9" fontId="14" fillId="5" borderId="0" xfId="0" applyNumberFormat="1" applyFont="1" applyFill="1" applyAlignment="1">
      <alignment horizontal="center"/>
    </xf>
    <xf numFmtId="0" fontId="13" fillId="5" borderId="0" xfId="0" applyFont="1" applyFill="1"/>
    <xf numFmtId="0" fontId="0" fillId="5" borderId="0" xfId="0" applyFill="1"/>
    <xf numFmtId="0" fontId="16" fillId="5" borderId="0" xfId="0" applyFont="1" applyFill="1" applyAlignment="1"/>
    <xf numFmtId="0" fontId="13" fillId="0" borderId="0" xfId="0" applyFont="1" applyAlignment="1"/>
    <xf numFmtId="0" fontId="13" fillId="5" borderId="0" xfId="0" applyFont="1" applyFill="1" applyAlignment="1"/>
    <xf numFmtId="0" fontId="11" fillId="0" borderId="0" xfId="0" applyFont="1" applyFill="1"/>
    <xf numFmtId="0" fontId="11" fillId="0" borderId="0" xfId="0" applyFont="1" applyFill="1" applyAlignment="1">
      <alignment horizontal="center"/>
    </xf>
    <xf numFmtId="0" fontId="13" fillId="0" borderId="0" xfId="0" applyFont="1" applyFill="1" applyAlignment="1"/>
    <xf numFmtId="0" fontId="11" fillId="5" borderId="0" xfId="0" applyFont="1" applyFill="1"/>
    <xf numFmtId="0" fontId="15" fillId="5" borderId="0" xfId="0" applyFont="1" applyFill="1"/>
    <xf numFmtId="0" fontId="20" fillId="5" borderId="0" xfId="0" applyFont="1" applyFill="1" applyAlignment="1">
      <alignment horizontal="center"/>
    </xf>
    <xf numFmtId="9" fontId="21" fillId="5" borderId="0" xfId="0" applyNumberFormat="1" applyFont="1" applyFill="1" applyAlignment="1">
      <alignment horizontal="center"/>
    </xf>
    <xf numFmtId="9" fontId="0" fillId="5" borderId="0" xfId="0" applyNumberFormat="1" applyFill="1" applyAlignment="1">
      <alignment horizontal="center"/>
    </xf>
    <xf numFmtId="0" fontId="0" fillId="5" borderId="0" xfId="0" applyFill="1" applyAlignment="1">
      <alignment horizontal="center"/>
    </xf>
    <xf numFmtId="0" fontId="0" fillId="4" borderId="0" xfId="0" applyFill="1"/>
    <xf numFmtId="164" fontId="9" fillId="0" borderId="4" xfId="0" applyNumberFormat="1" applyFont="1" applyBorder="1" applyAlignment="1"/>
    <xf numFmtId="164" fontId="9" fillId="5" borderId="2" xfId="0" applyNumberFormat="1" applyFont="1" applyFill="1" applyBorder="1" applyAlignment="1"/>
    <xf numFmtId="164" fontId="0" fillId="5" borderId="0" xfId="0" applyNumberFormat="1" applyFill="1" applyAlignment="1">
      <alignment horizontal="center"/>
    </xf>
    <xf numFmtId="165" fontId="0" fillId="5" borderId="0" xfId="0" applyNumberFormat="1" applyFill="1" applyAlignment="1">
      <alignment horizontal="center"/>
    </xf>
    <xf numFmtId="2" fontId="0" fillId="5" borderId="0" xfId="0" applyNumberFormat="1" applyFill="1" applyAlignment="1">
      <alignment horizontal="center"/>
    </xf>
    <xf numFmtId="165" fontId="8" fillId="4" borderId="0" xfId="0" applyNumberFormat="1" applyFont="1" applyFill="1" applyAlignment="1">
      <alignment horizontal="center"/>
    </xf>
    <xf numFmtId="0" fontId="7" fillId="4" borderId="0" xfId="0" applyFont="1" applyFill="1" applyAlignment="1">
      <alignment horizontal="left"/>
    </xf>
    <xf numFmtId="0" fontId="8" fillId="4" borderId="0" xfId="0" applyFont="1" applyFill="1" applyAlignment="1">
      <alignment horizontal="left"/>
    </xf>
    <xf numFmtId="164" fontId="8" fillId="4" borderId="0" xfId="0" applyNumberFormat="1" applyFont="1" applyFill="1" applyAlignment="1">
      <alignment horizontal="left"/>
    </xf>
    <xf numFmtId="0" fontId="8" fillId="0" borderId="0" xfId="0" applyFont="1" applyAlignment="1">
      <alignment horizontal="left"/>
    </xf>
    <xf numFmtId="0" fontId="8" fillId="4" borderId="0" xfId="0" applyFont="1" applyFill="1"/>
    <xf numFmtId="0" fontId="8" fillId="0" borderId="0" xfId="0" applyFont="1"/>
    <xf numFmtId="0" fontId="8" fillId="4" borderId="0" xfId="0" applyFont="1" applyFill="1" applyAlignment="1">
      <alignment horizontal="center"/>
    </xf>
    <xf numFmtId="0" fontId="0" fillId="0" borderId="0" xfId="0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4" fontId="0" fillId="5" borderId="0" xfId="0" applyNumberFormat="1" applyFill="1"/>
    <xf numFmtId="164" fontId="9" fillId="5" borderId="0" xfId="0" applyNumberFormat="1" applyFont="1" applyFill="1" applyBorder="1" applyAlignment="1"/>
    <xf numFmtId="164" fontId="9" fillId="0" borderId="0" xfId="0" applyNumberFormat="1" applyFont="1" applyBorder="1" applyAlignment="1"/>
    <xf numFmtId="9" fontId="0" fillId="5" borderId="0" xfId="0" applyNumberFormat="1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15" fillId="5" borderId="0" xfId="0" applyFont="1" applyFill="1" applyAlignment="1">
      <alignment horizontal="center"/>
    </xf>
    <xf numFmtId="0" fontId="0" fillId="3" borderId="1" xfId="0" applyFont="1" applyFill="1" applyBorder="1" applyAlignment="1">
      <alignment horizontal="center"/>
    </xf>
    <xf numFmtId="0" fontId="10" fillId="5" borderId="0" xfId="0" applyFont="1" applyFill="1" applyAlignment="1">
      <alignment horizontal="center" vertical="center"/>
    </xf>
    <xf numFmtId="0" fontId="2" fillId="5" borderId="0" xfId="0" applyFont="1" applyFill="1" applyAlignment="1">
      <alignment horizontal="center"/>
    </xf>
    <xf numFmtId="0" fontId="12" fillId="5" borderId="0" xfId="0" applyFont="1" applyFill="1" applyAlignment="1">
      <alignment horizontal="center" vertical="center"/>
    </xf>
    <xf numFmtId="164" fontId="0" fillId="2" borderId="1" xfId="0" applyNumberFormat="1" applyFont="1" applyFill="1" applyBorder="1" applyAlignment="1">
      <alignment horizontal="center"/>
    </xf>
    <xf numFmtId="164" fontId="0" fillId="2" borderId="1" xfId="0" applyNumberFormat="1" applyFont="1" applyFill="1" applyBorder="1" applyAlignment="1">
      <alignment horizontal="center" vertical="center"/>
    </xf>
    <xf numFmtId="0" fontId="18" fillId="5" borderId="0" xfId="0" applyFont="1" applyFill="1" applyAlignment="1">
      <alignment vertical="center"/>
    </xf>
    <xf numFmtId="164" fontId="0" fillId="0" borderId="1" xfId="0" applyNumberFormat="1" applyFont="1" applyBorder="1" applyAlignment="1">
      <alignment horizontal="center"/>
    </xf>
    <xf numFmtId="0" fontId="0" fillId="2" borderId="2" xfId="0" applyFont="1" applyFill="1" applyBorder="1" applyAlignment="1">
      <alignment horizontal="center"/>
    </xf>
    <xf numFmtId="0" fontId="0" fillId="2" borderId="3" xfId="0" applyFont="1" applyFill="1" applyBorder="1" applyAlignment="1">
      <alignment horizontal="center"/>
    </xf>
    <xf numFmtId="0" fontId="0" fillId="2" borderId="4" xfId="0" applyFont="1" applyFill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2" fillId="5" borderId="0" xfId="0" applyFont="1" applyFill="1" applyAlignment="1">
      <alignment horizontal="left"/>
    </xf>
    <xf numFmtId="0" fontId="18" fillId="5" borderId="0" xfId="0" applyFont="1" applyFill="1" applyAlignment="1">
      <alignment horizontal="left"/>
    </xf>
    <xf numFmtId="0" fontId="16" fillId="5" borderId="0" xfId="0" applyFont="1" applyFill="1" applyAlignment="1">
      <alignment horizontal="center"/>
    </xf>
    <xf numFmtId="164" fontId="0" fillId="0" borderId="2" xfId="0" applyNumberFormat="1" applyFont="1" applyBorder="1" applyAlignment="1">
      <alignment horizontal="center"/>
    </xf>
    <xf numFmtId="164" fontId="0" fillId="0" borderId="3" xfId="0" applyNumberFormat="1" applyFont="1" applyBorder="1" applyAlignment="1">
      <alignment horizontal="center"/>
    </xf>
    <xf numFmtId="164" fontId="0" fillId="0" borderId="4" xfId="0" applyNumberFormat="1" applyFont="1" applyBorder="1" applyAlignment="1">
      <alignment horizontal="center"/>
    </xf>
    <xf numFmtId="164" fontId="0" fillId="4" borderId="1" xfId="0" applyNumberFormat="1" applyFont="1" applyFill="1" applyBorder="1" applyAlignment="1">
      <alignment horizontal="center"/>
    </xf>
    <xf numFmtId="164" fontId="0" fillId="4" borderId="2" xfId="0" applyNumberFormat="1" applyFont="1" applyFill="1" applyBorder="1" applyAlignment="1">
      <alignment horizontal="center"/>
    </xf>
    <xf numFmtId="164" fontId="0" fillId="4" borderId="3" xfId="0" applyNumberFormat="1" applyFont="1" applyFill="1" applyBorder="1" applyAlignment="1">
      <alignment horizontal="center"/>
    </xf>
    <xf numFmtId="164" fontId="0" fillId="4" borderId="4" xfId="0" applyNumberFormat="1" applyFont="1" applyFill="1" applyBorder="1" applyAlignment="1">
      <alignment horizontal="center"/>
    </xf>
    <xf numFmtId="0" fontId="17" fillId="5" borderId="0" xfId="0" applyFont="1" applyFill="1" applyAlignment="1">
      <alignment horizontal="center"/>
    </xf>
    <xf numFmtId="0" fontId="0" fillId="4" borderId="0" xfId="0" applyFont="1" applyFill="1" applyAlignment="1">
      <alignment horizontal="center"/>
    </xf>
    <xf numFmtId="0" fontId="18" fillId="5" borderId="0" xfId="0" applyFont="1" applyFill="1" applyAlignment="1">
      <alignment horizontal="center"/>
    </xf>
    <xf numFmtId="164" fontId="0" fillId="0" borderId="2" xfId="0" applyNumberFormat="1" applyBorder="1" applyAlignment="1">
      <alignment horizontal="center"/>
    </xf>
    <xf numFmtId="164" fontId="0" fillId="0" borderId="3" xfId="0" applyNumberFormat="1" applyBorder="1" applyAlignment="1">
      <alignment horizontal="center"/>
    </xf>
    <xf numFmtId="164" fontId="0" fillId="0" borderId="4" xfId="0" applyNumberFormat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19" fillId="4" borderId="0" xfId="0" applyFont="1" applyFill="1" applyAlignment="1">
      <alignment horizontal="center"/>
    </xf>
    <xf numFmtId="0" fontId="6" fillId="5" borderId="0" xfId="0" applyFont="1" applyFill="1" applyAlignment="1">
      <alignment horizontal="center"/>
    </xf>
    <xf numFmtId="0" fontId="18" fillId="3" borderId="0" xfId="0" applyFont="1" applyFill="1" applyAlignment="1">
      <alignment horizontal="center" wrapText="1"/>
    </xf>
    <xf numFmtId="0" fontId="8" fillId="4" borderId="0" xfId="0" applyFont="1" applyFill="1" applyAlignment="1">
      <alignment horizontal="center" wrapText="1"/>
    </xf>
    <xf numFmtId="0" fontId="0" fillId="5" borderId="0" xfId="0" applyFill="1" applyAlignment="1">
      <alignment horizontal="left"/>
    </xf>
    <xf numFmtId="0" fontId="3" fillId="4" borderId="0" xfId="0" applyFont="1" applyFill="1" applyAlignment="1">
      <alignment horizontal="center"/>
    </xf>
    <xf numFmtId="0" fontId="0" fillId="5" borderId="0" xfId="0" applyFill="1" applyAlignment="1">
      <alignment horizontal="center"/>
    </xf>
    <xf numFmtId="0" fontId="0" fillId="4" borderId="0" xfId="0" applyFill="1" applyAlignment="1">
      <alignment horizontal="left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7" fillId="4" borderId="0" xfId="0" applyFont="1" applyFill="1" applyAlignment="1">
      <alignment horizontal="left"/>
    </xf>
    <xf numFmtId="0" fontId="7" fillId="4" borderId="0" xfId="0" applyFont="1" applyFill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2" fontId="0" fillId="0" borderId="1" xfId="0" applyNumberFormat="1" applyFont="1" applyBorder="1" applyAlignment="1">
      <alignment horizontal="center"/>
    </xf>
    <xf numFmtId="0" fontId="0" fillId="3" borderId="2" xfId="0" applyFont="1" applyFill="1" applyBorder="1" applyAlignment="1">
      <alignment horizontal="center"/>
    </xf>
    <xf numFmtId="0" fontId="0" fillId="3" borderId="3" xfId="0" applyFont="1" applyFill="1" applyBorder="1" applyAlignment="1">
      <alignment horizontal="center"/>
    </xf>
    <xf numFmtId="0" fontId="0" fillId="3" borderId="4" xfId="0" applyFont="1" applyFill="1" applyBorder="1" applyAlignment="1">
      <alignment horizontal="center"/>
    </xf>
    <xf numFmtId="0" fontId="13" fillId="5" borderId="0" xfId="0" applyFont="1" applyFill="1" applyAlignment="1">
      <alignment horizontal="center"/>
    </xf>
  </cellXfs>
  <cellStyles count="2">
    <cellStyle name="Normal" xfId="0" builtinId="0"/>
    <cellStyle name="Per cent" xfId="1" builtinId="5"/>
  </cellStyles>
  <dxfs count="0"/>
  <tableStyles count="0" defaultTableStyle="TableStyleMedium2" defaultPivotStyle="PivotStyleLight16"/>
  <colors>
    <mruColors>
      <color rgb="FFAAEDC4"/>
      <color rgb="FF02D9F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4C9ABC-39F5-3A4E-A8F2-CD28B52B12C2}">
  <dimension ref="B1:V228"/>
  <sheetViews>
    <sheetView tabSelected="1" zoomScale="90" zoomScaleNormal="100" workbookViewId="0">
      <selection activeCell="J13" sqref="J13"/>
    </sheetView>
  </sheetViews>
  <sheetFormatPr baseColWidth="10" defaultRowHeight="21"/>
  <cols>
    <col min="1" max="2" width="10.625" style="4"/>
    <col min="3" max="3" width="16.5" style="5" customWidth="1"/>
    <col min="4" max="5" width="10.625" style="4"/>
    <col min="6" max="6" width="10.625" style="4" customWidth="1"/>
    <col min="7" max="7" width="10.625" style="4"/>
    <col min="8" max="8" width="13.125" style="4" bestFit="1" customWidth="1"/>
    <col min="9" max="15" width="10.625" style="4"/>
    <col min="16" max="16" width="14.75" style="4" bestFit="1" customWidth="1"/>
    <col min="17" max="20" width="10.625" style="4"/>
    <col min="21" max="21" width="15.125" style="4" bestFit="1" customWidth="1"/>
    <col min="22" max="16384" width="10.625" style="4"/>
  </cols>
  <sheetData>
    <row r="1" spans="3:11">
      <c r="E1" s="100" t="s">
        <v>101</v>
      </c>
      <c r="F1" s="100"/>
      <c r="G1" s="100"/>
      <c r="H1" s="100"/>
      <c r="I1" s="100"/>
      <c r="J1" s="100"/>
      <c r="K1" s="100"/>
    </row>
    <row r="2" spans="3:11">
      <c r="E2" s="100"/>
      <c r="F2" s="100"/>
      <c r="G2" s="100"/>
      <c r="H2" s="100"/>
      <c r="I2" s="100"/>
      <c r="J2" s="100"/>
      <c r="K2" s="100"/>
    </row>
    <row r="3" spans="3:11">
      <c r="E3" s="100"/>
      <c r="F3" s="100"/>
      <c r="G3" s="100"/>
      <c r="H3" s="100"/>
      <c r="I3" s="100"/>
      <c r="J3" s="100"/>
      <c r="K3" s="100"/>
    </row>
    <row r="4" spans="3:11" ht="21" customHeight="1">
      <c r="E4" s="102" t="s">
        <v>102</v>
      </c>
      <c r="F4" s="102"/>
      <c r="G4" s="102"/>
      <c r="H4" s="102"/>
      <c r="I4" s="102"/>
      <c r="J4" s="102"/>
      <c r="K4" s="102"/>
    </row>
    <row r="5" spans="3:11" ht="21" customHeight="1">
      <c r="E5" s="102"/>
      <c r="F5" s="102"/>
      <c r="G5" s="102"/>
      <c r="H5" s="102"/>
      <c r="I5" s="102"/>
      <c r="J5" s="102"/>
      <c r="K5" s="102"/>
    </row>
    <row r="6" spans="3:11" ht="21" customHeight="1">
      <c r="E6" s="102"/>
      <c r="F6" s="102"/>
      <c r="G6" s="102"/>
      <c r="H6" s="102"/>
      <c r="I6" s="102"/>
      <c r="J6" s="102"/>
      <c r="K6" s="102"/>
    </row>
    <row r="7" spans="3:11" ht="21" customHeight="1">
      <c r="E7" s="102" t="s">
        <v>103</v>
      </c>
      <c r="F7" s="102"/>
      <c r="G7" s="102"/>
      <c r="H7" s="102"/>
      <c r="I7" s="102"/>
      <c r="J7" s="102"/>
      <c r="K7" s="102"/>
    </row>
    <row r="8" spans="3:11" ht="21" customHeight="1">
      <c r="E8" s="102"/>
      <c r="F8" s="102"/>
      <c r="G8" s="102"/>
      <c r="H8" s="102"/>
      <c r="I8" s="102"/>
      <c r="J8" s="102"/>
      <c r="K8" s="102"/>
    </row>
    <row r="9" spans="3:11" ht="21" customHeight="1">
      <c r="E9" s="102"/>
      <c r="F9" s="102"/>
      <c r="G9" s="102"/>
      <c r="H9" s="102"/>
      <c r="I9" s="102"/>
      <c r="J9" s="102"/>
      <c r="K9" s="102"/>
    </row>
    <row r="10" spans="3:11">
      <c r="I10" s="153" t="s">
        <v>116</v>
      </c>
      <c r="J10" s="153"/>
      <c r="K10" s="153"/>
    </row>
    <row r="11" spans="3:11">
      <c r="I11" s="153"/>
      <c r="J11" s="153"/>
      <c r="K11" s="153"/>
    </row>
    <row r="14" spans="3:11" ht="37">
      <c r="C14" s="98" t="s">
        <v>11</v>
      </c>
      <c r="D14" s="98"/>
      <c r="E14" s="98"/>
      <c r="F14" s="98"/>
      <c r="G14" s="98"/>
      <c r="H14" s="98"/>
    </row>
    <row r="16" spans="3:11">
      <c r="C16" s="101" t="s">
        <v>1</v>
      </c>
      <c r="D16" s="101"/>
      <c r="E16" s="101"/>
      <c r="F16" s="101"/>
      <c r="G16" s="101"/>
      <c r="H16" s="33">
        <v>0.05</v>
      </c>
    </row>
    <row r="17" spans="3:22">
      <c r="C17" s="101" t="s">
        <v>2</v>
      </c>
      <c r="D17" s="101"/>
      <c r="E17" s="101"/>
      <c r="F17" s="101"/>
      <c r="G17" s="101"/>
      <c r="H17" s="33">
        <v>0.05</v>
      </c>
    </row>
    <row r="18" spans="3:22">
      <c r="C18" s="101" t="s">
        <v>3</v>
      </c>
      <c r="D18" s="101"/>
      <c r="E18" s="101"/>
      <c r="F18" s="101"/>
      <c r="G18" s="101"/>
      <c r="H18" s="34">
        <v>45</v>
      </c>
    </row>
    <row r="19" spans="3:22">
      <c r="C19" s="101" t="s">
        <v>4</v>
      </c>
      <c r="D19" s="101"/>
      <c r="E19" s="101"/>
      <c r="F19" s="101"/>
      <c r="G19" s="101"/>
      <c r="H19" s="34">
        <f>H18*(1+H16)^(2)</f>
        <v>49.612500000000004</v>
      </c>
    </row>
    <row r="20" spans="3:22">
      <c r="C20" s="43"/>
      <c r="D20" s="43"/>
      <c r="E20" s="43"/>
      <c r="F20" s="43"/>
      <c r="G20" s="43"/>
      <c r="H20" s="45"/>
    </row>
    <row r="21" spans="3:22">
      <c r="C21" s="101" t="s">
        <v>5</v>
      </c>
      <c r="D21" s="101"/>
      <c r="E21" s="101"/>
      <c r="F21" s="101"/>
      <c r="G21" s="101"/>
      <c r="H21" s="33">
        <v>0.08</v>
      </c>
    </row>
    <row r="22" spans="3:22">
      <c r="C22" s="101" t="s">
        <v>6</v>
      </c>
      <c r="D22" s="101"/>
      <c r="E22" s="101"/>
      <c r="F22" s="101"/>
      <c r="G22" s="101"/>
      <c r="H22" s="33">
        <v>0.1</v>
      </c>
    </row>
    <row r="23" spans="3:22">
      <c r="C23" s="101" t="s">
        <v>7</v>
      </c>
      <c r="D23" s="101"/>
      <c r="E23" s="101"/>
      <c r="F23" s="101"/>
      <c r="G23" s="101"/>
      <c r="H23" s="34">
        <v>30</v>
      </c>
    </row>
    <row r="24" spans="3:22">
      <c r="C24" s="101" t="s">
        <v>8</v>
      </c>
      <c r="D24" s="101"/>
      <c r="E24" s="101"/>
      <c r="F24" s="101"/>
      <c r="G24" s="101"/>
      <c r="H24" s="34">
        <f>30*(1+H21)^(2)</f>
        <v>34.992000000000004</v>
      </c>
    </row>
    <row r="25" spans="3:22">
      <c r="C25" s="43"/>
      <c r="D25" s="43"/>
      <c r="E25" s="43"/>
      <c r="F25" s="43"/>
      <c r="G25" s="43"/>
      <c r="H25" s="44"/>
    </row>
    <row r="26" spans="3:22">
      <c r="C26" s="101" t="s">
        <v>9</v>
      </c>
      <c r="D26" s="101"/>
      <c r="E26" s="101"/>
      <c r="F26" s="101"/>
      <c r="G26" s="101"/>
      <c r="H26" s="41">
        <v>1.4999999999999999E-2</v>
      </c>
    </row>
    <row r="27" spans="3:22">
      <c r="C27" s="101" t="s">
        <v>17</v>
      </c>
      <c r="D27" s="101"/>
      <c r="E27" s="101"/>
      <c r="F27" s="101"/>
      <c r="G27" s="101"/>
      <c r="H27" s="42">
        <v>0.02</v>
      </c>
    </row>
    <row r="28" spans="3:22">
      <c r="C28" s="6"/>
      <c r="D28" s="6"/>
      <c r="E28" s="6"/>
      <c r="F28" s="6"/>
      <c r="G28" s="6"/>
      <c r="H28" s="10"/>
    </row>
    <row r="29" spans="3:22">
      <c r="C29" s="8"/>
      <c r="D29" s="11"/>
    </row>
    <row r="30" spans="3:22">
      <c r="C30" s="35" t="s">
        <v>0</v>
      </c>
      <c r="D30" s="99" t="s">
        <v>12</v>
      </c>
      <c r="E30" s="99"/>
      <c r="F30" s="99"/>
      <c r="G30" s="99"/>
      <c r="H30" s="35" t="s">
        <v>13</v>
      </c>
      <c r="I30" s="99" t="s">
        <v>14</v>
      </c>
      <c r="J30" s="99"/>
      <c r="K30" s="99" t="s">
        <v>15</v>
      </c>
      <c r="L30" s="99"/>
      <c r="M30" s="14"/>
      <c r="N30" s="35" t="s">
        <v>0</v>
      </c>
      <c r="O30" s="35" t="s">
        <v>13</v>
      </c>
      <c r="P30" s="35" t="s">
        <v>100</v>
      </c>
      <c r="Q30" s="99" t="s">
        <v>16</v>
      </c>
      <c r="R30" s="99"/>
      <c r="S30" s="99"/>
      <c r="T30" s="99"/>
      <c r="U30" s="46" t="s">
        <v>15</v>
      </c>
      <c r="V30" s="37"/>
    </row>
    <row r="31" spans="3:22">
      <c r="C31" s="13">
        <v>2022</v>
      </c>
      <c r="D31" s="103">
        <f>H19</f>
        <v>49.612500000000004</v>
      </c>
      <c r="E31" s="103"/>
      <c r="F31" s="103"/>
      <c r="G31" s="103"/>
      <c r="H31" s="15">
        <v>100</v>
      </c>
      <c r="I31" s="103">
        <f>36*(-1)</f>
        <v>-36</v>
      </c>
      <c r="J31" s="103"/>
      <c r="K31" s="104">
        <f t="shared" ref="K31:K41" si="0">D31*(H31+I31)</f>
        <v>3175.2000000000003</v>
      </c>
      <c r="L31" s="104"/>
      <c r="M31" s="14"/>
      <c r="N31" s="13">
        <v>2022</v>
      </c>
      <c r="O31" s="15">
        <v>100</v>
      </c>
      <c r="P31" s="13">
        <v>-48</v>
      </c>
      <c r="Q31" s="103">
        <f>H24</f>
        <v>34.992000000000004</v>
      </c>
      <c r="R31" s="103"/>
      <c r="S31" s="103"/>
      <c r="T31" s="103"/>
      <c r="U31" s="38">
        <f>Q31*(O31+P31)</f>
        <v>1819.5840000000003</v>
      </c>
    </row>
    <row r="32" spans="3:22">
      <c r="C32" s="13">
        <v>2023</v>
      </c>
      <c r="D32" s="103">
        <f>D31*(1+$H$17)</f>
        <v>52.093125000000008</v>
      </c>
      <c r="E32" s="103"/>
      <c r="F32" s="103"/>
      <c r="G32" s="103"/>
      <c r="H32" s="15">
        <f>H31*(1+$H$26)</f>
        <v>101.49999999999999</v>
      </c>
      <c r="I32" s="103">
        <f>I31*(1+$H$26)</f>
        <v>-36.54</v>
      </c>
      <c r="J32" s="103"/>
      <c r="K32" s="104">
        <f t="shared" si="0"/>
        <v>3383.9693999999995</v>
      </c>
      <c r="L32" s="104"/>
      <c r="M32" s="14"/>
      <c r="N32" s="13">
        <v>2023</v>
      </c>
      <c r="O32" s="15">
        <f>O31*(1+$H$26)</f>
        <v>101.49999999999999</v>
      </c>
      <c r="P32" s="13">
        <f>P31*(1+$H$26)</f>
        <v>-48.72</v>
      </c>
      <c r="Q32" s="103">
        <f>Q31*(1+$H$22)</f>
        <v>38.491200000000006</v>
      </c>
      <c r="R32" s="103"/>
      <c r="S32" s="103"/>
      <c r="T32" s="103"/>
      <c r="U32" s="38">
        <f t="shared" ref="U32:U40" si="1">Q32*(O32+P32)</f>
        <v>2031.5655359999998</v>
      </c>
    </row>
    <row r="33" spans="2:21">
      <c r="C33" s="13">
        <v>2024</v>
      </c>
      <c r="D33" s="103">
        <f t="shared" ref="D33:D41" si="2">D32*(1+$H$17)</f>
        <v>54.697781250000013</v>
      </c>
      <c r="E33" s="103"/>
      <c r="F33" s="103"/>
      <c r="G33" s="103"/>
      <c r="H33" s="15">
        <f t="shared" ref="H33:H41" si="3">H32*(1+$H$26)</f>
        <v>103.02249999999998</v>
      </c>
      <c r="I33" s="103">
        <f t="shared" ref="I33:I41" si="4">I32*(1+$H$26)</f>
        <v>-37.088099999999997</v>
      </c>
      <c r="J33" s="103"/>
      <c r="K33" s="104">
        <f t="shared" si="0"/>
        <v>3606.46538805</v>
      </c>
      <c r="L33" s="104"/>
      <c r="M33" s="14"/>
      <c r="N33" s="13">
        <v>2024</v>
      </c>
      <c r="O33" s="15">
        <f t="shared" ref="O33:O41" si="5">O32*(1+$H$26)</f>
        <v>103.02249999999998</v>
      </c>
      <c r="P33" s="13">
        <f t="shared" ref="P33:P41" si="6">P32*(1+$H$26)</f>
        <v>-49.450799999999994</v>
      </c>
      <c r="Q33" s="103">
        <f t="shared" ref="Q33:Q41" si="7">Q32*(1+$H$22)</f>
        <v>42.340320000000013</v>
      </c>
      <c r="R33" s="103"/>
      <c r="S33" s="103"/>
      <c r="T33" s="103"/>
      <c r="U33" s="38">
        <f t="shared" si="1"/>
        <v>2268.2429209440002</v>
      </c>
    </row>
    <row r="34" spans="2:21">
      <c r="C34" s="13">
        <v>2025</v>
      </c>
      <c r="D34" s="103">
        <f t="shared" si="2"/>
        <v>57.432670312500015</v>
      </c>
      <c r="E34" s="103"/>
      <c r="F34" s="103"/>
      <c r="G34" s="103"/>
      <c r="H34" s="15">
        <f t="shared" si="3"/>
        <v>104.56783749999997</v>
      </c>
      <c r="I34" s="103">
        <f t="shared" si="4"/>
        <v>-37.644421499999993</v>
      </c>
      <c r="J34" s="103"/>
      <c r="K34" s="104">
        <f t="shared" si="0"/>
        <v>3843.5904873142872</v>
      </c>
      <c r="L34" s="104"/>
      <c r="M34" s="14"/>
      <c r="N34" s="13">
        <v>2025</v>
      </c>
      <c r="O34" s="15">
        <f t="shared" si="5"/>
        <v>104.56783749999997</v>
      </c>
      <c r="P34" s="13">
        <f t="shared" si="6"/>
        <v>-50.192561999999988</v>
      </c>
      <c r="Q34" s="103">
        <f t="shared" si="7"/>
        <v>46.574352000000019</v>
      </c>
      <c r="R34" s="103"/>
      <c r="S34" s="103"/>
      <c r="T34" s="103"/>
      <c r="U34" s="38">
        <f t="shared" si="1"/>
        <v>2532.4932212339759</v>
      </c>
    </row>
    <row r="35" spans="2:21">
      <c r="C35" s="13">
        <v>2026</v>
      </c>
      <c r="D35" s="103">
        <f t="shared" si="2"/>
        <v>60.304303828125022</v>
      </c>
      <c r="E35" s="103"/>
      <c r="F35" s="103"/>
      <c r="G35" s="103"/>
      <c r="H35" s="15">
        <f t="shared" si="3"/>
        <v>106.13635506249996</v>
      </c>
      <c r="I35" s="103">
        <f t="shared" si="4"/>
        <v>-38.209087822499988</v>
      </c>
      <c r="J35" s="103"/>
      <c r="K35" s="104">
        <f t="shared" si="0"/>
        <v>4096.3065618552009</v>
      </c>
      <c r="L35" s="104"/>
      <c r="M35" s="14"/>
      <c r="N35" s="13">
        <v>2026</v>
      </c>
      <c r="O35" s="15">
        <f t="shared" si="5"/>
        <v>106.13635506249996</v>
      </c>
      <c r="P35" s="13">
        <f t="shared" si="6"/>
        <v>-50.94545042999998</v>
      </c>
      <c r="Q35" s="103">
        <f t="shared" si="7"/>
        <v>51.231787200000028</v>
      </c>
      <c r="R35" s="103"/>
      <c r="S35" s="103"/>
      <c r="T35" s="103"/>
      <c r="U35" s="38">
        <f t="shared" si="1"/>
        <v>2827.5286815077347</v>
      </c>
    </row>
    <row r="36" spans="2:21">
      <c r="C36" s="13">
        <v>2027</v>
      </c>
      <c r="D36" s="103">
        <f t="shared" si="2"/>
        <v>63.319519019531278</v>
      </c>
      <c r="E36" s="103"/>
      <c r="F36" s="103"/>
      <c r="G36" s="103"/>
      <c r="H36" s="15">
        <f t="shared" si="3"/>
        <v>107.72840038843745</v>
      </c>
      <c r="I36" s="103">
        <f t="shared" si="4"/>
        <v>-38.782224139837481</v>
      </c>
      <c r="J36" s="103"/>
      <c r="K36" s="104">
        <f t="shared" si="0"/>
        <v>4365.6387182971812</v>
      </c>
      <c r="L36" s="104"/>
      <c r="M36" s="14"/>
      <c r="N36" s="13">
        <v>2027</v>
      </c>
      <c r="O36" s="15">
        <f t="shared" si="5"/>
        <v>107.72840038843745</v>
      </c>
      <c r="P36" s="13">
        <f t="shared" si="6"/>
        <v>-51.709632186449973</v>
      </c>
      <c r="Q36" s="103">
        <f t="shared" si="7"/>
        <v>56.354965920000033</v>
      </c>
      <c r="R36" s="103"/>
      <c r="S36" s="103"/>
      <c r="T36" s="103"/>
      <c r="U36" s="38">
        <f t="shared" si="1"/>
        <v>3156.9357729033859</v>
      </c>
    </row>
    <row r="37" spans="2:21">
      <c r="C37" s="13">
        <v>2028</v>
      </c>
      <c r="D37" s="103">
        <f t="shared" si="2"/>
        <v>66.485494970507844</v>
      </c>
      <c r="E37" s="103"/>
      <c r="F37" s="103"/>
      <c r="G37" s="103"/>
      <c r="H37" s="15">
        <f t="shared" si="3"/>
        <v>109.344326394264</v>
      </c>
      <c r="I37" s="103">
        <f t="shared" si="4"/>
        <v>-39.36395750193504</v>
      </c>
      <c r="J37" s="103"/>
      <c r="K37" s="104">
        <f t="shared" si="0"/>
        <v>4652.6794640252201</v>
      </c>
      <c r="L37" s="104"/>
      <c r="M37" s="14"/>
      <c r="N37" s="13">
        <v>2028</v>
      </c>
      <c r="O37" s="15">
        <f t="shared" si="5"/>
        <v>109.344326394264</v>
      </c>
      <c r="P37" s="13">
        <f t="shared" si="6"/>
        <v>-52.485276669246716</v>
      </c>
      <c r="Q37" s="103">
        <f t="shared" si="7"/>
        <v>61.990462512000043</v>
      </c>
      <c r="R37" s="103"/>
      <c r="S37" s="103"/>
      <c r="T37" s="103"/>
      <c r="U37" s="38">
        <f t="shared" si="1"/>
        <v>3524.7187904466305</v>
      </c>
    </row>
    <row r="38" spans="2:21">
      <c r="C38" s="13">
        <v>2029</v>
      </c>
      <c r="D38" s="103">
        <f t="shared" si="2"/>
        <v>69.809769719033241</v>
      </c>
      <c r="E38" s="103"/>
      <c r="F38" s="103"/>
      <c r="G38" s="103"/>
      <c r="H38" s="15">
        <f t="shared" si="3"/>
        <v>110.98449129017796</v>
      </c>
      <c r="I38" s="103">
        <f t="shared" si="4"/>
        <v>-39.954416864464065</v>
      </c>
      <c r="J38" s="103"/>
      <c r="K38" s="104">
        <f t="shared" si="0"/>
        <v>4958.5931387848786</v>
      </c>
      <c r="L38" s="104"/>
      <c r="M38" s="14"/>
      <c r="N38" s="13">
        <v>2029</v>
      </c>
      <c r="O38" s="15">
        <f t="shared" si="5"/>
        <v>110.98449129017796</v>
      </c>
      <c r="P38" s="13">
        <f t="shared" si="6"/>
        <v>-53.272555819285408</v>
      </c>
      <c r="Q38" s="103">
        <f t="shared" si="7"/>
        <v>68.189508763200052</v>
      </c>
      <c r="R38" s="103"/>
      <c r="S38" s="103"/>
      <c r="T38" s="103"/>
      <c r="U38" s="38">
        <f t="shared" si="1"/>
        <v>3935.3485295336632</v>
      </c>
    </row>
    <row r="39" spans="2:21">
      <c r="C39" s="13">
        <v>2030</v>
      </c>
      <c r="D39" s="103">
        <f t="shared" si="2"/>
        <v>73.3002582049849</v>
      </c>
      <c r="E39" s="103"/>
      <c r="F39" s="103"/>
      <c r="G39" s="103"/>
      <c r="H39" s="15">
        <f t="shared" si="3"/>
        <v>112.64925865953062</v>
      </c>
      <c r="I39" s="103">
        <f t="shared" si="4"/>
        <v>-40.553733117431022</v>
      </c>
      <c r="J39" s="103"/>
      <c r="K39" s="104">
        <f t="shared" si="0"/>
        <v>5284.6206376599839</v>
      </c>
      <c r="L39" s="104"/>
      <c r="M39" s="14"/>
      <c r="N39" s="13">
        <v>2030</v>
      </c>
      <c r="O39" s="15">
        <f t="shared" si="5"/>
        <v>112.64925865953062</v>
      </c>
      <c r="P39" s="13">
        <f t="shared" si="6"/>
        <v>-54.071644156574685</v>
      </c>
      <c r="Q39" s="103">
        <f t="shared" si="7"/>
        <v>75.008459639520069</v>
      </c>
      <c r="R39" s="103"/>
      <c r="S39" s="103"/>
      <c r="T39" s="103"/>
      <c r="U39" s="38">
        <f t="shared" si="1"/>
        <v>4393.8166332243354</v>
      </c>
    </row>
    <row r="40" spans="2:21">
      <c r="C40" s="13">
        <v>2031</v>
      </c>
      <c r="D40" s="103">
        <f t="shared" si="2"/>
        <v>76.965271115234145</v>
      </c>
      <c r="E40" s="103"/>
      <c r="F40" s="103"/>
      <c r="G40" s="103"/>
      <c r="H40" s="15">
        <f t="shared" si="3"/>
        <v>114.33899753942356</v>
      </c>
      <c r="I40" s="103">
        <f t="shared" si="4"/>
        <v>-41.162039114192481</v>
      </c>
      <c r="J40" s="103"/>
      <c r="K40" s="104">
        <f t="shared" si="0"/>
        <v>5632.0844445861276</v>
      </c>
      <c r="L40" s="104"/>
      <c r="M40" s="14"/>
      <c r="N40" s="13">
        <v>2031</v>
      </c>
      <c r="O40" s="15">
        <f t="shared" si="5"/>
        <v>114.33899753942356</v>
      </c>
      <c r="P40" s="13">
        <f t="shared" si="6"/>
        <v>-54.882718818923301</v>
      </c>
      <c r="Q40" s="103">
        <f t="shared" si="7"/>
        <v>82.509305603472086</v>
      </c>
      <c r="R40" s="103"/>
      <c r="S40" s="103"/>
      <c r="T40" s="103"/>
      <c r="U40" s="38">
        <f t="shared" si="1"/>
        <v>4905.6962709949703</v>
      </c>
    </row>
    <row r="41" spans="2:21">
      <c r="C41" s="13">
        <v>2032</v>
      </c>
      <c r="D41" s="103">
        <f t="shared" si="2"/>
        <v>80.81353467099585</v>
      </c>
      <c r="E41" s="103"/>
      <c r="F41" s="103"/>
      <c r="G41" s="103"/>
      <c r="H41" s="15">
        <f t="shared" si="3"/>
        <v>116.0540825025149</v>
      </c>
      <c r="I41" s="103">
        <f t="shared" si="4"/>
        <v>-41.779469700905366</v>
      </c>
      <c r="J41" s="103"/>
      <c r="K41" s="104">
        <f t="shared" si="0"/>
        <v>6002.3939968176646</v>
      </c>
      <c r="L41" s="104"/>
      <c r="M41" s="14"/>
      <c r="N41" s="13">
        <v>2032</v>
      </c>
      <c r="O41" s="15">
        <f t="shared" si="5"/>
        <v>116.0540825025149</v>
      </c>
      <c r="P41" s="13">
        <f t="shared" si="6"/>
        <v>-55.705959601207148</v>
      </c>
      <c r="Q41" s="103">
        <f t="shared" si="7"/>
        <v>90.7602361638193</v>
      </c>
      <c r="R41" s="103"/>
      <c r="S41" s="103"/>
      <c r="T41" s="103"/>
      <c r="U41" s="38">
        <f>Q41*(O41+P41)</f>
        <v>5477.2098865658836</v>
      </c>
    </row>
    <row r="45" spans="2:21" ht="31">
      <c r="B45" s="66">
        <v>2</v>
      </c>
      <c r="C45" s="105" t="s">
        <v>107</v>
      </c>
      <c r="D45" s="105"/>
      <c r="E45" s="105"/>
      <c r="F45" s="105"/>
      <c r="G45" s="3"/>
      <c r="H45" s="3"/>
      <c r="I45" s="3"/>
      <c r="J45" s="3"/>
    </row>
    <row r="46" spans="2:21">
      <c r="C46" s="3"/>
      <c r="D46" s="3"/>
      <c r="E46" s="3"/>
      <c r="F46" s="3"/>
      <c r="G46" s="3"/>
      <c r="H46" s="3"/>
      <c r="I46" s="3"/>
      <c r="J46" s="3"/>
    </row>
    <row r="47" spans="2:21">
      <c r="C47" s="101" t="s">
        <v>18</v>
      </c>
      <c r="D47" s="101"/>
      <c r="E47" s="101"/>
      <c r="F47" s="101"/>
      <c r="G47" s="39">
        <v>0.08</v>
      </c>
      <c r="H47" s="3"/>
      <c r="I47" s="3"/>
      <c r="J47" s="3"/>
    </row>
    <row r="48" spans="2:21">
      <c r="C48" s="17"/>
      <c r="D48" s="3"/>
      <c r="E48" s="3"/>
      <c r="F48" s="3"/>
      <c r="G48" s="3"/>
      <c r="H48" s="3"/>
      <c r="I48" s="3"/>
      <c r="J48" s="3"/>
    </row>
    <row r="49" spans="3:10">
      <c r="C49" s="35" t="s">
        <v>0</v>
      </c>
      <c r="D49" s="99" t="s">
        <v>19</v>
      </c>
      <c r="E49" s="99"/>
      <c r="F49" s="99"/>
      <c r="G49" s="35" t="s">
        <v>13</v>
      </c>
      <c r="H49" s="35" t="s">
        <v>20</v>
      </c>
      <c r="I49" s="99" t="s">
        <v>15</v>
      </c>
      <c r="J49" s="99"/>
    </row>
    <row r="50" spans="3:10">
      <c r="C50" s="13">
        <v>2022</v>
      </c>
      <c r="D50" s="107">
        <v>0</v>
      </c>
      <c r="E50" s="108"/>
      <c r="F50" s="109"/>
      <c r="G50" s="13">
        <v>0</v>
      </c>
      <c r="H50" s="13">
        <v>0</v>
      </c>
      <c r="I50" s="107">
        <v>0</v>
      </c>
      <c r="J50" s="109"/>
    </row>
    <row r="51" spans="3:10">
      <c r="C51" s="18">
        <v>2023</v>
      </c>
      <c r="D51" s="106">
        <v>5</v>
      </c>
      <c r="E51" s="106"/>
      <c r="F51" s="106"/>
      <c r="G51" s="19">
        <f t="shared" ref="G51" si="8">H32/2</f>
        <v>50.749999999999993</v>
      </c>
      <c r="H51" s="19">
        <f t="shared" ref="H51:H60" si="9">0.6*P32</f>
        <v>-29.231999999999999</v>
      </c>
      <c r="I51" s="106">
        <f t="shared" ref="I51" si="10">D51*(G51+H51)</f>
        <v>107.58999999999997</v>
      </c>
      <c r="J51" s="106"/>
    </row>
    <row r="52" spans="3:10">
      <c r="C52" s="18">
        <v>2024</v>
      </c>
      <c r="D52" s="106">
        <f t="shared" ref="D52:D60" si="11">D51*(1+$G$47)</f>
        <v>5.4</v>
      </c>
      <c r="E52" s="106"/>
      <c r="F52" s="106"/>
      <c r="G52" s="19">
        <f t="shared" ref="G52:G60" si="12">G51*(1+$H$26)</f>
        <v>51.51124999999999</v>
      </c>
      <c r="H52" s="19">
        <f t="shared" si="9"/>
        <v>-29.670479999999994</v>
      </c>
      <c r="I52" s="106">
        <f t="shared" ref="I52:I60" si="13">D52*(G52+H52)</f>
        <v>117.94015799999998</v>
      </c>
      <c r="J52" s="106"/>
    </row>
    <row r="53" spans="3:10">
      <c r="C53" s="18">
        <v>2025</v>
      </c>
      <c r="D53" s="106">
        <f t="shared" si="11"/>
        <v>5.8320000000000007</v>
      </c>
      <c r="E53" s="106"/>
      <c r="F53" s="106"/>
      <c r="G53" s="19">
        <f t="shared" si="12"/>
        <v>52.283918749999984</v>
      </c>
      <c r="H53" s="19">
        <f t="shared" si="9"/>
        <v>-30.115537199999991</v>
      </c>
      <c r="I53" s="106">
        <f t="shared" si="13"/>
        <v>129.28600119959998</v>
      </c>
      <c r="J53" s="106"/>
    </row>
    <row r="54" spans="3:10">
      <c r="C54" s="18">
        <v>2026</v>
      </c>
      <c r="D54" s="106">
        <f t="shared" si="11"/>
        <v>6.298560000000001</v>
      </c>
      <c r="E54" s="106"/>
      <c r="F54" s="106"/>
      <c r="G54" s="19">
        <f t="shared" si="12"/>
        <v>53.068177531249979</v>
      </c>
      <c r="H54" s="19">
        <f t="shared" si="9"/>
        <v>-30.567270257999986</v>
      </c>
      <c r="I54" s="106">
        <f t="shared" si="13"/>
        <v>141.7233145150015</v>
      </c>
      <c r="J54" s="106"/>
    </row>
    <row r="55" spans="3:10">
      <c r="C55" s="18">
        <v>2027</v>
      </c>
      <c r="D55" s="106">
        <f t="shared" si="11"/>
        <v>6.8024448000000017</v>
      </c>
      <c r="E55" s="106"/>
      <c r="F55" s="106"/>
      <c r="G55" s="19">
        <f t="shared" si="12"/>
        <v>53.864200194218725</v>
      </c>
      <c r="H55" s="19">
        <f t="shared" si="9"/>
        <v>-31.025779311869982</v>
      </c>
      <c r="I55" s="106">
        <f t="shared" si="13"/>
        <v>155.35709737134465</v>
      </c>
      <c r="J55" s="106"/>
    </row>
    <row r="56" spans="3:10">
      <c r="C56" s="18">
        <v>2028</v>
      </c>
      <c r="D56" s="106">
        <f t="shared" si="11"/>
        <v>7.3466403840000023</v>
      </c>
      <c r="E56" s="106"/>
      <c r="F56" s="106"/>
      <c r="G56" s="19">
        <f t="shared" si="12"/>
        <v>54.672163197132001</v>
      </c>
      <c r="H56" s="19">
        <f t="shared" si="9"/>
        <v>-31.491166001548027</v>
      </c>
      <c r="I56" s="106">
        <f t="shared" si="13"/>
        <v>170.30245013846803</v>
      </c>
      <c r="J56" s="106"/>
    </row>
    <row r="57" spans="3:10">
      <c r="C57" s="18">
        <v>2029</v>
      </c>
      <c r="D57" s="106">
        <f t="shared" si="11"/>
        <v>7.9343716147200034</v>
      </c>
      <c r="E57" s="106"/>
      <c r="F57" s="106"/>
      <c r="G57" s="19">
        <f t="shared" si="12"/>
        <v>55.492245645088978</v>
      </c>
      <c r="H57" s="19">
        <f t="shared" si="9"/>
        <v>-31.963533491571244</v>
      </c>
      <c r="I57" s="106">
        <f t="shared" si="13"/>
        <v>186.68554584178867</v>
      </c>
      <c r="J57" s="106"/>
    </row>
    <row r="58" spans="3:10">
      <c r="C58" s="18">
        <v>2030</v>
      </c>
      <c r="D58" s="106">
        <f t="shared" si="11"/>
        <v>8.5691213438976046</v>
      </c>
      <c r="E58" s="106"/>
      <c r="F58" s="106"/>
      <c r="G58" s="19">
        <f t="shared" si="12"/>
        <v>56.324629329765308</v>
      </c>
      <c r="H58" s="19">
        <f t="shared" si="9"/>
        <v>-32.442986493944808</v>
      </c>
      <c r="I58" s="106">
        <f t="shared" si="13"/>
        <v>204.64469535176877</v>
      </c>
      <c r="J58" s="106"/>
    </row>
    <row r="59" spans="3:10">
      <c r="C59" s="18">
        <v>2031</v>
      </c>
      <c r="D59" s="106">
        <f t="shared" si="11"/>
        <v>9.2546510514094145</v>
      </c>
      <c r="E59" s="106"/>
      <c r="F59" s="106"/>
      <c r="G59" s="19">
        <f t="shared" si="12"/>
        <v>57.16949876971178</v>
      </c>
      <c r="H59" s="19">
        <f t="shared" si="9"/>
        <v>-32.929631291353978</v>
      </c>
      <c r="I59" s="106">
        <f t="shared" si="13"/>
        <v>224.33151504460889</v>
      </c>
      <c r="J59" s="106"/>
    </row>
    <row r="60" spans="3:10">
      <c r="C60" s="18">
        <v>2032</v>
      </c>
      <c r="D60" s="106">
        <f t="shared" si="11"/>
        <v>9.9950231355221675</v>
      </c>
      <c r="E60" s="106"/>
      <c r="F60" s="106"/>
      <c r="G60" s="19">
        <f t="shared" si="12"/>
        <v>58.027041251257451</v>
      </c>
      <c r="H60" s="19">
        <f t="shared" si="9"/>
        <v>-33.42357576072429</v>
      </c>
      <c r="I60" s="106">
        <f t="shared" si="13"/>
        <v>245.91220679190019</v>
      </c>
      <c r="J60" s="106"/>
    </row>
    <row r="61" spans="3:10">
      <c r="C61" s="18"/>
      <c r="D61" s="106"/>
      <c r="E61" s="106"/>
      <c r="F61" s="106"/>
      <c r="G61" s="19"/>
      <c r="H61" s="19"/>
      <c r="I61" s="106"/>
      <c r="J61" s="106"/>
    </row>
    <row r="63" spans="3:10" ht="37">
      <c r="C63" s="98" t="s">
        <v>21</v>
      </c>
      <c r="D63" s="98"/>
      <c r="E63" s="98"/>
    </row>
    <row r="64" spans="3:10">
      <c r="C64" s="3"/>
      <c r="D64" s="3"/>
      <c r="E64" s="3"/>
    </row>
    <row r="65" spans="2:7">
      <c r="C65" s="35" t="s">
        <v>0</v>
      </c>
      <c r="D65" s="99" t="s">
        <v>22</v>
      </c>
      <c r="E65" s="99"/>
    </row>
    <row r="66" spans="2:7">
      <c r="C66" s="18">
        <v>2022</v>
      </c>
      <c r="D66" s="106">
        <f>K31+U31+I51</f>
        <v>5102.3740000000007</v>
      </c>
      <c r="E66" s="106"/>
    </row>
    <row r="67" spans="2:7">
      <c r="C67" s="18">
        <v>2023</v>
      </c>
      <c r="D67" s="106">
        <f t="shared" ref="D67:D76" si="14">K32+U32+I52</f>
        <v>5533.4750939999994</v>
      </c>
      <c r="E67" s="106"/>
    </row>
    <row r="68" spans="2:7">
      <c r="C68" s="18">
        <v>2024</v>
      </c>
      <c r="D68" s="106">
        <f t="shared" si="14"/>
        <v>6003.9943101936005</v>
      </c>
      <c r="E68" s="106"/>
    </row>
    <row r="69" spans="2:7">
      <c r="C69" s="18">
        <v>2025</v>
      </c>
      <c r="D69" s="106">
        <f t="shared" si="14"/>
        <v>6517.8070230632648</v>
      </c>
      <c r="E69" s="106"/>
    </row>
    <row r="70" spans="2:7">
      <c r="C70" s="18">
        <v>2026</v>
      </c>
      <c r="D70" s="106">
        <f t="shared" si="14"/>
        <v>7079.1923407342802</v>
      </c>
      <c r="E70" s="106"/>
    </row>
    <row r="71" spans="2:7">
      <c r="C71" s="18">
        <v>2027</v>
      </c>
      <c r="D71" s="106">
        <f t="shared" si="14"/>
        <v>7692.8769413390346</v>
      </c>
      <c r="E71" s="106"/>
    </row>
    <row r="72" spans="2:7">
      <c r="C72" s="18">
        <v>2028</v>
      </c>
      <c r="D72" s="106">
        <f t="shared" si="14"/>
        <v>8364.0838003136396</v>
      </c>
      <c r="E72" s="106"/>
    </row>
    <row r="73" spans="2:7">
      <c r="C73" s="18">
        <v>2029</v>
      </c>
      <c r="D73" s="106">
        <f t="shared" si="14"/>
        <v>9098.5863636703089</v>
      </c>
      <c r="E73" s="106"/>
    </row>
    <row r="74" spans="2:7">
      <c r="C74" s="18">
        <v>2030</v>
      </c>
      <c r="D74" s="106">
        <f t="shared" si="14"/>
        <v>9902.7687859289272</v>
      </c>
      <c r="E74" s="106"/>
    </row>
    <row r="75" spans="2:7">
      <c r="C75" s="18">
        <v>2031</v>
      </c>
      <c r="D75" s="106">
        <f t="shared" si="14"/>
        <v>10783.692922372999</v>
      </c>
      <c r="E75" s="106"/>
    </row>
    <row r="76" spans="2:7">
      <c r="C76" s="18">
        <v>2032</v>
      </c>
      <c r="D76" s="106">
        <f t="shared" si="14"/>
        <v>11479.603883383548</v>
      </c>
      <c r="E76" s="106"/>
    </row>
    <row r="78" spans="2:7" ht="35">
      <c r="C78" s="65" t="s">
        <v>10</v>
      </c>
    </row>
    <row r="79" spans="2:7">
      <c r="G79" s="5"/>
    </row>
    <row r="80" spans="2:7">
      <c r="B80" s="54">
        <v>1</v>
      </c>
      <c r="C80" s="48" t="s">
        <v>23</v>
      </c>
      <c r="D80" s="47"/>
      <c r="E80" s="47"/>
      <c r="F80" s="47"/>
      <c r="G80" s="40">
        <v>-150</v>
      </c>
    </row>
    <row r="81" spans="2:8">
      <c r="B81" s="55"/>
      <c r="C81" s="20"/>
      <c r="G81" s="17"/>
    </row>
    <row r="82" spans="2:8">
      <c r="B82" s="54">
        <v>2</v>
      </c>
      <c r="C82" s="49" t="s">
        <v>24</v>
      </c>
    </row>
    <row r="83" spans="2:8">
      <c r="B83" s="55"/>
    </row>
    <row r="84" spans="2:8">
      <c r="B84" s="52" t="s">
        <v>29</v>
      </c>
      <c r="C84" s="111" t="s">
        <v>25</v>
      </c>
      <c r="D84" s="111"/>
      <c r="E84" s="111"/>
      <c r="F84" s="111"/>
      <c r="G84" s="40">
        <v>1000</v>
      </c>
    </row>
    <row r="85" spans="2:8">
      <c r="B85" s="52" t="s">
        <v>30</v>
      </c>
      <c r="C85" s="111" t="s">
        <v>26</v>
      </c>
      <c r="D85" s="111"/>
      <c r="E85" s="111"/>
      <c r="F85" s="111"/>
      <c r="G85" s="40">
        <v>200</v>
      </c>
    </row>
    <row r="86" spans="2:8">
      <c r="B86" s="52" t="s">
        <v>31</v>
      </c>
      <c r="C86" s="111" t="s">
        <v>27</v>
      </c>
      <c r="D86" s="111"/>
      <c r="E86" s="111"/>
      <c r="F86" s="111"/>
      <c r="G86" s="40">
        <v>10</v>
      </c>
    </row>
    <row r="87" spans="2:8">
      <c r="B87" s="52" t="s">
        <v>32</v>
      </c>
      <c r="C87" s="111" t="s">
        <v>28</v>
      </c>
      <c r="D87" s="111"/>
      <c r="E87" s="111"/>
      <c r="F87" s="111"/>
      <c r="G87" s="40">
        <f>(G84-G85)/G86</f>
        <v>80</v>
      </c>
    </row>
    <row r="89" spans="2:8">
      <c r="C89" s="35" t="s">
        <v>0</v>
      </c>
      <c r="D89" s="99" t="s">
        <v>33</v>
      </c>
      <c r="E89" s="99"/>
      <c r="F89" s="99"/>
      <c r="G89" s="99" t="s">
        <v>34</v>
      </c>
      <c r="H89" s="99"/>
    </row>
    <row r="90" spans="2:8">
      <c r="C90" s="18">
        <v>2022</v>
      </c>
      <c r="D90" s="110">
        <v>-1000</v>
      </c>
      <c r="E90" s="110"/>
      <c r="F90" s="110"/>
      <c r="G90" s="110">
        <v>0</v>
      </c>
      <c r="H90" s="110"/>
    </row>
    <row r="91" spans="2:8">
      <c r="C91" s="18">
        <v>2023</v>
      </c>
      <c r="D91" s="110">
        <v>0</v>
      </c>
      <c r="E91" s="110"/>
      <c r="F91" s="110"/>
      <c r="G91" s="110">
        <v>80</v>
      </c>
      <c r="H91" s="110"/>
    </row>
    <row r="92" spans="2:8">
      <c r="C92" s="18">
        <v>2024</v>
      </c>
      <c r="D92" s="110">
        <v>0</v>
      </c>
      <c r="E92" s="110"/>
      <c r="F92" s="110"/>
      <c r="G92" s="110">
        <f>G91</f>
        <v>80</v>
      </c>
      <c r="H92" s="110"/>
    </row>
    <row r="93" spans="2:8">
      <c r="C93" s="18">
        <v>2025</v>
      </c>
      <c r="D93" s="110">
        <v>0</v>
      </c>
      <c r="E93" s="110"/>
      <c r="F93" s="110"/>
      <c r="G93" s="110">
        <f t="shared" ref="G93:G100" si="15">G92</f>
        <v>80</v>
      </c>
      <c r="H93" s="110"/>
    </row>
    <row r="94" spans="2:8">
      <c r="C94" s="18">
        <v>2026</v>
      </c>
      <c r="D94" s="110">
        <v>0</v>
      </c>
      <c r="E94" s="110"/>
      <c r="F94" s="110"/>
      <c r="G94" s="110">
        <f t="shared" si="15"/>
        <v>80</v>
      </c>
      <c r="H94" s="110"/>
    </row>
    <row r="95" spans="2:8">
      <c r="C95" s="18">
        <v>2027</v>
      </c>
      <c r="D95" s="110">
        <v>0</v>
      </c>
      <c r="E95" s="110"/>
      <c r="F95" s="110"/>
      <c r="G95" s="110">
        <f t="shared" si="15"/>
        <v>80</v>
      </c>
      <c r="H95" s="110"/>
    </row>
    <row r="96" spans="2:8">
      <c r="C96" s="18">
        <v>2028</v>
      </c>
      <c r="D96" s="110">
        <v>0</v>
      </c>
      <c r="E96" s="110"/>
      <c r="F96" s="110"/>
      <c r="G96" s="110">
        <f t="shared" si="15"/>
        <v>80</v>
      </c>
      <c r="H96" s="110"/>
    </row>
    <row r="97" spans="2:15">
      <c r="C97" s="18">
        <v>2029</v>
      </c>
      <c r="D97" s="110">
        <v>0</v>
      </c>
      <c r="E97" s="110"/>
      <c r="F97" s="110"/>
      <c r="G97" s="110">
        <f t="shared" si="15"/>
        <v>80</v>
      </c>
      <c r="H97" s="110"/>
    </row>
    <row r="98" spans="2:15">
      <c r="C98" s="18">
        <v>2030</v>
      </c>
      <c r="D98" s="110">
        <v>0</v>
      </c>
      <c r="E98" s="110"/>
      <c r="F98" s="110"/>
      <c r="G98" s="110">
        <f t="shared" si="15"/>
        <v>80</v>
      </c>
      <c r="H98" s="110"/>
    </row>
    <row r="99" spans="2:15">
      <c r="C99" s="18">
        <v>2031</v>
      </c>
      <c r="D99" s="110">
        <v>0</v>
      </c>
      <c r="E99" s="110"/>
      <c r="F99" s="110"/>
      <c r="G99" s="110">
        <f t="shared" si="15"/>
        <v>80</v>
      </c>
      <c r="H99" s="110"/>
    </row>
    <row r="100" spans="2:15">
      <c r="C100" s="18">
        <v>2032</v>
      </c>
      <c r="D100" s="110">
        <v>0</v>
      </c>
      <c r="E100" s="110"/>
      <c r="F100" s="110"/>
      <c r="G100" s="110">
        <f t="shared" si="15"/>
        <v>80</v>
      </c>
      <c r="H100" s="110"/>
    </row>
    <row r="102" spans="2:15" ht="33">
      <c r="B102" s="63">
        <v>3</v>
      </c>
      <c r="C102" s="112" t="s">
        <v>38</v>
      </c>
      <c r="D102" s="112"/>
      <c r="E102" s="112"/>
      <c r="F102" s="112"/>
      <c r="G102" s="3"/>
    </row>
    <row r="103" spans="2:15">
      <c r="C103" s="20"/>
      <c r="D103" s="20"/>
      <c r="E103" s="20"/>
      <c r="F103" s="20"/>
      <c r="G103" s="3"/>
    </row>
    <row r="104" spans="2:15">
      <c r="C104" s="101" t="s">
        <v>35</v>
      </c>
      <c r="D104" s="101"/>
      <c r="E104" s="101"/>
      <c r="F104" s="101"/>
      <c r="G104" s="53">
        <f>-400</f>
        <v>-400</v>
      </c>
    </row>
    <row r="105" spans="2:15">
      <c r="C105" s="101" t="s">
        <v>36</v>
      </c>
      <c r="D105" s="101"/>
      <c r="E105" s="101"/>
      <c r="F105" s="101"/>
      <c r="G105" s="39">
        <v>0.05</v>
      </c>
    </row>
    <row r="106" spans="2:15">
      <c r="C106" s="101" t="s">
        <v>37</v>
      </c>
      <c r="D106" s="101"/>
      <c r="E106" s="101"/>
      <c r="F106" s="101"/>
      <c r="G106" s="39">
        <v>0.1</v>
      </c>
    </row>
    <row r="108" spans="2:15">
      <c r="C108" s="56" t="s">
        <v>0</v>
      </c>
      <c r="D108" s="99" t="s">
        <v>39</v>
      </c>
      <c r="E108" s="99"/>
      <c r="F108" s="99"/>
      <c r="G108" s="99" t="s">
        <v>40</v>
      </c>
      <c r="H108" s="99"/>
      <c r="I108" s="99"/>
      <c r="J108" s="99" t="s">
        <v>41</v>
      </c>
      <c r="K108" s="99"/>
      <c r="L108" s="99"/>
      <c r="M108" s="99" t="s">
        <v>42</v>
      </c>
      <c r="N108" s="99"/>
      <c r="O108" s="99"/>
    </row>
    <row r="109" spans="2:15">
      <c r="C109" s="18">
        <v>2022</v>
      </c>
      <c r="D109" s="106">
        <f>G104</f>
        <v>-400</v>
      </c>
      <c r="E109" s="106"/>
      <c r="F109" s="106"/>
      <c r="G109" s="106">
        <f>G106*G104</f>
        <v>-40</v>
      </c>
      <c r="H109" s="106"/>
      <c r="I109" s="106"/>
      <c r="J109" s="106">
        <v>-40</v>
      </c>
      <c r="K109" s="106"/>
      <c r="L109" s="106"/>
      <c r="M109" s="106">
        <f t="shared" ref="M109:M119" si="16">D109+G109+J109</f>
        <v>-480</v>
      </c>
      <c r="N109" s="106"/>
      <c r="O109" s="106"/>
    </row>
    <row r="110" spans="2:15">
      <c r="C110" s="18">
        <v>2023</v>
      </c>
      <c r="D110" s="106">
        <f>D109*(1+$G$105)</f>
        <v>-420</v>
      </c>
      <c r="E110" s="106"/>
      <c r="F110" s="106"/>
      <c r="G110" s="106">
        <f>G109*(1+$G$106)</f>
        <v>-44</v>
      </c>
      <c r="H110" s="106"/>
      <c r="I110" s="106"/>
      <c r="J110" s="106">
        <f t="shared" ref="J110:J119" si="17">J109*(1+$F$108)</f>
        <v>-40</v>
      </c>
      <c r="K110" s="106"/>
      <c r="L110" s="106"/>
      <c r="M110" s="106">
        <f t="shared" si="16"/>
        <v>-504</v>
      </c>
      <c r="N110" s="106"/>
      <c r="O110" s="106"/>
    </row>
    <row r="111" spans="2:15">
      <c r="C111" s="18">
        <v>2024</v>
      </c>
      <c r="D111" s="106">
        <f>D110*(1+$G$105)</f>
        <v>-441</v>
      </c>
      <c r="E111" s="106"/>
      <c r="F111" s="106"/>
      <c r="G111" s="106">
        <f t="shared" ref="G111:G119" si="18">G110*(1+$G$106)</f>
        <v>-48.400000000000006</v>
      </c>
      <c r="H111" s="106"/>
      <c r="I111" s="106"/>
      <c r="J111" s="106">
        <f t="shared" si="17"/>
        <v>-40</v>
      </c>
      <c r="K111" s="106"/>
      <c r="L111" s="106"/>
      <c r="M111" s="106">
        <f t="shared" si="16"/>
        <v>-529.4</v>
      </c>
      <c r="N111" s="106"/>
      <c r="O111" s="106"/>
    </row>
    <row r="112" spans="2:15">
      <c r="C112" s="18">
        <v>2025</v>
      </c>
      <c r="D112" s="106">
        <f t="shared" ref="D112:D119" si="19">D111*(1+$G$105)</f>
        <v>-463.05</v>
      </c>
      <c r="E112" s="106"/>
      <c r="F112" s="106"/>
      <c r="G112" s="106">
        <f t="shared" si="18"/>
        <v>-53.240000000000009</v>
      </c>
      <c r="H112" s="106"/>
      <c r="I112" s="106"/>
      <c r="J112" s="106">
        <f t="shared" si="17"/>
        <v>-40</v>
      </c>
      <c r="K112" s="106"/>
      <c r="L112" s="106"/>
      <c r="M112" s="106">
        <f t="shared" si="16"/>
        <v>-556.29</v>
      </c>
      <c r="N112" s="106"/>
      <c r="O112" s="106"/>
    </row>
    <row r="113" spans="2:15">
      <c r="C113" s="18">
        <v>2026</v>
      </c>
      <c r="D113" s="106">
        <f t="shared" si="19"/>
        <v>-486.20250000000004</v>
      </c>
      <c r="E113" s="106"/>
      <c r="F113" s="106"/>
      <c r="G113" s="106">
        <f t="shared" si="18"/>
        <v>-58.564000000000014</v>
      </c>
      <c r="H113" s="106"/>
      <c r="I113" s="106"/>
      <c r="J113" s="106">
        <f t="shared" si="17"/>
        <v>-40</v>
      </c>
      <c r="K113" s="106"/>
      <c r="L113" s="106"/>
      <c r="M113" s="106">
        <f t="shared" si="16"/>
        <v>-584.76650000000006</v>
      </c>
      <c r="N113" s="106"/>
      <c r="O113" s="106"/>
    </row>
    <row r="114" spans="2:15">
      <c r="C114" s="18">
        <v>2027</v>
      </c>
      <c r="D114" s="106">
        <f t="shared" si="19"/>
        <v>-510.51262500000007</v>
      </c>
      <c r="E114" s="106"/>
      <c r="F114" s="106"/>
      <c r="G114" s="106">
        <f t="shared" si="18"/>
        <v>-64.420400000000015</v>
      </c>
      <c r="H114" s="106"/>
      <c r="I114" s="106"/>
      <c r="J114" s="106">
        <f t="shared" si="17"/>
        <v>-40</v>
      </c>
      <c r="K114" s="106"/>
      <c r="L114" s="106"/>
      <c r="M114" s="106">
        <f t="shared" si="16"/>
        <v>-614.93302500000004</v>
      </c>
      <c r="N114" s="106"/>
      <c r="O114" s="106"/>
    </row>
    <row r="115" spans="2:15">
      <c r="C115" s="18">
        <v>2028</v>
      </c>
      <c r="D115" s="106">
        <f t="shared" si="19"/>
        <v>-536.03825625000013</v>
      </c>
      <c r="E115" s="106"/>
      <c r="F115" s="106"/>
      <c r="G115" s="106">
        <f t="shared" si="18"/>
        <v>-70.862440000000021</v>
      </c>
      <c r="H115" s="106"/>
      <c r="I115" s="106"/>
      <c r="J115" s="106">
        <f t="shared" si="17"/>
        <v>-40</v>
      </c>
      <c r="K115" s="106"/>
      <c r="L115" s="106"/>
      <c r="M115" s="106">
        <f t="shared" si="16"/>
        <v>-646.90069625000012</v>
      </c>
      <c r="N115" s="106"/>
      <c r="O115" s="106"/>
    </row>
    <row r="116" spans="2:15">
      <c r="C116" s="18">
        <v>2029</v>
      </c>
      <c r="D116" s="106">
        <f t="shared" si="19"/>
        <v>-562.84016906250019</v>
      </c>
      <c r="E116" s="106"/>
      <c r="F116" s="106"/>
      <c r="G116" s="106">
        <f t="shared" si="18"/>
        <v>-77.948684000000029</v>
      </c>
      <c r="H116" s="106"/>
      <c r="I116" s="106"/>
      <c r="J116" s="106">
        <f t="shared" si="17"/>
        <v>-40</v>
      </c>
      <c r="K116" s="106"/>
      <c r="L116" s="106"/>
      <c r="M116" s="106">
        <f t="shared" si="16"/>
        <v>-680.78885306250027</v>
      </c>
      <c r="N116" s="106"/>
      <c r="O116" s="106"/>
    </row>
    <row r="117" spans="2:15">
      <c r="C117" s="18">
        <v>2030</v>
      </c>
      <c r="D117" s="106">
        <f t="shared" si="19"/>
        <v>-590.98217751562527</v>
      </c>
      <c r="E117" s="106"/>
      <c r="F117" s="106"/>
      <c r="G117" s="106">
        <f t="shared" si="18"/>
        <v>-85.743552400000041</v>
      </c>
      <c r="H117" s="106"/>
      <c r="I117" s="106"/>
      <c r="J117" s="106">
        <f t="shared" si="17"/>
        <v>-40</v>
      </c>
      <c r="K117" s="106"/>
      <c r="L117" s="106"/>
      <c r="M117" s="106">
        <f t="shared" si="16"/>
        <v>-716.72572991562527</v>
      </c>
      <c r="N117" s="106"/>
      <c r="O117" s="106"/>
    </row>
    <row r="118" spans="2:15">
      <c r="C118" s="18">
        <v>2031</v>
      </c>
      <c r="D118" s="106">
        <f t="shared" si="19"/>
        <v>-620.53128639140652</v>
      </c>
      <c r="E118" s="106"/>
      <c r="F118" s="106"/>
      <c r="G118" s="106">
        <f t="shared" si="18"/>
        <v>-94.317907640000058</v>
      </c>
      <c r="H118" s="106"/>
      <c r="I118" s="106"/>
      <c r="J118" s="106">
        <f t="shared" si="17"/>
        <v>-40</v>
      </c>
      <c r="K118" s="106"/>
      <c r="L118" s="106"/>
      <c r="M118" s="106">
        <f t="shared" si="16"/>
        <v>-754.84919403140657</v>
      </c>
      <c r="N118" s="106"/>
      <c r="O118" s="106"/>
    </row>
    <row r="119" spans="2:15">
      <c r="C119" s="18">
        <v>2032</v>
      </c>
      <c r="D119" s="106">
        <f t="shared" si="19"/>
        <v>-651.55785071097682</v>
      </c>
      <c r="E119" s="106"/>
      <c r="F119" s="106"/>
      <c r="G119" s="106">
        <f t="shared" si="18"/>
        <v>-103.74969840400007</v>
      </c>
      <c r="H119" s="106"/>
      <c r="I119" s="106"/>
      <c r="J119" s="106">
        <f t="shared" si="17"/>
        <v>-40</v>
      </c>
      <c r="K119" s="106"/>
      <c r="L119" s="106"/>
      <c r="M119" s="106">
        <f t="shared" si="16"/>
        <v>-795.30754911497684</v>
      </c>
      <c r="N119" s="106"/>
      <c r="O119" s="106"/>
    </row>
    <row r="121" spans="2:15" ht="35">
      <c r="B121" s="63">
        <v>4</v>
      </c>
      <c r="C121" s="113" t="s">
        <v>48</v>
      </c>
      <c r="D121" s="113"/>
      <c r="E121" s="113"/>
      <c r="F121" s="113"/>
      <c r="G121" s="113"/>
      <c r="H121" s="3"/>
    </row>
    <row r="122" spans="2:15">
      <c r="B122" s="51"/>
      <c r="C122" s="57"/>
      <c r="D122" s="57"/>
      <c r="E122" s="57"/>
      <c r="F122" s="57"/>
      <c r="G122" s="58"/>
      <c r="H122" s="3"/>
    </row>
    <row r="123" spans="2:15">
      <c r="B123" s="51"/>
      <c r="C123" s="101" t="s">
        <v>43</v>
      </c>
      <c r="D123" s="101"/>
      <c r="E123" s="101"/>
      <c r="F123" s="101"/>
      <c r="G123" s="53">
        <v>-500</v>
      </c>
      <c r="H123" s="3"/>
    </row>
    <row r="124" spans="2:15">
      <c r="B124" s="51"/>
      <c r="C124" s="101" t="s">
        <v>44</v>
      </c>
      <c r="D124" s="101"/>
      <c r="E124" s="101"/>
      <c r="F124" s="101"/>
      <c r="G124" s="39">
        <v>0.05</v>
      </c>
      <c r="H124" s="3"/>
    </row>
    <row r="125" spans="2:15">
      <c r="B125" s="51"/>
      <c r="C125" s="101" t="s">
        <v>45</v>
      </c>
      <c r="D125" s="101"/>
      <c r="E125" s="101"/>
      <c r="F125" s="101"/>
      <c r="G125" s="39">
        <v>0.15</v>
      </c>
      <c r="H125" s="3"/>
    </row>
    <row r="126" spans="2:15">
      <c r="C126" s="3"/>
      <c r="D126" s="3"/>
      <c r="E126" s="3"/>
      <c r="F126" s="3"/>
      <c r="G126" s="3"/>
      <c r="H126" s="3"/>
    </row>
    <row r="127" spans="2:15">
      <c r="C127" s="35" t="s">
        <v>0</v>
      </c>
      <c r="D127" s="99" t="s">
        <v>46</v>
      </c>
      <c r="E127" s="99"/>
      <c r="F127" s="99"/>
      <c r="G127" s="99" t="s">
        <v>47</v>
      </c>
      <c r="H127" s="99"/>
    </row>
    <row r="128" spans="2:15">
      <c r="C128" s="18">
        <v>2022</v>
      </c>
      <c r="D128" s="106">
        <f>G123*(1+$F$126)</f>
        <v>-500</v>
      </c>
      <c r="E128" s="106"/>
      <c r="F128" s="106"/>
      <c r="G128" s="106">
        <v>-500</v>
      </c>
      <c r="H128" s="106"/>
    </row>
    <row r="129" spans="2:10">
      <c r="C129" s="18">
        <v>2023</v>
      </c>
      <c r="D129" s="106">
        <f>D128*($G$124+1)</f>
        <v>-525</v>
      </c>
      <c r="E129" s="106"/>
      <c r="F129" s="106"/>
      <c r="G129" s="106">
        <f>G128*(1+$G$125)</f>
        <v>-575</v>
      </c>
      <c r="H129" s="106"/>
    </row>
    <row r="130" spans="2:10">
      <c r="C130" s="18">
        <v>2024</v>
      </c>
      <c r="D130" s="106">
        <f t="shared" ref="D130:D138" si="20">D129*($G$124+1)</f>
        <v>-551.25</v>
      </c>
      <c r="E130" s="106"/>
      <c r="F130" s="106"/>
      <c r="G130" s="106">
        <f t="shared" ref="G130:G138" si="21">G129*(1+$G$125)</f>
        <v>-661.25</v>
      </c>
      <c r="H130" s="106"/>
    </row>
    <row r="131" spans="2:10">
      <c r="C131" s="18">
        <v>2025</v>
      </c>
      <c r="D131" s="106">
        <f t="shared" si="20"/>
        <v>-578.8125</v>
      </c>
      <c r="E131" s="106"/>
      <c r="F131" s="106"/>
      <c r="G131" s="106">
        <f t="shared" si="21"/>
        <v>-760.43749999999989</v>
      </c>
      <c r="H131" s="106"/>
    </row>
    <row r="132" spans="2:10">
      <c r="C132" s="18">
        <v>2026</v>
      </c>
      <c r="D132" s="106">
        <f t="shared" si="20"/>
        <v>-607.75312500000007</v>
      </c>
      <c r="E132" s="106"/>
      <c r="F132" s="106"/>
      <c r="G132" s="106">
        <f t="shared" si="21"/>
        <v>-874.50312499999984</v>
      </c>
      <c r="H132" s="106"/>
    </row>
    <row r="133" spans="2:10">
      <c r="C133" s="18">
        <v>2027</v>
      </c>
      <c r="D133" s="106">
        <f t="shared" si="20"/>
        <v>-638.14078125000015</v>
      </c>
      <c r="E133" s="106"/>
      <c r="F133" s="106"/>
      <c r="G133" s="106">
        <f t="shared" si="21"/>
        <v>-1005.6785937499998</v>
      </c>
      <c r="H133" s="106"/>
    </row>
    <row r="134" spans="2:10">
      <c r="C134" s="18">
        <v>2028</v>
      </c>
      <c r="D134" s="106">
        <f t="shared" si="20"/>
        <v>-670.04782031250022</v>
      </c>
      <c r="E134" s="106"/>
      <c r="F134" s="106"/>
      <c r="G134" s="106">
        <f t="shared" si="21"/>
        <v>-1156.5303828124997</v>
      </c>
      <c r="H134" s="106"/>
    </row>
    <row r="135" spans="2:10">
      <c r="C135" s="18">
        <v>2029</v>
      </c>
      <c r="D135" s="106">
        <f t="shared" si="20"/>
        <v>-703.55021132812522</v>
      </c>
      <c r="E135" s="106"/>
      <c r="F135" s="106"/>
      <c r="G135" s="106">
        <f t="shared" si="21"/>
        <v>-1330.0099402343747</v>
      </c>
      <c r="H135" s="106"/>
    </row>
    <row r="136" spans="2:10">
      <c r="C136" s="18">
        <v>2030</v>
      </c>
      <c r="D136" s="106">
        <f t="shared" si="20"/>
        <v>-738.72772189453156</v>
      </c>
      <c r="E136" s="106"/>
      <c r="F136" s="106"/>
      <c r="G136" s="106">
        <f t="shared" si="21"/>
        <v>-1529.5114312695307</v>
      </c>
      <c r="H136" s="106"/>
    </row>
    <row r="137" spans="2:10">
      <c r="C137" s="18">
        <v>2031</v>
      </c>
      <c r="D137" s="106">
        <f t="shared" si="20"/>
        <v>-775.66410798925813</v>
      </c>
      <c r="E137" s="106"/>
      <c r="F137" s="106"/>
      <c r="G137" s="106">
        <f t="shared" si="21"/>
        <v>-1758.9381459599601</v>
      </c>
      <c r="H137" s="106"/>
    </row>
    <row r="138" spans="2:10">
      <c r="C138" s="18">
        <v>2032</v>
      </c>
      <c r="D138" s="106">
        <f t="shared" si="20"/>
        <v>-814.44731338872111</v>
      </c>
      <c r="E138" s="106"/>
      <c r="F138" s="106"/>
      <c r="G138" s="106">
        <f t="shared" si="21"/>
        <v>-2022.7788678539539</v>
      </c>
      <c r="H138" s="106"/>
    </row>
    <row r="140" spans="2:10" ht="35">
      <c r="B140" s="63">
        <v>5</v>
      </c>
      <c r="C140" s="113" t="s">
        <v>105</v>
      </c>
      <c r="D140" s="113"/>
      <c r="E140" s="3"/>
      <c r="F140" s="3"/>
      <c r="G140" s="3"/>
      <c r="H140" s="3"/>
      <c r="I140" s="3"/>
      <c r="J140" s="3"/>
    </row>
    <row r="141" spans="2:10">
      <c r="C141" s="3"/>
      <c r="D141" s="3"/>
      <c r="E141" s="3"/>
      <c r="F141" s="3"/>
      <c r="G141" s="3"/>
      <c r="H141" s="3"/>
      <c r="I141" s="3"/>
      <c r="J141" s="3"/>
    </row>
    <row r="142" spans="2:10">
      <c r="C142" s="101" t="s">
        <v>49</v>
      </c>
      <c r="D142" s="101"/>
      <c r="E142" s="101"/>
      <c r="F142" s="101"/>
      <c r="G142" s="101"/>
      <c r="H142" s="101"/>
      <c r="I142" s="53">
        <f>30*(1+8%)</f>
        <v>32.400000000000006</v>
      </c>
      <c r="J142" s="3"/>
    </row>
    <row r="143" spans="2:10">
      <c r="C143" s="101" t="s">
        <v>50</v>
      </c>
      <c r="D143" s="101"/>
      <c r="E143" s="101"/>
      <c r="F143" s="101"/>
      <c r="G143" s="101"/>
      <c r="H143" s="101"/>
      <c r="I143" s="39">
        <v>0.65</v>
      </c>
      <c r="J143" s="3"/>
    </row>
    <row r="144" spans="2:10">
      <c r="C144" s="101" t="s">
        <v>9</v>
      </c>
      <c r="D144" s="101"/>
      <c r="E144" s="101"/>
      <c r="F144" s="101"/>
      <c r="G144" s="101"/>
      <c r="H144" s="101"/>
      <c r="I144" s="59">
        <v>1.4999999999999999E-2</v>
      </c>
      <c r="J144" s="3"/>
    </row>
    <row r="145" spans="3:11">
      <c r="C145" s="101" t="s">
        <v>51</v>
      </c>
      <c r="D145" s="101"/>
      <c r="E145" s="101"/>
      <c r="F145" s="101"/>
      <c r="G145" s="101"/>
      <c r="H145" s="101"/>
      <c r="I145" s="60">
        <f>I142/I143</f>
        <v>49.846153846153854</v>
      </c>
      <c r="J145" s="3"/>
    </row>
    <row r="146" spans="3:11">
      <c r="C146" s="6"/>
      <c r="D146" s="6"/>
      <c r="E146" s="6"/>
      <c r="F146" s="6"/>
      <c r="G146" s="6"/>
      <c r="H146" s="6"/>
      <c r="I146" s="23"/>
      <c r="J146" s="3"/>
    </row>
    <row r="147" spans="3:11">
      <c r="C147" s="35" t="s">
        <v>52</v>
      </c>
      <c r="D147" s="99" t="s">
        <v>53</v>
      </c>
      <c r="E147" s="99"/>
      <c r="F147" s="99"/>
      <c r="G147" s="99" t="s">
        <v>54</v>
      </c>
      <c r="H147" s="99"/>
      <c r="I147" s="99"/>
      <c r="J147" s="99"/>
    </row>
    <row r="148" spans="3:11">
      <c r="C148" s="18">
        <v>2022</v>
      </c>
      <c r="D148" s="106">
        <f>-600</f>
        <v>-600</v>
      </c>
      <c r="E148" s="106"/>
      <c r="F148" s="106"/>
      <c r="G148" s="114">
        <f>Q31</f>
        <v>34.992000000000004</v>
      </c>
      <c r="H148" s="115"/>
      <c r="I148" s="115"/>
      <c r="J148" s="116"/>
    </row>
    <row r="149" spans="3:11">
      <c r="C149" s="18">
        <v>2023</v>
      </c>
      <c r="D149" s="106">
        <f>D148*(1+$I$144)</f>
        <v>-608.99999999999989</v>
      </c>
      <c r="E149" s="106"/>
      <c r="F149" s="106"/>
      <c r="G149" s="114">
        <f>G148*(1+$G$47)</f>
        <v>37.791360000000005</v>
      </c>
      <c r="H149" s="115"/>
      <c r="I149" s="115"/>
      <c r="J149" s="116"/>
    </row>
    <row r="150" spans="3:11">
      <c r="C150" s="18">
        <v>2024</v>
      </c>
      <c r="D150" s="106">
        <f t="shared" ref="D150:D157" si="22">D149*(1+$I$144)</f>
        <v>-618.13499999999988</v>
      </c>
      <c r="E150" s="106"/>
      <c r="F150" s="106"/>
      <c r="G150" s="114">
        <f t="shared" ref="G150:G158" si="23">G149*(1+$G$47)</f>
        <v>40.814668800000007</v>
      </c>
      <c r="H150" s="115"/>
      <c r="I150" s="115"/>
      <c r="J150" s="116"/>
    </row>
    <row r="151" spans="3:11">
      <c r="C151" s="13">
        <v>2025</v>
      </c>
      <c r="D151" s="106">
        <f t="shared" si="22"/>
        <v>-627.40702499999986</v>
      </c>
      <c r="E151" s="106"/>
      <c r="F151" s="106"/>
      <c r="G151" s="114">
        <f t="shared" si="23"/>
        <v>44.07984230400001</v>
      </c>
      <c r="H151" s="115"/>
      <c r="I151" s="115"/>
      <c r="J151" s="116"/>
    </row>
    <row r="152" spans="3:11">
      <c r="C152" s="18">
        <v>2026</v>
      </c>
      <c r="D152" s="106">
        <f t="shared" si="22"/>
        <v>-636.81813037499978</v>
      </c>
      <c r="E152" s="106"/>
      <c r="F152" s="106"/>
      <c r="G152" s="114">
        <f t="shared" si="23"/>
        <v>47.606229688320013</v>
      </c>
      <c r="H152" s="115"/>
      <c r="I152" s="115"/>
      <c r="J152" s="116"/>
    </row>
    <row r="153" spans="3:11">
      <c r="C153" s="32">
        <v>2027</v>
      </c>
      <c r="D153" s="117">
        <f t="shared" si="22"/>
        <v>-646.37040233062476</v>
      </c>
      <c r="E153" s="117"/>
      <c r="F153" s="117"/>
      <c r="G153" s="118">
        <f t="shared" si="23"/>
        <v>51.414728063385617</v>
      </c>
      <c r="H153" s="119"/>
      <c r="I153" s="119"/>
      <c r="J153" s="120"/>
    </row>
    <row r="154" spans="3:11">
      <c r="C154" s="18">
        <v>2028</v>
      </c>
      <c r="D154" s="106">
        <f t="shared" si="22"/>
        <v>-656.06595836558404</v>
      </c>
      <c r="E154" s="106"/>
      <c r="F154" s="106"/>
      <c r="G154" s="114">
        <f t="shared" si="23"/>
        <v>55.527906308456473</v>
      </c>
      <c r="H154" s="115"/>
      <c r="I154" s="115"/>
      <c r="J154" s="116"/>
    </row>
    <row r="155" spans="3:11">
      <c r="C155" s="18">
        <v>2029</v>
      </c>
      <c r="D155" s="106">
        <f t="shared" si="22"/>
        <v>-665.90694774106771</v>
      </c>
      <c r="E155" s="106"/>
      <c r="F155" s="106"/>
      <c r="G155" s="114">
        <f t="shared" si="23"/>
        <v>59.970138813132998</v>
      </c>
      <c r="H155" s="115"/>
      <c r="I155" s="115"/>
      <c r="J155" s="116"/>
    </row>
    <row r="156" spans="3:11">
      <c r="C156" s="18">
        <v>2030</v>
      </c>
      <c r="D156" s="106">
        <f t="shared" si="22"/>
        <v>-675.89555195718367</v>
      </c>
      <c r="E156" s="106"/>
      <c r="F156" s="106"/>
      <c r="G156" s="114">
        <f t="shared" si="23"/>
        <v>64.76774991818364</v>
      </c>
      <c r="H156" s="115"/>
      <c r="I156" s="115"/>
      <c r="J156" s="116"/>
    </row>
    <row r="157" spans="3:11">
      <c r="C157" s="18">
        <v>2031</v>
      </c>
      <c r="D157" s="106">
        <f t="shared" si="22"/>
        <v>-686.03398523654141</v>
      </c>
      <c r="E157" s="106"/>
      <c r="F157" s="106"/>
      <c r="G157" s="114">
        <f t="shared" si="23"/>
        <v>69.949169911638336</v>
      </c>
      <c r="H157" s="115"/>
      <c r="I157" s="115"/>
      <c r="J157" s="116"/>
    </row>
    <row r="158" spans="3:11">
      <c r="C158" s="13">
        <v>2032</v>
      </c>
      <c r="D158" s="106">
        <f t="shared" ref="D158" si="24">D157*(1+$I$144)</f>
        <v>-696.3244950150895</v>
      </c>
      <c r="E158" s="106"/>
      <c r="F158" s="106"/>
      <c r="G158" s="114">
        <f t="shared" si="23"/>
        <v>75.545103504569411</v>
      </c>
      <c r="H158" s="115"/>
      <c r="I158" s="115"/>
      <c r="J158" s="116"/>
    </row>
    <row r="159" spans="3:11">
      <c r="C159" s="3"/>
      <c r="D159" s="3"/>
      <c r="E159" s="3"/>
      <c r="F159" s="3"/>
      <c r="G159" s="3"/>
      <c r="H159" s="3"/>
      <c r="I159" s="3"/>
      <c r="J159" s="3"/>
    </row>
    <row r="160" spans="3:11">
      <c r="C160" s="122" t="s">
        <v>104</v>
      </c>
      <c r="D160" s="122"/>
      <c r="E160" s="122"/>
      <c r="F160" s="122"/>
      <c r="G160" s="122"/>
      <c r="H160" s="122"/>
      <c r="I160" s="122"/>
      <c r="J160" s="122"/>
      <c r="K160" s="122"/>
    </row>
    <row r="162" spans="2:15" ht="33">
      <c r="B162" s="63">
        <v>6</v>
      </c>
      <c r="C162" s="123" t="s">
        <v>106</v>
      </c>
      <c r="D162" s="12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</row>
    <row r="163" spans="2:15"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</row>
    <row r="164" spans="2:15">
      <c r="C164" s="51"/>
      <c r="D164" s="47" t="s">
        <v>55</v>
      </c>
      <c r="E164" s="47"/>
      <c r="F164" s="47"/>
      <c r="G164" s="47"/>
      <c r="H164" s="39">
        <v>0.05</v>
      </c>
      <c r="I164" s="3"/>
      <c r="J164" s="3"/>
      <c r="K164" s="3"/>
      <c r="L164" s="3"/>
      <c r="M164" s="3"/>
      <c r="N164" s="3"/>
      <c r="O164" s="3"/>
    </row>
    <row r="165" spans="2:15">
      <c r="C165" s="51"/>
      <c r="D165" s="47" t="s">
        <v>56</v>
      </c>
      <c r="E165" s="47"/>
      <c r="F165" s="47"/>
      <c r="G165" s="47"/>
      <c r="H165" s="39">
        <v>0.1</v>
      </c>
      <c r="I165" s="3"/>
      <c r="J165" s="3"/>
      <c r="K165" s="3"/>
      <c r="L165" s="3"/>
      <c r="M165" s="3"/>
      <c r="N165" s="3"/>
      <c r="O165" s="3"/>
    </row>
    <row r="166" spans="2:15">
      <c r="C166" s="51"/>
      <c r="D166" s="47" t="s">
        <v>57</v>
      </c>
      <c r="E166" s="47"/>
      <c r="F166" s="47"/>
      <c r="G166" s="47"/>
      <c r="H166" s="39">
        <v>0.06</v>
      </c>
      <c r="I166" s="3"/>
      <c r="J166" s="3"/>
      <c r="K166" s="3"/>
      <c r="L166" s="3"/>
      <c r="M166" s="3"/>
      <c r="N166" s="3"/>
      <c r="O166" s="3"/>
    </row>
    <row r="167" spans="2:15"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</row>
    <row r="168" spans="2:15">
      <c r="C168" s="35" t="s">
        <v>0</v>
      </c>
      <c r="D168" s="99" t="s">
        <v>58</v>
      </c>
      <c r="E168" s="99"/>
      <c r="F168" s="99"/>
      <c r="G168" s="99" t="s">
        <v>59</v>
      </c>
      <c r="H168" s="99"/>
      <c r="I168" s="99" t="s">
        <v>60</v>
      </c>
      <c r="J168" s="99"/>
      <c r="K168" s="99"/>
      <c r="L168" s="99" t="s">
        <v>61</v>
      </c>
      <c r="M168" s="99"/>
      <c r="N168" s="99"/>
      <c r="O168" s="99"/>
    </row>
    <row r="169" spans="2:15">
      <c r="C169" s="18">
        <v>2022</v>
      </c>
      <c r="D169" s="106">
        <f>$H$164*D66*(-1)</f>
        <v>-255.11870000000005</v>
      </c>
      <c r="E169" s="106"/>
      <c r="F169" s="106"/>
      <c r="G169" s="106">
        <f>$H$165*D66*(-1)</f>
        <v>-510.23740000000009</v>
      </c>
      <c r="H169" s="106"/>
      <c r="I169" s="106">
        <f>$H$166*D66*(-1)</f>
        <v>-306.14244000000002</v>
      </c>
      <c r="J169" s="106"/>
      <c r="K169" s="106"/>
      <c r="L169" s="106">
        <f>D169+G169+I169</f>
        <v>-1071.4985400000003</v>
      </c>
      <c r="M169" s="110"/>
      <c r="N169" s="110"/>
      <c r="O169" s="110"/>
    </row>
    <row r="170" spans="2:15">
      <c r="C170" s="18">
        <v>2023</v>
      </c>
      <c r="D170" s="106">
        <f t="shared" ref="D170:D179" si="25">$H$164*D67*(-1)</f>
        <v>-276.67375469999996</v>
      </c>
      <c r="E170" s="106"/>
      <c r="F170" s="106"/>
      <c r="G170" s="106">
        <f t="shared" ref="G170:G179" si="26">$H$165*D67*(-1)</f>
        <v>-553.34750939999992</v>
      </c>
      <c r="H170" s="106"/>
      <c r="I170" s="106">
        <f t="shared" ref="I170:I179" si="27">$H$166*D67*(-1)</f>
        <v>-332.00850563999995</v>
      </c>
      <c r="J170" s="106"/>
      <c r="K170" s="106"/>
      <c r="L170" s="106">
        <f t="shared" ref="L170:L178" si="28">D170+G170+I170</f>
        <v>-1162.0297697399997</v>
      </c>
      <c r="M170" s="110"/>
      <c r="N170" s="110"/>
      <c r="O170" s="110"/>
    </row>
    <row r="171" spans="2:15">
      <c r="C171" s="18">
        <v>2024</v>
      </c>
      <c r="D171" s="106">
        <f t="shared" si="25"/>
        <v>-300.19971550968006</v>
      </c>
      <c r="E171" s="106"/>
      <c r="F171" s="106"/>
      <c r="G171" s="106">
        <f t="shared" si="26"/>
        <v>-600.39943101936012</v>
      </c>
      <c r="H171" s="106"/>
      <c r="I171" s="106">
        <f t="shared" si="27"/>
        <v>-360.23965861161599</v>
      </c>
      <c r="J171" s="106"/>
      <c r="K171" s="106"/>
      <c r="L171" s="106">
        <f t="shared" si="28"/>
        <v>-1260.8388051406562</v>
      </c>
      <c r="M171" s="110"/>
      <c r="N171" s="110"/>
      <c r="O171" s="110"/>
    </row>
    <row r="172" spans="2:15">
      <c r="C172" s="18">
        <v>2025</v>
      </c>
      <c r="D172" s="106">
        <f t="shared" si="25"/>
        <v>-325.89035115316324</v>
      </c>
      <c r="E172" s="106"/>
      <c r="F172" s="106"/>
      <c r="G172" s="106">
        <f t="shared" si="26"/>
        <v>-651.78070230632648</v>
      </c>
      <c r="H172" s="106"/>
      <c r="I172" s="106">
        <f t="shared" si="27"/>
        <v>-391.06842138379585</v>
      </c>
      <c r="J172" s="106"/>
      <c r="K172" s="106"/>
      <c r="L172" s="106">
        <f t="shared" si="28"/>
        <v>-1368.7394748432855</v>
      </c>
      <c r="M172" s="110"/>
      <c r="N172" s="110"/>
      <c r="O172" s="110"/>
    </row>
    <row r="173" spans="2:15">
      <c r="C173" s="18">
        <v>2026</v>
      </c>
      <c r="D173" s="106">
        <f t="shared" si="25"/>
        <v>-353.95961703671401</v>
      </c>
      <c r="E173" s="106"/>
      <c r="F173" s="106"/>
      <c r="G173" s="106">
        <f t="shared" si="26"/>
        <v>-707.91923407342802</v>
      </c>
      <c r="H173" s="106"/>
      <c r="I173" s="106">
        <f t="shared" si="27"/>
        <v>-424.75154044405679</v>
      </c>
      <c r="J173" s="106"/>
      <c r="K173" s="106"/>
      <c r="L173" s="106">
        <f t="shared" si="28"/>
        <v>-1486.6303915541989</v>
      </c>
      <c r="M173" s="110"/>
      <c r="N173" s="110"/>
      <c r="O173" s="110"/>
    </row>
    <row r="174" spans="2:15">
      <c r="C174" s="18">
        <v>2027</v>
      </c>
      <c r="D174" s="106">
        <f t="shared" si="25"/>
        <v>-384.64384706695176</v>
      </c>
      <c r="E174" s="106"/>
      <c r="F174" s="106"/>
      <c r="G174" s="106">
        <f t="shared" si="26"/>
        <v>-769.28769413390353</v>
      </c>
      <c r="H174" s="106"/>
      <c r="I174" s="106">
        <f t="shared" si="27"/>
        <v>-461.57261648034205</v>
      </c>
      <c r="J174" s="106"/>
      <c r="K174" s="106"/>
      <c r="L174" s="106">
        <f t="shared" si="28"/>
        <v>-1615.5041576811973</v>
      </c>
      <c r="M174" s="110"/>
      <c r="N174" s="110"/>
      <c r="O174" s="110"/>
    </row>
    <row r="175" spans="2:15">
      <c r="C175" s="18">
        <v>2028</v>
      </c>
      <c r="D175" s="106">
        <f t="shared" si="25"/>
        <v>-418.204190015682</v>
      </c>
      <c r="E175" s="106"/>
      <c r="F175" s="106"/>
      <c r="G175" s="106">
        <f t="shared" si="26"/>
        <v>-836.408380031364</v>
      </c>
      <c r="H175" s="106"/>
      <c r="I175" s="106">
        <f t="shared" si="27"/>
        <v>-501.84502801881837</v>
      </c>
      <c r="J175" s="106"/>
      <c r="K175" s="106"/>
      <c r="L175" s="106">
        <f t="shared" si="28"/>
        <v>-1756.4575980658644</v>
      </c>
      <c r="M175" s="110"/>
      <c r="N175" s="110"/>
      <c r="O175" s="110"/>
    </row>
    <row r="176" spans="2:15">
      <c r="C176" s="18">
        <v>2029</v>
      </c>
      <c r="D176" s="106">
        <f t="shared" si="25"/>
        <v>-454.92931818351548</v>
      </c>
      <c r="E176" s="106"/>
      <c r="F176" s="106"/>
      <c r="G176" s="106">
        <f t="shared" si="26"/>
        <v>-909.85863636703095</v>
      </c>
      <c r="H176" s="106"/>
      <c r="I176" s="106">
        <f t="shared" si="27"/>
        <v>-545.91518182021855</v>
      </c>
      <c r="J176" s="106"/>
      <c r="K176" s="106"/>
      <c r="L176" s="106">
        <f t="shared" si="28"/>
        <v>-1910.7031363707649</v>
      </c>
      <c r="M176" s="110"/>
      <c r="N176" s="110"/>
      <c r="O176" s="110"/>
    </row>
    <row r="177" spans="2:15">
      <c r="C177" s="18">
        <v>2030</v>
      </c>
      <c r="D177" s="106">
        <f t="shared" si="25"/>
        <v>-495.13843929644639</v>
      </c>
      <c r="E177" s="106"/>
      <c r="F177" s="106"/>
      <c r="G177" s="106">
        <f t="shared" si="26"/>
        <v>-990.27687859289279</v>
      </c>
      <c r="H177" s="106"/>
      <c r="I177" s="106">
        <f t="shared" si="27"/>
        <v>-594.16612715573558</v>
      </c>
      <c r="J177" s="106"/>
      <c r="K177" s="106"/>
      <c r="L177" s="106">
        <f t="shared" si="28"/>
        <v>-2079.5814450450748</v>
      </c>
      <c r="M177" s="110"/>
      <c r="N177" s="110"/>
      <c r="O177" s="110"/>
    </row>
    <row r="178" spans="2:15">
      <c r="C178" s="18">
        <v>2031</v>
      </c>
      <c r="D178" s="106">
        <f t="shared" si="25"/>
        <v>-539.18464611864999</v>
      </c>
      <c r="E178" s="106"/>
      <c r="F178" s="106"/>
      <c r="G178" s="106">
        <f t="shared" si="26"/>
        <v>-1078.3692922373</v>
      </c>
      <c r="H178" s="106"/>
      <c r="I178" s="106">
        <f t="shared" si="27"/>
        <v>-647.02157534237983</v>
      </c>
      <c r="J178" s="106"/>
      <c r="K178" s="106"/>
      <c r="L178" s="106">
        <f t="shared" si="28"/>
        <v>-2264.5755136983298</v>
      </c>
      <c r="M178" s="110"/>
      <c r="N178" s="110"/>
      <c r="O178" s="110"/>
    </row>
    <row r="179" spans="2:15">
      <c r="C179" s="18">
        <v>2032</v>
      </c>
      <c r="D179" s="106">
        <f t="shared" si="25"/>
        <v>-573.98019416917748</v>
      </c>
      <c r="E179" s="106"/>
      <c r="F179" s="106"/>
      <c r="G179" s="106">
        <f t="shared" si="26"/>
        <v>-1147.960388338355</v>
      </c>
      <c r="H179" s="106"/>
      <c r="I179" s="106">
        <f t="shared" si="27"/>
        <v>-688.77623300301286</v>
      </c>
      <c r="J179" s="106"/>
      <c r="K179" s="106"/>
      <c r="L179" s="106">
        <v>0</v>
      </c>
      <c r="M179" s="110"/>
      <c r="N179" s="110"/>
      <c r="O179" s="110"/>
    </row>
    <row r="181" spans="2:15" ht="33" customHeight="1">
      <c r="B181" s="71">
        <v>7</v>
      </c>
      <c r="C181" s="121" t="s">
        <v>108</v>
      </c>
      <c r="D181" s="121"/>
      <c r="E181" s="121"/>
      <c r="F181" s="121"/>
    </row>
    <row r="182" spans="2:15" s="51" customFormat="1" ht="31">
      <c r="B182" s="68"/>
      <c r="C182" s="69"/>
      <c r="D182" s="69"/>
      <c r="E182" s="69"/>
      <c r="F182" s="70"/>
    </row>
    <row r="183" spans="2:15" ht="31">
      <c r="C183" s="67" t="s">
        <v>62</v>
      </c>
      <c r="D183" s="67"/>
      <c r="E183" s="67"/>
      <c r="F183" s="62">
        <v>0.03</v>
      </c>
    </row>
    <row r="184" spans="2:15">
      <c r="C184"/>
      <c r="D184"/>
      <c r="E184"/>
      <c r="F184"/>
    </row>
    <row r="185" spans="2:15">
      <c r="C185" s="61" t="s">
        <v>0</v>
      </c>
      <c r="D185" s="127" t="s">
        <v>63</v>
      </c>
      <c r="E185" s="128"/>
      <c r="F185" s="129"/>
    </row>
    <row r="186" spans="2:15">
      <c r="C186" s="12">
        <v>2022</v>
      </c>
      <c r="D186" s="124">
        <v>30</v>
      </c>
      <c r="E186" s="125"/>
      <c r="F186" s="126"/>
    </row>
    <row r="187" spans="2:15">
      <c r="C187" s="12">
        <v>2023</v>
      </c>
      <c r="D187" s="124">
        <f>D186*(1+$F$183)</f>
        <v>30.900000000000002</v>
      </c>
      <c r="E187" s="125"/>
      <c r="F187" s="126"/>
    </row>
    <row r="188" spans="2:15">
      <c r="C188" s="12">
        <v>2024</v>
      </c>
      <c r="D188" s="124">
        <f t="shared" ref="D188:D196" si="29">D187*(1+$F$183)</f>
        <v>31.827000000000002</v>
      </c>
      <c r="E188" s="125"/>
      <c r="F188" s="126"/>
    </row>
    <row r="189" spans="2:15">
      <c r="C189" s="12">
        <v>2025</v>
      </c>
      <c r="D189" s="124">
        <f t="shared" si="29"/>
        <v>32.78181</v>
      </c>
      <c r="E189" s="125"/>
      <c r="F189" s="126"/>
    </row>
    <row r="190" spans="2:15">
      <c r="C190" s="12">
        <v>2026</v>
      </c>
      <c r="D190" s="124">
        <f t="shared" si="29"/>
        <v>33.765264299999998</v>
      </c>
      <c r="E190" s="125"/>
      <c r="F190" s="126"/>
    </row>
    <row r="191" spans="2:15">
      <c r="C191" s="12">
        <v>2027</v>
      </c>
      <c r="D191" s="124">
        <f t="shared" si="29"/>
        <v>34.778222229000001</v>
      </c>
      <c r="E191" s="125"/>
      <c r="F191" s="126"/>
    </row>
    <row r="192" spans="2:15">
      <c r="C192" s="12">
        <v>2028</v>
      </c>
      <c r="D192" s="124">
        <f t="shared" si="29"/>
        <v>35.821568895870001</v>
      </c>
      <c r="E192" s="125"/>
      <c r="F192" s="126"/>
    </row>
    <row r="193" spans="3:6">
      <c r="C193" s="12">
        <v>2029</v>
      </c>
      <c r="D193" s="124">
        <f t="shared" si="29"/>
        <v>36.896215962746105</v>
      </c>
      <c r="E193" s="125"/>
      <c r="F193" s="126"/>
    </row>
    <row r="194" spans="3:6">
      <c r="C194" s="12">
        <v>2030</v>
      </c>
      <c r="D194" s="124">
        <f t="shared" si="29"/>
        <v>38.003102441628492</v>
      </c>
      <c r="E194" s="125"/>
      <c r="F194" s="126"/>
    </row>
    <row r="195" spans="3:6">
      <c r="C195" s="12">
        <v>2031</v>
      </c>
      <c r="D195" s="124">
        <f t="shared" si="29"/>
        <v>39.143195514877348</v>
      </c>
      <c r="E195" s="125"/>
      <c r="F195" s="126"/>
    </row>
    <row r="196" spans="3:6">
      <c r="C196" s="12">
        <v>2032</v>
      </c>
      <c r="D196" s="124">
        <f t="shared" si="29"/>
        <v>40.317491380323666</v>
      </c>
      <c r="E196" s="125"/>
      <c r="F196" s="126"/>
    </row>
    <row r="198" spans="3:6" ht="37">
      <c r="C198" s="72" t="s">
        <v>64</v>
      </c>
      <c r="D198" s="64"/>
      <c r="E198"/>
    </row>
    <row r="199" spans="3:6">
      <c r="C199"/>
      <c r="D199"/>
      <c r="E199"/>
    </row>
    <row r="200" spans="3:6">
      <c r="C200" s="27" t="s">
        <v>0</v>
      </c>
      <c r="D200" s="127" t="s">
        <v>65</v>
      </c>
      <c r="E200" s="129"/>
    </row>
    <row r="201" spans="3:6">
      <c r="C201" s="12">
        <v>2022</v>
      </c>
      <c r="D201" s="124">
        <f t="shared" ref="D201:D211" si="30">$G$80+D90+M109+G128+L169+D186+G90+D148</f>
        <v>-3771.4985400000005</v>
      </c>
      <c r="E201" s="126"/>
    </row>
    <row r="202" spans="3:6">
      <c r="C202" s="12">
        <v>2023</v>
      </c>
      <c r="D202" s="124">
        <f t="shared" si="30"/>
        <v>-2889.1297697399996</v>
      </c>
      <c r="E202" s="126"/>
    </row>
    <row r="203" spans="3:6">
      <c r="C203" s="12">
        <v>2024</v>
      </c>
      <c r="D203" s="124">
        <f t="shared" si="30"/>
        <v>-3107.7968051406556</v>
      </c>
      <c r="E203" s="126"/>
    </row>
    <row r="204" spans="3:6">
      <c r="C204" s="12">
        <v>2025</v>
      </c>
      <c r="D204" s="124">
        <f t="shared" si="30"/>
        <v>-3350.0921898432853</v>
      </c>
      <c r="E204" s="126"/>
    </row>
    <row r="205" spans="3:6">
      <c r="C205" s="12">
        <v>2026</v>
      </c>
      <c r="D205" s="124">
        <f t="shared" si="30"/>
        <v>-3618.9528826291985</v>
      </c>
      <c r="E205" s="126"/>
    </row>
    <row r="206" spans="3:6">
      <c r="C206" s="12">
        <v>2027</v>
      </c>
      <c r="D206" s="124">
        <f t="shared" si="30"/>
        <v>-3917.7079565328213</v>
      </c>
      <c r="E206" s="126"/>
    </row>
    <row r="207" spans="3:6">
      <c r="C207" s="12">
        <v>2028</v>
      </c>
      <c r="D207" s="124">
        <f t="shared" si="30"/>
        <v>-4250.1330665980786</v>
      </c>
      <c r="E207" s="126"/>
    </row>
    <row r="208" spans="3:6">
      <c r="C208" s="12">
        <v>2029</v>
      </c>
      <c r="D208" s="124">
        <f t="shared" si="30"/>
        <v>-4620.5126614459614</v>
      </c>
      <c r="E208" s="126"/>
    </row>
    <row r="209" spans="3:18">
      <c r="C209" s="12">
        <v>2030</v>
      </c>
      <c r="D209" s="124">
        <f t="shared" si="30"/>
        <v>-5033.7110557457854</v>
      </c>
      <c r="E209" s="126"/>
    </row>
    <row r="210" spans="3:18">
      <c r="C210" s="12">
        <v>2031</v>
      </c>
      <c r="D210" s="124">
        <f t="shared" si="30"/>
        <v>-5495.2536434113608</v>
      </c>
      <c r="E210" s="126"/>
    </row>
    <row r="211" spans="3:18">
      <c r="C211" s="12">
        <v>2032</v>
      </c>
      <c r="D211" s="124">
        <f t="shared" si="30"/>
        <v>-3544.0934206036964</v>
      </c>
      <c r="E211" s="126"/>
    </row>
    <row r="213" spans="3:18" ht="37">
      <c r="C213" s="133" t="s">
        <v>66</v>
      </c>
      <c r="D213" s="133"/>
      <c r="E213" s="133"/>
      <c r="F213" s="133"/>
      <c r="G213" s="133"/>
      <c r="H213"/>
      <c r="I213"/>
      <c r="J213"/>
      <c r="K213"/>
      <c r="L213"/>
      <c r="M213"/>
      <c r="N213"/>
      <c r="O213"/>
      <c r="P213"/>
      <c r="Q213"/>
      <c r="R213"/>
    </row>
    <row r="214" spans="3:18" ht="26">
      <c r="C214" s="24"/>
      <c r="D214" s="24"/>
      <c r="E214" s="24"/>
      <c r="F214" s="24"/>
      <c r="G214" s="24"/>
      <c r="H214"/>
      <c r="I214"/>
      <c r="J214"/>
      <c r="K214"/>
      <c r="L214"/>
      <c r="M214"/>
      <c r="N214"/>
      <c r="O214"/>
      <c r="P214"/>
      <c r="Q214"/>
      <c r="R214"/>
    </row>
    <row r="215" spans="3:18" ht="35">
      <c r="C215" s="73" t="s">
        <v>67</v>
      </c>
      <c r="D215" s="74">
        <v>0.1</v>
      </c>
      <c r="E215" s="24"/>
      <c r="F215" s="24"/>
      <c r="G215" s="24"/>
      <c r="H215"/>
      <c r="I215"/>
      <c r="J215"/>
      <c r="K215"/>
      <c r="L215"/>
      <c r="M215"/>
      <c r="N215"/>
      <c r="O215"/>
      <c r="P215"/>
      <c r="Q215"/>
      <c r="R215"/>
    </row>
    <row r="216" spans="3:18"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/>
      <c r="R216"/>
    </row>
    <row r="217" spans="3:18">
      <c r="C217" s="27" t="s">
        <v>0</v>
      </c>
      <c r="D217" s="130" t="s">
        <v>22</v>
      </c>
      <c r="E217" s="130"/>
      <c r="F217" s="130" t="s">
        <v>65</v>
      </c>
      <c r="G217" s="130"/>
      <c r="H217" s="130" t="s">
        <v>68</v>
      </c>
      <c r="I217" s="130"/>
      <c r="J217" s="130"/>
      <c r="K217" s="130" t="s">
        <v>81</v>
      </c>
      <c r="L217" s="130"/>
      <c r="M217" s="130" t="s">
        <v>69</v>
      </c>
      <c r="N217" s="130"/>
      <c r="O217" s="130"/>
      <c r="P217" s="130"/>
      <c r="Q217" s="130"/>
      <c r="R217"/>
    </row>
    <row r="218" spans="3:18">
      <c r="C218" s="12">
        <v>2022</v>
      </c>
      <c r="D218" s="131">
        <f t="shared" ref="D218:D228" si="31">D66</f>
        <v>5102.3740000000007</v>
      </c>
      <c r="E218" s="132"/>
      <c r="F218" s="131">
        <f>D201</f>
        <v>-3771.4985400000005</v>
      </c>
      <c r="G218" s="132"/>
      <c r="H218" s="131">
        <f t="shared" ref="H218:H228" si="32">D218+F218</f>
        <v>1330.8754600000002</v>
      </c>
      <c r="I218" s="132"/>
      <c r="J218" s="132"/>
      <c r="K218" s="131">
        <f>H218*$D$215</f>
        <v>133.08754600000003</v>
      </c>
      <c r="L218" s="131"/>
      <c r="M218" s="131">
        <f t="shared" ref="M218:M228" si="33">H218-K218</f>
        <v>1197.7879140000002</v>
      </c>
      <c r="N218" s="132"/>
      <c r="O218" s="132"/>
      <c r="P218" s="132"/>
      <c r="Q218" s="132"/>
      <c r="R218"/>
    </row>
    <row r="219" spans="3:18">
      <c r="C219" s="12">
        <v>2023</v>
      </c>
      <c r="D219" s="131">
        <f t="shared" si="31"/>
        <v>5533.4750939999994</v>
      </c>
      <c r="E219" s="132"/>
      <c r="F219" s="131">
        <f t="shared" ref="F219:F228" si="34">D202</f>
        <v>-2889.1297697399996</v>
      </c>
      <c r="G219" s="132"/>
      <c r="H219" s="131">
        <f t="shared" si="32"/>
        <v>2644.3453242599999</v>
      </c>
      <c r="I219" s="132"/>
      <c r="J219" s="132"/>
      <c r="K219" s="131">
        <f t="shared" ref="K219:K228" si="35">H219*$D$215</f>
        <v>264.43453242599998</v>
      </c>
      <c r="L219" s="131"/>
      <c r="M219" s="131">
        <f t="shared" si="33"/>
        <v>2379.9107918340001</v>
      </c>
      <c r="N219" s="132"/>
      <c r="O219" s="132"/>
      <c r="P219" s="132"/>
      <c r="Q219" s="132"/>
      <c r="R219"/>
    </row>
    <row r="220" spans="3:18">
      <c r="C220" s="12">
        <v>2024</v>
      </c>
      <c r="D220" s="131">
        <f t="shared" si="31"/>
        <v>6003.9943101936005</v>
      </c>
      <c r="E220" s="132"/>
      <c r="F220" s="131">
        <f t="shared" si="34"/>
        <v>-3107.7968051406556</v>
      </c>
      <c r="G220" s="132"/>
      <c r="H220" s="131">
        <f t="shared" si="32"/>
        <v>2896.197505052945</v>
      </c>
      <c r="I220" s="132"/>
      <c r="J220" s="132"/>
      <c r="K220" s="131">
        <f t="shared" si="35"/>
        <v>289.61975050529452</v>
      </c>
      <c r="L220" s="131"/>
      <c r="M220" s="131">
        <f t="shared" si="33"/>
        <v>2606.5777545476503</v>
      </c>
      <c r="N220" s="132"/>
      <c r="O220" s="132"/>
      <c r="P220" s="132"/>
      <c r="Q220" s="132"/>
      <c r="R220"/>
    </row>
    <row r="221" spans="3:18">
      <c r="C221" s="12">
        <v>2025</v>
      </c>
      <c r="D221" s="131">
        <f t="shared" si="31"/>
        <v>6517.8070230632648</v>
      </c>
      <c r="E221" s="132"/>
      <c r="F221" s="131">
        <f t="shared" si="34"/>
        <v>-3350.0921898432853</v>
      </c>
      <c r="G221" s="132"/>
      <c r="H221" s="131">
        <f t="shared" si="32"/>
        <v>3167.7148332199795</v>
      </c>
      <c r="I221" s="132"/>
      <c r="J221" s="132"/>
      <c r="K221" s="131">
        <f t="shared" si="35"/>
        <v>316.77148332199795</v>
      </c>
      <c r="L221" s="131"/>
      <c r="M221" s="131">
        <f t="shared" si="33"/>
        <v>2850.9433498979815</v>
      </c>
      <c r="N221" s="132"/>
      <c r="O221" s="132"/>
      <c r="P221" s="132"/>
      <c r="Q221" s="132"/>
      <c r="R221"/>
    </row>
    <row r="222" spans="3:18">
      <c r="C222" s="12">
        <v>2026</v>
      </c>
      <c r="D222" s="131">
        <f t="shared" si="31"/>
        <v>7079.1923407342802</v>
      </c>
      <c r="E222" s="132"/>
      <c r="F222" s="131">
        <f t="shared" si="34"/>
        <v>-3618.9528826291985</v>
      </c>
      <c r="G222" s="132"/>
      <c r="H222" s="131">
        <f t="shared" si="32"/>
        <v>3460.2394581050817</v>
      </c>
      <c r="I222" s="132"/>
      <c r="J222" s="132"/>
      <c r="K222" s="131">
        <f t="shared" si="35"/>
        <v>346.02394581050817</v>
      </c>
      <c r="L222" s="131"/>
      <c r="M222" s="131">
        <f t="shared" si="33"/>
        <v>3114.2155122945733</v>
      </c>
      <c r="N222" s="132"/>
      <c r="O222" s="132"/>
      <c r="P222" s="132"/>
      <c r="Q222" s="132"/>
      <c r="R222"/>
    </row>
    <row r="223" spans="3:18">
      <c r="C223" s="12">
        <v>2027</v>
      </c>
      <c r="D223" s="131">
        <f t="shared" si="31"/>
        <v>7692.8769413390346</v>
      </c>
      <c r="E223" s="132"/>
      <c r="F223" s="131">
        <f t="shared" si="34"/>
        <v>-3917.7079565328213</v>
      </c>
      <c r="G223" s="132"/>
      <c r="H223" s="131">
        <f t="shared" si="32"/>
        <v>3775.1689848062133</v>
      </c>
      <c r="I223" s="132"/>
      <c r="J223" s="132"/>
      <c r="K223" s="131">
        <f t="shared" si="35"/>
        <v>377.51689848062136</v>
      </c>
      <c r="L223" s="131"/>
      <c r="M223" s="131">
        <f t="shared" si="33"/>
        <v>3397.6520863255919</v>
      </c>
      <c r="N223" s="132"/>
      <c r="O223" s="132"/>
      <c r="P223" s="132"/>
      <c r="Q223" s="132"/>
      <c r="R223"/>
    </row>
    <row r="224" spans="3:18">
      <c r="C224" s="12">
        <v>2028</v>
      </c>
      <c r="D224" s="131">
        <f t="shared" si="31"/>
        <v>8364.0838003136396</v>
      </c>
      <c r="E224" s="132"/>
      <c r="F224" s="131">
        <f t="shared" si="34"/>
        <v>-4250.1330665980786</v>
      </c>
      <c r="G224" s="132"/>
      <c r="H224" s="131">
        <f t="shared" si="32"/>
        <v>4113.950733715561</v>
      </c>
      <c r="I224" s="132"/>
      <c r="J224" s="132"/>
      <c r="K224" s="131">
        <f t="shared" si="35"/>
        <v>411.39507337155612</v>
      </c>
      <c r="L224" s="131"/>
      <c r="M224" s="131">
        <f t="shared" si="33"/>
        <v>3702.555660344005</v>
      </c>
      <c r="N224" s="132"/>
      <c r="O224" s="132"/>
      <c r="P224" s="132"/>
      <c r="Q224" s="132"/>
      <c r="R224"/>
    </row>
    <row r="225" spans="3:18">
      <c r="C225" s="12">
        <v>2029</v>
      </c>
      <c r="D225" s="131">
        <f t="shared" si="31"/>
        <v>9098.5863636703089</v>
      </c>
      <c r="E225" s="132"/>
      <c r="F225" s="131">
        <f t="shared" si="34"/>
        <v>-4620.5126614459614</v>
      </c>
      <c r="G225" s="132"/>
      <c r="H225" s="131">
        <f t="shared" si="32"/>
        <v>4478.0737022243475</v>
      </c>
      <c r="I225" s="132"/>
      <c r="J225" s="132"/>
      <c r="K225" s="131">
        <f t="shared" si="35"/>
        <v>447.80737022243477</v>
      </c>
      <c r="L225" s="131"/>
      <c r="M225" s="131">
        <f t="shared" si="33"/>
        <v>4030.2663320019128</v>
      </c>
      <c r="N225" s="132"/>
      <c r="O225" s="132"/>
      <c r="P225" s="132"/>
      <c r="Q225" s="132"/>
      <c r="R225"/>
    </row>
    <row r="226" spans="3:18">
      <c r="C226" s="12">
        <v>2030</v>
      </c>
      <c r="D226" s="131">
        <f t="shared" si="31"/>
        <v>9902.7687859289272</v>
      </c>
      <c r="E226" s="132"/>
      <c r="F226" s="131">
        <f t="shared" si="34"/>
        <v>-5033.7110557457854</v>
      </c>
      <c r="G226" s="132"/>
      <c r="H226" s="131">
        <f t="shared" si="32"/>
        <v>4869.0577301831418</v>
      </c>
      <c r="I226" s="132"/>
      <c r="J226" s="132"/>
      <c r="K226" s="131">
        <f t="shared" si="35"/>
        <v>486.90577301831422</v>
      </c>
      <c r="L226" s="131"/>
      <c r="M226" s="131">
        <f t="shared" si="33"/>
        <v>4382.1519571648278</v>
      </c>
      <c r="N226" s="132"/>
      <c r="O226" s="132"/>
      <c r="P226" s="132"/>
      <c r="Q226" s="132"/>
      <c r="R226"/>
    </row>
    <row r="227" spans="3:18">
      <c r="C227" s="12">
        <v>2031</v>
      </c>
      <c r="D227" s="131">
        <f t="shared" si="31"/>
        <v>10783.692922372999</v>
      </c>
      <c r="E227" s="132"/>
      <c r="F227" s="131">
        <f t="shared" si="34"/>
        <v>-5495.2536434113608</v>
      </c>
      <c r="G227" s="132"/>
      <c r="H227" s="131">
        <f t="shared" si="32"/>
        <v>5288.4392789616377</v>
      </c>
      <c r="I227" s="132"/>
      <c r="J227" s="132"/>
      <c r="K227" s="131">
        <f t="shared" si="35"/>
        <v>528.84392789616379</v>
      </c>
      <c r="L227" s="131"/>
      <c r="M227" s="131">
        <f t="shared" si="33"/>
        <v>4759.5953510654736</v>
      </c>
      <c r="N227" s="132"/>
      <c r="O227" s="132"/>
      <c r="P227" s="132"/>
      <c r="Q227" s="132"/>
      <c r="R227"/>
    </row>
    <row r="228" spans="3:18">
      <c r="C228" s="12">
        <v>2032</v>
      </c>
      <c r="D228" s="131">
        <f t="shared" si="31"/>
        <v>11479.603883383548</v>
      </c>
      <c r="E228" s="132"/>
      <c r="F228" s="131">
        <f t="shared" si="34"/>
        <v>-3544.0934206036964</v>
      </c>
      <c r="G228" s="132"/>
      <c r="H228" s="131">
        <f t="shared" si="32"/>
        <v>7935.5104627798519</v>
      </c>
      <c r="I228" s="132"/>
      <c r="J228" s="132"/>
      <c r="K228" s="131">
        <f t="shared" si="35"/>
        <v>793.55104627798528</v>
      </c>
      <c r="L228" s="131"/>
      <c r="M228" s="131">
        <f t="shared" si="33"/>
        <v>7141.9594165018661</v>
      </c>
      <c r="N228" s="132"/>
      <c r="O228" s="132"/>
      <c r="P228" s="132"/>
      <c r="Q228" s="132"/>
      <c r="R228"/>
    </row>
  </sheetData>
  <mergeCells count="377">
    <mergeCell ref="D225:E225"/>
    <mergeCell ref="F225:G225"/>
    <mergeCell ref="H225:J225"/>
    <mergeCell ref="K225:L225"/>
    <mergeCell ref="M225:Q225"/>
    <mergeCell ref="D226:E226"/>
    <mergeCell ref="F226:G226"/>
    <mergeCell ref="H226:J226"/>
    <mergeCell ref="K226:L226"/>
    <mergeCell ref="M226:Q226"/>
    <mergeCell ref="D227:E227"/>
    <mergeCell ref="F227:G227"/>
    <mergeCell ref="H227:J227"/>
    <mergeCell ref="K227:L227"/>
    <mergeCell ref="M227:Q227"/>
    <mergeCell ref="D228:E228"/>
    <mergeCell ref="F228:G228"/>
    <mergeCell ref="H228:J228"/>
    <mergeCell ref="K228:L228"/>
    <mergeCell ref="M228:Q228"/>
    <mergeCell ref="H223:J223"/>
    <mergeCell ref="K223:L223"/>
    <mergeCell ref="M223:Q223"/>
    <mergeCell ref="D224:E224"/>
    <mergeCell ref="F224:G224"/>
    <mergeCell ref="H224:J224"/>
    <mergeCell ref="K224:L224"/>
    <mergeCell ref="M224:Q224"/>
    <mergeCell ref="D221:E221"/>
    <mergeCell ref="F221:G221"/>
    <mergeCell ref="H221:J221"/>
    <mergeCell ref="K221:L221"/>
    <mergeCell ref="M221:Q221"/>
    <mergeCell ref="D222:E222"/>
    <mergeCell ref="F222:G222"/>
    <mergeCell ref="H222:J222"/>
    <mergeCell ref="K222:L222"/>
    <mergeCell ref="M222:Q222"/>
    <mergeCell ref="D223:E223"/>
    <mergeCell ref="F223:G223"/>
    <mergeCell ref="D219:E219"/>
    <mergeCell ref="F219:G219"/>
    <mergeCell ref="H219:J219"/>
    <mergeCell ref="K219:L219"/>
    <mergeCell ref="M219:Q219"/>
    <mergeCell ref="D220:E220"/>
    <mergeCell ref="F220:G220"/>
    <mergeCell ref="H220:J220"/>
    <mergeCell ref="K220:L220"/>
    <mergeCell ref="M220:Q220"/>
    <mergeCell ref="M217:Q217"/>
    <mergeCell ref="D218:E218"/>
    <mergeCell ref="F218:G218"/>
    <mergeCell ref="H218:J218"/>
    <mergeCell ref="K218:L218"/>
    <mergeCell ref="M218:Q218"/>
    <mergeCell ref="D211:E211"/>
    <mergeCell ref="C213:G213"/>
    <mergeCell ref="D217:E217"/>
    <mergeCell ref="F217:G217"/>
    <mergeCell ref="H217:J217"/>
    <mergeCell ref="K217:L217"/>
    <mergeCell ref="D205:E205"/>
    <mergeCell ref="D206:E206"/>
    <mergeCell ref="D207:E207"/>
    <mergeCell ref="D208:E208"/>
    <mergeCell ref="D209:E209"/>
    <mergeCell ref="D210:E210"/>
    <mergeCell ref="D196:F196"/>
    <mergeCell ref="D200:E200"/>
    <mergeCell ref="D201:E201"/>
    <mergeCell ref="D202:E202"/>
    <mergeCell ref="D203:E203"/>
    <mergeCell ref="D204:E204"/>
    <mergeCell ref="D190:F190"/>
    <mergeCell ref="D191:F191"/>
    <mergeCell ref="D192:F192"/>
    <mergeCell ref="D193:F193"/>
    <mergeCell ref="D194:F194"/>
    <mergeCell ref="D195:F195"/>
    <mergeCell ref="D185:F185"/>
    <mergeCell ref="D186:F186"/>
    <mergeCell ref="D187:F187"/>
    <mergeCell ref="D188:F188"/>
    <mergeCell ref="D189:F189"/>
    <mergeCell ref="C181:F181"/>
    <mergeCell ref="C160:K160"/>
    <mergeCell ref="C162:D162"/>
    <mergeCell ref="D178:F178"/>
    <mergeCell ref="G178:H178"/>
    <mergeCell ref="I178:K178"/>
    <mergeCell ref="L178:O178"/>
    <mergeCell ref="D179:F179"/>
    <mergeCell ref="G179:H179"/>
    <mergeCell ref="I179:K179"/>
    <mergeCell ref="L179:O179"/>
    <mergeCell ref="D176:F176"/>
    <mergeCell ref="G176:H176"/>
    <mergeCell ref="I176:K176"/>
    <mergeCell ref="L176:O176"/>
    <mergeCell ref="D177:F177"/>
    <mergeCell ref="G177:H177"/>
    <mergeCell ref="I177:K177"/>
    <mergeCell ref="L177:O177"/>
    <mergeCell ref="D174:F174"/>
    <mergeCell ref="G174:H174"/>
    <mergeCell ref="I174:K174"/>
    <mergeCell ref="L174:O174"/>
    <mergeCell ref="D175:F175"/>
    <mergeCell ref="G175:H175"/>
    <mergeCell ref="I175:K175"/>
    <mergeCell ref="L175:O175"/>
    <mergeCell ref="D172:F172"/>
    <mergeCell ref="G172:H172"/>
    <mergeCell ref="I172:K172"/>
    <mergeCell ref="L172:O172"/>
    <mergeCell ref="D173:F173"/>
    <mergeCell ref="G173:H173"/>
    <mergeCell ref="I173:K173"/>
    <mergeCell ref="L173:O173"/>
    <mergeCell ref="D170:F170"/>
    <mergeCell ref="G170:H170"/>
    <mergeCell ref="I170:K170"/>
    <mergeCell ref="L170:O170"/>
    <mergeCell ref="D171:F171"/>
    <mergeCell ref="G171:H171"/>
    <mergeCell ref="I171:K171"/>
    <mergeCell ref="L171:O171"/>
    <mergeCell ref="D168:F168"/>
    <mergeCell ref="G168:H168"/>
    <mergeCell ref="I168:K168"/>
    <mergeCell ref="L168:O168"/>
    <mergeCell ref="D169:F169"/>
    <mergeCell ref="G169:H169"/>
    <mergeCell ref="I169:K169"/>
    <mergeCell ref="L169:O169"/>
    <mergeCell ref="D156:F156"/>
    <mergeCell ref="G156:J156"/>
    <mergeCell ref="D157:F157"/>
    <mergeCell ref="G157:J157"/>
    <mergeCell ref="D158:F158"/>
    <mergeCell ref="G158:J158"/>
    <mergeCell ref="D153:F153"/>
    <mergeCell ref="G153:J153"/>
    <mergeCell ref="D154:F154"/>
    <mergeCell ref="G154:J154"/>
    <mergeCell ref="D155:F155"/>
    <mergeCell ref="G155:J155"/>
    <mergeCell ref="D150:F150"/>
    <mergeCell ref="G150:J150"/>
    <mergeCell ref="D151:F151"/>
    <mergeCell ref="G151:J151"/>
    <mergeCell ref="D152:F152"/>
    <mergeCell ref="G152:J152"/>
    <mergeCell ref="D147:F147"/>
    <mergeCell ref="G147:J147"/>
    <mergeCell ref="D148:F148"/>
    <mergeCell ref="G148:J148"/>
    <mergeCell ref="D149:F149"/>
    <mergeCell ref="G149:J149"/>
    <mergeCell ref="D138:F138"/>
    <mergeCell ref="G138:H138"/>
    <mergeCell ref="C142:H142"/>
    <mergeCell ref="C143:H143"/>
    <mergeCell ref="C144:H144"/>
    <mergeCell ref="C145:H145"/>
    <mergeCell ref="C140:D140"/>
    <mergeCell ref="D135:F135"/>
    <mergeCell ref="G135:H135"/>
    <mergeCell ref="D136:F136"/>
    <mergeCell ref="G136:H136"/>
    <mergeCell ref="D137:F137"/>
    <mergeCell ref="G137:H137"/>
    <mergeCell ref="D132:F132"/>
    <mergeCell ref="G132:H132"/>
    <mergeCell ref="D133:F133"/>
    <mergeCell ref="G133:H133"/>
    <mergeCell ref="D134:F134"/>
    <mergeCell ref="G134:H134"/>
    <mergeCell ref="D129:F129"/>
    <mergeCell ref="G129:H129"/>
    <mergeCell ref="D130:F130"/>
    <mergeCell ref="G130:H130"/>
    <mergeCell ref="D131:F131"/>
    <mergeCell ref="G131:H131"/>
    <mergeCell ref="C124:F124"/>
    <mergeCell ref="C125:F125"/>
    <mergeCell ref="D127:F127"/>
    <mergeCell ref="G127:H127"/>
    <mergeCell ref="D128:F128"/>
    <mergeCell ref="G128:H128"/>
    <mergeCell ref="D119:F119"/>
    <mergeCell ref="G119:I119"/>
    <mergeCell ref="J119:L119"/>
    <mergeCell ref="M119:O119"/>
    <mergeCell ref="C123:F123"/>
    <mergeCell ref="C121:G121"/>
    <mergeCell ref="D117:F117"/>
    <mergeCell ref="G117:I117"/>
    <mergeCell ref="J117:L117"/>
    <mergeCell ref="M117:O117"/>
    <mergeCell ref="D118:F118"/>
    <mergeCell ref="G118:I118"/>
    <mergeCell ref="J118:L118"/>
    <mergeCell ref="M118:O118"/>
    <mergeCell ref="D115:F115"/>
    <mergeCell ref="G115:I115"/>
    <mergeCell ref="J115:L115"/>
    <mergeCell ref="M115:O115"/>
    <mergeCell ref="D116:F116"/>
    <mergeCell ref="G116:I116"/>
    <mergeCell ref="J116:L116"/>
    <mergeCell ref="M116:O116"/>
    <mergeCell ref="D113:F113"/>
    <mergeCell ref="G113:I113"/>
    <mergeCell ref="J113:L113"/>
    <mergeCell ref="M113:O113"/>
    <mergeCell ref="D114:F114"/>
    <mergeCell ref="G114:I114"/>
    <mergeCell ref="J114:L114"/>
    <mergeCell ref="M114:O114"/>
    <mergeCell ref="D111:F111"/>
    <mergeCell ref="G111:I111"/>
    <mergeCell ref="J111:L111"/>
    <mergeCell ref="M111:O111"/>
    <mergeCell ref="D112:F112"/>
    <mergeCell ref="G112:I112"/>
    <mergeCell ref="J112:L112"/>
    <mergeCell ref="M112:O112"/>
    <mergeCell ref="D109:F109"/>
    <mergeCell ref="G109:I109"/>
    <mergeCell ref="J109:L109"/>
    <mergeCell ref="M109:O109"/>
    <mergeCell ref="D110:F110"/>
    <mergeCell ref="G110:I110"/>
    <mergeCell ref="J110:L110"/>
    <mergeCell ref="M110:O110"/>
    <mergeCell ref="C105:F105"/>
    <mergeCell ref="C106:F106"/>
    <mergeCell ref="D108:F108"/>
    <mergeCell ref="G108:I108"/>
    <mergeCell ref="J108:L108"/>
    <mergeCell ref="M108:O108"/>
    <mergeCell ref="D99:F99"/>
    <mergeCell ref="G99:H99"/>
    <mergeCell ref="D100:F100"/>
    <mergeCell ref="G100:H100"/>
    <mergeCell ref="C102:F102"/>
    <mergeCell ref="C104:F104"/>
    <mergeCell ref="D96:F96"/>
    <mergeCell ref="G96:H96"/>
    <mergeCell ref="D97:F97"/>
    <mergeCell ref="G97:H97"/>
    <mergeCell ref="D98:F98"/>
    <mergeCell ref="G98:H98"/>
    <mergeCell ref="D93:F93"/>
    <mergeCell ref="G93:H93"/>
    <mergeCell ref="D94:F94"/>
    <mergeCell ref="G94:H94"/>
    <mergeCell ref="D95:F95"/>
    <mergeCell ref="G95:H95"/>
    <mergeCell ref="G89:H89"/>
    <mergeCell ref="D90:F90"/>
    <mergeCell ref="G90:H90"/>
    <mergeCell ref="D91:F91"/>
    <mergeCell ref="G91:H91"/>
    <mergeCell ref="D92:F92"/>
    <mergeCell ref="G92:H92"/>
    <mergeCell ref="C84:F84"/>
    <mergeCell ref="C85:F85"/>
    <mergeCell ref="C86:F86"/>
    <mergeCell ref="C87:F87"/>
    <mergeCell ref="D89:F89"/>
    <mergeCell ref="D74:E74"/>
    <mergeCell ref="D75:E75"/>
    <mergeCell ref="D76:E76"/>
    <mergeCell ref="D68:E68"/>
    <mergeCell ref="D69:E69"/>
    <mergeCell ref="D70:E70"/>
    <mergeCell ref="D71:E71"/>
    <mergeCell ref="D72:E72"/>
    <mergeCell ref="D73:E73"/>
    <mergeCell ref="D61:F61"/>
    <mergeCell ref="I61:J61"/>
    <mergeCell ref="C63:E63"/>
    <mergeCell ref="D65:E65"/>
    <mergeCell ref="D66:E66"/>
    <mergeCell ref="D67:E67"/>
    <mergeCell ref="D58:F58"/>
    <mergeCell ref="I58:J58"/>
    <mergeCell ref="D59:F59"/>
    <mergeCell ref="I59:J59"/>
    <mergeCell ref="D60:F60"/>
    <mergeCell ref="I60:J60"/>
    <mergeCell ref="D55:F55"/>
    <mergeCell ref="I55:J55"/>
    <mergeCell ref="D56:F56"/>
    <mergeCell ref="I56:J56"/>
    <mergeCell ref="D57:F57"/>
    <mergeCell ref="I57:J57"/>
    <mergeCell ref="D52:F52"/>
    <mergeCell ref="I52:J52"/>
    <mergeCell ref="D53:F53"/>
    <mergeCell ref="I53:J53"/>
    <mergeCell ref="D54:F54"/>
    <mergeCell ref="I54:J54"/>
    <mergeCell ref="C45:F45"/>
    <mergeCell ref="C47:F47"/>
    <mergeCell ref="D49:F49"/>
    <mergeCell ref="I49:J49"/>
    <mergeCell ref="D51:F51"/>
    <mergeCell ref="I51:J51"/>
    <mergeCell ref="D50:F50"/>
    <mergeCell ref="I50:J50"/>
    <mergeCell ref="D41:G41"/>
    <mergeCell ref="I41:J41"/>
    <mergeCell ref="K41:L41"/>
    <mergeCell ref="Q41:T41"/>
    <mergeCell ref="C27:G27"/>
    <mergeCell ref="C26:G26"/>
    <mergeCell ref="D39:G39"/>
    <mergeCell ref="I39:J39"/>
    <mergeCell ref="K39:L39"/>
    <mergeCell ref="Q39:T39"/>
    <mergeCell ref="D40:G40"/>
    <mergeCell ref="I40:J40"/>
    <mergeCell ref="K40:L40"/>
    <mergeCell ref="Q40:T40"/>
    <mergeCell ref="D37:G37"/>
    <mergeCell ref="I37:J37"/>
    <mergeCell ref="K37:L37"/>
    <mergeCell ref="Q37:T37"/>
    <mergeCell ref="D38:G38"/>
    <mergeCell ref="I38:J38"/>
    <mergeCell ref="K38:L38"/>
    <mergeCell ref="Q38:T38"/>
    <mergeCell ref="D35:G35"/>
    <mergeCell ref="I35:J35"/>
    <mergeCell ref="K35:L35"/>
    <mergeCell ref="Q35:T35"/>
    <mergeCell ref="D36:G36"/>
    <mergeCell ref="I36:J36"/>
    <mergeCell ref="K36:L36"/>
    <mergeCell ref="Q36:T36"/>
    <mergeCell ref="D33:G33"/>
    <mergeCell ref="I33:J33"/>
    <mergeCell ref="K33:L33"/>
    <mergeCell ref="Q33:T33"/>
    <mergeCell ref="D34:G34"/>
    <mergeCell ref="I34:J34"/>
    <mergeCell ref="K34:L34"/>
    <mergeCell ref="Q34:T34"/>
    <mergeCell ref="Q30:T30"/>
    <mergeCell ref="D31:G31"/>
    <mergeCell ref="I31:J31"/>
    <mergeCell ref="K31:L31"/>
    <mergeCell ref="Q31:T31"/>
    <mergeCell ref="D32:G32"/>
    <mergeCell ref="I32:J32"/>
    <mergeCell ref="K32:L32"/>
    <mergeCell ref="Q32:T32"/>
    <mergeCell ref="C14:H14"/>
    <mergeCell ref="D30:G30"/>
    <mergeCell ref="I30:J30"/>
    <mergeCell ref="K30:L30"/>
    <mergeCell ref="E1:K3"/>
    <mergeCell ref="C23:G23"/>
    <mergeCell ref="C24:G24"/>
    <mergeCell ref="C16:G16"/>
    <mergeCell ref="C17:G17"/>
    <mergeCell ref="C18:G18"/>
    <mergeCell ref="C19:G19"/>
    <mergeCell ref="C21:G21"/>
    <mergeCell ref="C22:G22"/>
    <mergeCell ref="E4:K6"/>
    <mergeCell ref="E7:K9"/>
    <mergeCell ref="I10:K1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D2493C-9643-8742-BA73-EB47474C193D}">
  <dimension ref="A2:P69"/>
  <sheetViews>
    <sheetView workbookViewId="0">
      <selection activeCell="J15" sqref="J15"/>
    </sheetView>
  </sheetViews>
  <sheetFormatPr baseColWidth="10" defaultColWidth="6.625" defaultRowHeight="21"/>
  <cols>
    <col min="4" max="4" width="11.625" customWidth="1"/>
    <col min="5" max="5" width="8.75" bestFit="1" customWidth="1"/>
    <col min="6" max="6" width="11.25" bestFit="1" customWidth="1"/>
    <col min="8" max="8" width="11.875" bestFit="1" customWidth="1"/>
    <col min="10" max="10" width="10.75" customWidth="1"/>
    <col min="11" max="11" width="22.625" bestFit="1" customWidth="1"/>
    <col min="13" max="14" width="7.875" bestFit="1" customWidth="1"/>
  </cols>
  <sheetData>
    <row r="2" spans="1:13" ht="30">
      <c r="D2" s="134" t="s">
        <v>70</v>
      </c>
      <c r="E2" s="134"/>
      <c r="F2" s="134"/>
      <c r="G2" s="134"/>
      <c r="H2" s="134"/>
      <c r="I2" s="134"/>
      <c r="J2" s="134"/>
    </row>
    <row r="4" spans="1:13">
      <c r="B4" s="138" t="s">
        <v>71</v>
      </c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</row>
    <row r="5" spans="1:13">
      <c r="B5" s="25"/>
    </row>
    <row r="6" spans="1:13">
      <c r="B6" s="139" t="s">
        <v>72</v>
      </c>
      <c r="C6" s="139"/>
      <c r="D6" s="139"/>
      <c r="E6" s="139"/>
      <c r="F6" s="139"/>
      <c r="G6" s="139"/>
      <c r="H6" s="96">
        <v>0.11</v>
      </c>
    </row>
    <row r="7" spans="1:13">
      <c r="A7" s="1"/>
      <c r="B7" s="137" t="s">
        <v>73</v>
      </c>
      <c r="C7" s="137"/>
      <c r="D7" s="137"/>
      <c r="E7" s="137"/>
      <c r="F7" s="137"/>
      <c r="G7" s="137"/>
      <c r="H7" s="97">
        <f>719.292</f>
        <v>719.29200000000003</v>
      </c>
    </row>
    <row r="8" spans="1:13">
      <c r="A8" s="1"/>
      <c r="B8" s="137" t="s">
        <v>74</v>
      </c>
      <c r="C8" s="137"/>
      <c r="D8" s="137"/>
      <c r="E8" s="137"/>
      <c r="F8" s="137"/>
      <c r="G8" s="137"/>
      <c r="H8" s="97">
        <f>H7*(1+H6)</f>
        <v>798.41412000000014</v>
      </c>
    </row>
    <row r="9" spans="1:13">
      <c r="A9" s="1"/>
      <c r="B9" s="137" t="s">
        <v>75</v>
      </c>
      <c r="C9" s="137"/>
      <c r="D9" s="137"/>
      <c r="E9" s="137"/>
      <c r="F9" s="137"/>
      <c r="G9" s="137"/>
      <c r="H9" s="97">
        <v>200</v>
      </c>
    </row>
    <row r="10" spans="1:13">
      <c r="A10" s="1"/>
      <c r="B10" s="137" t="s">
        <v>76</v>
      </c>
      <c r="C10" s="137"/>
      <c r="D10" s="137"/>
      <c r="E10" s="137"/>
      <c r="F10" s="137"/>
      <c r="G10" s="137"/>
      <c r="H10" s="97">
        <f>646.37</f>
        <v>646.37</v>
      </c>
    </row>
    <row r="11" spans="1:13">
      <c r="A11" s="1"/>
    </row>
    <row r="12" spans="1:13">
      <c r="A12" s="1"/>
      <c r="B12" s="140" t="s">
        <v>77</v>
      </c>
      <c r="C12" s="140"/>
      <c r="D12" s="140"/>
      <c r="E12" s="140"/>
      <c r="F12" s="140"/>
      <c r="G12" s="140"/>
      <c r="H12" s="77">
        <f>H8+H9+H10</f>
        <v>1644.7841200000003</v>
      </c>
    </row>
    <row r="13" spans="1:13">
      <c r="A13" s="1"/>
    </row>
    <row r="14" spans="1:13">
      <c r="A14" s="1"/>
      <c r="B14" s="137" t="s">
        <v>78</v>
      </c>
      <c r="C14" s="137"/>
      <c r="D14" s="137"/>
      <c r="E14" s="137"/>
      <c r="F14" s="137"/>
      <c r="G14" s="137"/>
      <c r="H14" s="94">
        <v>11479.603999999999</v>
      </c>
      <c r="I14" s="95"/>
    </row>
    <row r="15" spans="1:13">
      <c r="A15" s="1"/>
      <c r="B15" s="137" t="s">
        <v>79</v>
      </c>
      <c r="C15" s="137"/>
      <c r="D15" s="137"/>
      <c r="E15" s="137"/>
      <c r="F15" s="137"/>
      <c r="G15" s="137"/>
      <c r="H15" s="64">
        <v>-3771.4985400000005</v>
      </c>
    </row>
    <row r="16" spans="1:13">
      <c r="A16" s="1"/>
      <c r="B16" s="137" t="s">
        <v>80</v>
      </c>
      <c r="C16" s="137"/>
      <c r="D16" s="137"/>
      <c r="E16" s="137"/>
      <c r="F16" s="137"/>
      <c r="G16" s="137"/>
      <c r="H16" s="64">
        <f>H14+H15+H12</f>
        <v>9352.8895799999991</v>
      </c>
    </row>
    <row r="17" spans="2:15">
      <c r="B17" s="137" t="s">
        <v>81</v>
      </c>
      <c r="C17" s="137"/>
      <c r="D17" s="137"/>
      <c r="E17" s="137"/>
      <c r="F17" s="137"/>
      <c r="G17" s="137"/>
      <c r="H17" s="64">
        <f>10%*H16</f>
        <v>935.28895799999998</v>
      </c>
    </row>
    <row r="18" spans="2:15">
      <c r="B18" s="137" t="s">
        <v>82</v>
      </c>
      <c r="C18" s="137"/>
      <c r="D18" s="137"/>
      <c r="E18" s="137"/>
      <c r="F18" s="137"/>
      <c r="G18" s="137"/>
      <c r="H18" s="64">
        <f>H16-H17</f>
        <v>8417.6006219999999</v>
      </c>
    </row>
    <row r="19" spans="2:15">
      <c r="B19" s="26"/>
      <c r="C19" s="26"/>
      <c r="D19" s="26"/>
      <c r="E19" s="26"/>
      <c r="F19" s="26"/>
      <c r="G19" s="26"/>
    </row>
    <row r="20" spans="2:15" ht="30">
      <c r="B20" s="135" t="s">
        <v>83</v>
      </c>
      <c r="C20" s="135"/>
      <c r="D20" s="135"/>
      <c r="E20" s="26"/>
      <c r="F20" s="26"/>
      <c r="G20" s="26"/>
    </row>
    <row r="21" spans="2:15">
      <c r="B21" s="137" t="s">
        <v>84</v>
      </c>
      <c r="C21" s="137"/>
      <c r="D21" s="137"/>
      <c r="E21" s="137"/>
      <c r="F21" s="76">
        <v>-150</v>
      </c>
      <c r="G21" s="26"/>
    </row>
    <row r="22" spans="2:15">
      <c r="B22" s="137" t="s">
        <v>85</v>
      </c>
      <c r="C22" s="137"/>
      <c r="D22" s="137"/>
      <c r="E22" s="137"/>
      <c r="F22" s="76">
        <v>-1000</v>
      </c>
      <c r="G22" s="26"/>
    </row>
    <row r="23" spans="2:15">
      <c r="B23" s="137" t="s">
        <v>86</v>
      </c>
      <c r="C23" s="137"/>
      <c r="D23" s="137"/>
      <c r="E23" s="137"/>
      <c r="F23" s="76">
        <v>-500</v>
      </c>
      <c r="G23" s="26"/>
    </row>
    <row r="24" spans="2:15">
      <c r="B24" s="137" t="s">
        <v>87</v>
      </c>
      <c r="C24" s="137"/>
      <c r="D24" s="137"/>
      <c r="E24" s="137"/>
      <c r="F24" s="76">
        <v>-480</v>
      </c>
      <c r="G24" s="26"/>
    </row>
    <row r="25" spans="2:15">
      <c r="B25" s="137" t="s">
        <v>88</v>
      </c>
      <c r="C25" s="137"/>
      <c r="D25" s="137"/>
      <c r="E25" s="137"/>
      <c r="F25" s="80">
        <v>-1071.4985400000003</v>
      </c>
      <c r="G25" s="26"/>
    </row>
    <row r="26" spans="2:15">
      <c r="B26" s="137" t="s">
        <v>89</v>
      </c>
      <c r="C26" s="137"/>
      <c r="D26" s="137"/>
      <c r="E26" s="137"/>
      <c r="F26" s="76">
        <v>30</v>
      </c>
      <c r="G26" s="26"/>
    </row>
    <row r="27" spans="2:15" ht="26">
      <c r="B27" s="84" t="s">
        <v>90</v>
      </c>
      <c r="C27" s="85"/>
      <c r="D27" s="85"/>
      <c r="E27" s="85"/>
      <c r="F27" s="86">
        <f>SUM(F21:F26)</f>
        <v>-3171.4985400000005</v>
      </c>
      <c r="G27" s="26"/>
    </row>
    <row r="28" spans="2:15" ht="26">
      <c r="B28" s="87"/>
      <c r="C28" s="87"/>
      <c r="D28" s="87"/>
      <c r="E28" s="87"/>
      <c r="F28" s="87"/>
      <c r="G28" s="26"/>
    </row>
    <row r="29" spans="2:15" ht="26">
      <c r="B29" s="144" t="s">
        <v>91</v>
      </c>
      <c r="C29" s="144"/>
      <c r="D29" s="144"/>
      <c r="E29" s="88">
        <f>1/(1+H6)</f>
        <v>0.9009009009009008</v>
      </c>
      <c r="F29" s="89"/>
    </row>
    <row r="30" spans="2:15">
      <c r="B30" s="26"/>
      <c r="C30" s="26"/>
      <c r="D30" s="26"/>
      <c r="E30" s="26"/>
      <c r="F30" s="26"/>
      <c r="G30" s="26"/>
    </row>
    <row r="31" spans="2:15">
      <c r="B31" s="1"/>
    </row>
    <row r="32" spans="2:15">
      <c r="B32" s="28" t="s">
        <v>0</v>
      </c>
      <c r="C32" s="28" t="s">
        <v>92</v>
      </c>
      <c r="D32" s="130" t="s">
        <v>69</v>
      </c>
      <c r="E32" s="130"/>
      <c r="F32" s="130"/>
      <c r="G32" s="130"/>
      <c r="H32" s="130"/>
      <c r="I32" s="130" t="s">
        <v>93</v>
      </c>
      <c r="J32" s="130"/>
      <c r="K32" s="29" t="s">
        <v>94</v>
      </c>
      <c r="O32" s="9"/>
    </row>
    <row r="33" spans="2:14">
      <c r="B33" s="12">
        <v>2022</v>
      </c>
      <c r="C33" s="12">
        <v>0</v>
      </c>
      <c r="D33" s="131">
        <f>F27</f>
        <v>-3171.4985400000005</v>
      </c>
      <c r="E33" s="132"/>
      <c r="F33" s="132"/>
      <c r="G33" s="132"/>
      <c r="H33" s="132"/>
      <c r="I33" s="132">
        <f>$E$29^C33</f>
        <v>1</v>
      </c>
      <c r="J33" s="132"/>
      <c r="K33" s="12">
        <f>D33*I33</f>
        <v>-3171.4985400000005</v>
      </c>
      <c r="M33" s="9"/>
    </row>
    <row r="34" spans="2:14">
      <c r="B34" s="12">
        <v>2023</v>
      </c>
      <c r="C34" s="12">
        <v>1</v>
      </c>
      <c r="D34" s="141">
        <v>2379.9107918340001</v>
      </c>
      <c r="E34" s="142"/>
      <c r="F34" s="142"/>
      <c r="G34" s="142"/>
      <c r="H34" s="143"/>
      <c r="I34" s="132">
        <f>$E$29^C34</f>
        <v>0.9009009009009008</v>
      </c>
      <c r="J34" s="132"/>
      <c r="K34" s="12">
        <f t="shared" ref="K34:K43" si="0">D34*I34</f>
        <v>2144.0637764270268</v>
      </c>
      <c r="M34" s="30"/>
    </row>
    <row r="35" spans="2:14">
      <c r="B35" s="12">
        <v>2024</v>
      </c>
      <c r="C35" s="12">
        <v>2</v>
      </c>
      <c r="D35" s="141">
        <v>2606.5777545476503</v>
      </c>
      <c r="E35" s="142"/>
      <c r="F35" s="142"/>
      <c r="G35" s="142"/>
      <c r="H35" s="143"/>
      <c r="I35" s="132">
        <f t="shared" ref="I35:I43" si="1">$E$29^C35</f>
        <v>0.8116224332440547</v>
      </c>
      <c r="J35" s="132"/>
      <c r="K35" s="12">
        <f t="shared" si="0"/>
        <v>2115.5569795857882</v>
      </c>
      <c r="M35" s="30"/>
    </row>
    <row r="36" spans="2:14">
      <c r="B36" s="12">
        <v>2025</v>
      </c>
      <c r="C36" s="12">
        <v>3</v>
      </c>
      <c r="D36" s="141">
        <v>2850.9433498979815</v>
      </c>
      <c r="E36" s="142"/>
      <c r="F36" s="142"/>
      <c r="G36" s="142"/>
      <c r="H36" s="143"/>
      <c r="I36" s="132">
        <f t="shared" si="1"/>
        <v>0.73119138130095007</v>
      </c>
      <c r="J36" s="132"/>
      <c r="K36" s="12">
        <f t="shared" si="0"/>
        <v>2084.585206022663</v>
      </c>
    </row>
    <row r="37" spans="2:14">
      <c r="B37" s="12">
        <v>2026</v>
      </c>
      <c r="C37" s="12">
        <v>4</v>
      </c>
      <c r="D37" s="141">
        <v>3114.2155122945733</v>
      </c>
      <c r="E37" s="142"/>
      <c r="F37" s="142"/>
      <c r="G37" s="142"/>
      <c r="H37" s="143"/>
      <c r="I37" s="132">
        <f t="shared" si="1"/>
        <v>0.65873097414500004</v>
      </c>
      <c r="J37" s="132"/>
      <c r="K37" s="12">
        <f t="shared" si="0"/>
        <v>2051.4302181112744</v>
      </c>
    </row>
    <row r="38" spans="2:14">
      <c r="B38" s="12">
        <v>2027</v>
      </c>
      <c r="C38" s="12">
        <v>5</v>
      </c>
      <c r="D38" s="141">
        <v>3397.6520863255919</v>
      </c>
      <c r="E38" s="142"/>
      <c r="F38" s="142"/>
      <c r="G38" s="142"/>
      <c r="H38" s="143"/>
      <c r="I38" s="132">
        <f t="shared" si="1"/>
        <v>0.59345132805855849</v>
      </c>
      <c r="J38" s="132"/>
      <c r="K38" s="12">
        <f t="shared" si="0"/>
        <v>2016.3411429108546</v>
      </c>
    </row>
    <row r="39" spans="2:14">
      <c r="B39" s="12">
        <v>2028</v>
      </c>
      <c r="C39" s="12">
        <v>6</v>
      </c>
      <c r="D39" s="141">
        <v>3702.555660344005</v>
      </c>
      <c r="E39" s="142"/>
      <c r="F39" s="142"/>
      <c r="G39" s="142"/>
      <c r="H39" s="143"/>
      <c r="I39" s="132">
        <f t="shared" si="1"/>
        <v>0.53464083608879143</v>
      </c>
      <c r="J39" s="132"/>
      <c r="K39" s="12">
        <f t="shared" si="0"/>
        <v>1979.537453911606</v>
      </c>
      <c r="M39" s="9"/>
    </row>
    <row r="40" spans="2:14">
      <c r="B40" s="12">
        <v>2029</v>
      </c>
      <c r="C40" s="12">
        <v>7</v>
      </c>
      <c r="D40" s="141">
        <v>4030.2663320019128</v>
      </c>
      <c r="E40" s="142"/>
      <c r="F40" s="142"/>
      <c r="G40" s="142"/>
      <c r="H40" s="143"/>
      <c r="I40" s="132">
        <f t="shared" si="1"/>
        <v>0.48165841089080302</v>
      </c>
      <c r="J40" s="132"/>
      <c r="K40" s="12">
        <f t="shared" si="0"/>
        <v>1941.2116769387469</v>
      </c>
    </row>
    <row r="41" spans="2:14">
      <c r="B41" s="12">
        <v>2030</v>
      </c>
      <c r="C41" s="12">
        <v>8</v>
      </c>
      <c r="D41" s="141">
        <v>4382.1519571648278</v>
      </c>
      <c r="E41" s="142"/>
      <c r="F41" s="142"/>
      <c r="G41" s="142"/>
      <c r="H41" s="143"/>
      <c r="I41" s="132">
        <f t="shared" si="1"/>
        <v>0.43392649629802071</v>
      </c>
      <c r="J41" s="132"/>
      <c r="K41" s="12">
        <f t="shared" si="0"/>
        <v>1901.5318450180478</v>
      </c>
    </row>
    <row r="42" spans="2:14">
      <c r="B42" s="12">
        <v>2031</v>
      </c>
      <c r="C42" s="12">
        <v>9</v>
      </c>
      <c r="D42" s="141">
        <v>4759.5953510654736</v>
      </c>
      <c r="E42" s="142"/>
      <c r="F42" s="142"/>
      <c r="G42" s="142"/>
      <c r="H42" s="143"/>
      <c r="I42" s="132">
        <f t="shared" si="1"/>
        <v>0.39092477143965826</v>
      </c>
      <c r="J42" s="132"/>
      <c r="K42" s="12">
        <f t="shared" si="0"/>
        <v>1860.6437247605302</v>
      </c>
    </row>
    <row r="43" spans="2:14">
      <c r="B43" s="12">
        <v>2032</v>
      </c>
      <c r="C43" s="12">
        <v>10</v>
      </c>
      <c r="D43" s="141">
        <f>H18</f>
        <v>8417.6006219999999</v>
      </c>
      <c r="E43" s="142"/>
      <c r="F43" s="142"/>
      <c r="G43" s="142"/>
      <c r="H43" s="143"/>
      <c r="I43" s="132">
        <f t="shared" si="1"/>
        <v>0.35218447877446685</v>
      </c>
      <c r="J43" s="132"/>
      <c r="K43" s="12">
        <f t="shared" si="0"/>
        <v>2964.5482875906978</v>
      </c>
    </row>
    <row r="45" spans="2:14" ht="26">
      <c r="E45" s="145" t="s">
        <v>95</v>
      </c>
      <c r="F45" s="145"/>
      <c r="G45" s="145"/>
      <c r="H45" s="145"/>
      <c r="I45" s="145"/>
      <c r="J45" s="145"/>
      <c r="K45" s="90">
        <f>SUM(K33:K43)</f>
        <v>17887.951771277232</v>
      </c>
      <c r="L45" s="89"/>
      <c r="N45" s="30"/>
    </row>
    <row r="47" spans="2:14" ht="35">
      <c r="B47" s="113" t="s">
        <v>96</v>
      </c>
      <c r="C47" s="113"/>
    </row>
    <row r="48" spans="2:14" ht="26">
      <c r="B48" s="31"/>
    </row>
    <row r="49" spans="2:16" ht="26">
      <c r="B49" s="136" t="s">
        <v>97</v>
      </c>
      <c r="C49" s="136"/>
      <c r="D49" s="136"/>
      <c r="E49" s="136"/>
      <c r="F49" s="136"/>
      <c r="G49" s="136"/>
      <c r="O49" s="9"/>
      <c r="P49" s="9"/>
    </row>
    <row r="50" spans="2:16">
      <c r="O50" s="9"/>
      <c r="P50" s="9"/>
    </row>
    <row r="51" spans="2:16">
      <c r="B51" s="139" t="s">
        <v>96</v>
      </c>
      <c r="C51" s="139"/>
      <c r="D51" s="139"/>
      <c r="E51" s="81">
        <v>0.84145920074809122</v>
      </c>
    </row>
    <row r="52" spans="2:16">
      <c r="B52" s="139" t="s">
        <v>98</v>
      </c>
      <c r="C52" s="139"/>
      <c r="D52" s="139"/>
      <c r="E52" s="76">
        <f>1/(1+E51)</f>
        <v>0.54304760029098165</v>
      </c>
    </row>
    <row r="53" spans="2:16">
      <c r="B53" s="139" t="s">
        <v>99</v>
      </c>
      <c r="C53" s="139"/>
      <c r="D53" s="139"/>
      <c r="E53" s="82">
        <f>SUM(K57:K67)</f>
        <v>-9.6452450477713114E-4</v>
      </c>
    </row>
    <row r="55" spans="2:16">
      <c r="B55" s="1"/>
      <c r="C55" s="1"/>
      <c r="D55" s="1"/>
    </row>
    <row r="56" spans="2:16">
      <c r="B56" s="28" t="s">
        <v>0</v>
      </c>
      <c r="C56" s="28" t="s">
        <v>92</v>
      </c>
      <c r="D56" s="130" t="s">
        <v>69</v>
      </c>
      <c r="E56" s="130"/>
      <c r="F56" s="130"/>
      <c r="G56" s="130"/>
      <c r="H56" s="130"/>
      <c r="I56" s="130" t="s">
        <v>93</v>
      </c>
      <c r="J56" s="130"/>
      <c r="K56" s="29" t="s">
        <v>94</v>
      </c>
    </row>
    <row r="57" spans="2:16">
      <c r="B57" s="12">
        <v>2022</v>
      </c>
      <c r="C57" s="12">
        <v>0</v>
      </c>
      <c r="D57" s="131">
        <f>F27</f>
        <v>-3171.4985400000005</v>
      </c>
      <c r="E57" s="132"/>
      <c r="F57" s="132"/>
      <c r="G57" s="132"/>
      <c r="H57" s="132"/>
      <c r="I57" s="132">
        <f>$E$52^C57</f>
        <v>1</v>
      </c>
      <c r="J57" s="132"/>
      <c r="K57" s="12">
        <f>D57*I57</f>
        <v>-3171.4985400000005</v>
      </c>
    </row>
    <row r="58" spans="2:16">
      <c r="B58" s="12">
        <v>2023</v>
      </c>
      <c r="C58" s="12">
        <v>1</v>
      </c>
      <c r="D58" s="141">
        <v>2379.9107918340001</v>
      </c>
      <c r="E58" s="142"/>
      <c r="F58" s="142"/>
      <c r="G58" s="142"/>
      <c r="H58" s="143"/>
      <c r="I58" s="132">
        <f t="shared" ref="I58:I67" si="2">$E$52^C58</f>
        <v>0.54304760029098165</v>
      </c>
      <c r="J58" s="132"/>
      <c r="K58" s="12">
        <f t="shared" ref="K58:K67" si="3">D58*I58</f>
        <v>1292.4048444120638</v>
      </c>
    </row>
    <row r="59" spans="2:16">
      <c r="B59" s="12">
        <v>2024</v>
      </c>
      <c r="C59" s="12">
        <v>2</v>
      </c>
      <c r="D59" s="141">
        <v>2606.5777545476503</v>
      </c>
      <c r="E59" s="142"/>
      <c r="F59" s="142"/>
      <c r="G59" s="142"/>
      <c r="H59" s="143"/>
      <c r="I59" s="132">
        <f t="shared" si="2"/>
        <v>0.29490069618179376</v>
      </c>
      <c r="J59" s="132"/>
      <c r="K59" s="12">
        <f t="shared" si="3"/>
        <v>768.68159446807886</v>
      </c>
    </row>
    <row r="60" spans="2:16">
      <c r="B60" s="12">
        <v>2025</v>
      </c>
      <c r="C60" s="12">
        <v>3</v>
      </c>
      <c r="D60" s="141">
        <v>2850.9433498979815</v>
      </c>
      <c r="E60" s="142"/>
      <c r="F60" s="142"/>
      <c r="G60" s="142"/>
      <c r="H60" s="143"/>
      <c r="I60" s="132">
        <f t="shared" si="2"/>
        <v>0.16014511538566295</v>
      </c>
      <c r="J60" s="132"/>
      <c r="K60" s="12">
        <f t="shared" si="3"/>
        <v>456.5646517274007</v>
      </c>
    </row>
    <row r="61" spans="2:16">
      <c r="B61" s="12">
        <v>2026</v>
      </c>
      <c r="C61" s="12">
        <v>4</v>
      </c>
      <c r="D61" s="141">
        <v>3114.2155122945733</v>
      </c>
      <c r="E61" s="142"/>
      <c r="F61" s="142"/>
      <c r="G61" s="142"/>
      <c r="H61" s="143"/>
      <c r="I61" s="132">
        <f t="shared" si="2"/>
        <v>8.6966420608506637E-2</v>
      </c>
      <c r="J61" s="132"/>
      <c r="K61" s="12">
        <f t="shared" si="3"/>
        <v>270.83217610774585</v>
      </c>
    </row>
    <row r="62" spans="2:16">
      <c r="B62" s="12">
        <v>2027</v>
      </c>
      <c r="C62" s="12">
        <v>5</v>
      </c>
      <c r="D62" s="141">
        <v>3397.6520863255919</v>
      </c>
      <c r="E62" s="142"/>
      <c r="F62" s="142"/>
      <c r="G62" s="142"/>
      <c r="H62" s="143"/>
      <c r="I62" s="132">
        <f t="shared" si="2"/>
        <v>4.72269060173457E-2</v>
      </c>
      <c r="J62" s="132"/>
      <c r="K62" s="12">
        <f t="shared" si="3"/>
        <v>160.46059576053727</v>
      </c>
    </row>
    <row r="63" spans="2:16">
      <c r="B63" s="12">
        <v>2028</v>
      </c>
      <c r="C63" s="12">
        <v>6</v>
      </c>
      <c r="D63" s="141">
        <v>3702.555660344005</v>
      </c>
      <c r="E63" s="142"/>
      <c r="F63" s="142"/>
      <c r="G63" s="142"/>
      <c r="H63" s="143"/>
      <c r="I63" s="132">
        <f t="shared" si="2"/>
        <v>2.5646457981887305E-2</v>
      </c>
      <c r="J63" s="132"/>
      <c r="K63" s="12">
        <f t="shared" si="3"/>
        <v>94.957438168611532</v>
      </c>
    </row>
    <row r="64" spans="2:16">
      <c r="B64" s="12">
        <v>2029</v>
      </c>
      <c r="C64" s="12">
        <v>7</v>
      </c>
      <c r="D64" s="141">
        <v>4030.2663320019128</v>
      </c>
      <c r="E64" s="142"/>
      <c r="F64" s="142"/>
      <c r="G64" s="142"/>
      <c r="H64" s="143"/>
      <c r="I64" s="132">
        <f t="shared" si="2"/>
        <v>1.3927247463027391E-2</v>
      </c>
      <c r="J64" s="132"/>
      <c r="K64" s="12">
        <f t="shared" si="3"/>
        <v>56.130516547698349</v>
      </c>
    </row>
    <row r="65" spans="2:11">
      <c r="B65" s="12">
        <v>2030</v>
      </c>
      <c r="C65" s="12">
        <v>8</v>
      </c>
      <c r="D65" s="141">
        <v>4382.1519571648278</v>
      </c>
      <c r="E65" s="142"/>
      <c r="F65" s="142"/>
      <c r="G65" s="142"/>
      <c r="H65" s="143"/>
      <c r="I65" s="132">
        <f t="shared" si="2"/>
        <v>7.563158313455688E-3</v>
      </c>
      <c r="J65" s="132"/>
      <c r="K65" s="12">
        <f t="shared" si="3"/>
        <v>33.14290900565728</v>
      </c>
    </row>
    <row r="66" spans="2:11">
      <c r="B66" s="12">
        <v>2031</v>
      </c>
      <c r="C66" s="12">
        <v>9</v>
      </c>
      <c r="D66" s="141">
        <v>4759.5953510654736</v>
      </c>
      <c r="E66" s="142"/>
      <c r="F66" s="142"/>
      <c r="G66" s="142"/>
      <c r="H66" s="143"/>
      <c r="I66" s="132">
        <f t="shared" si="2"/>
        <v>4.1071549727428993E-3</v>
      </c>
      <c r="J66" s="132"/>
      <c r="K66" s="12">
        <f t="shared" si="3"/>
        <v>19.548395714372546</v>
      </c>
    </row>
    <row r="67" spans="2:11">
      <c r="B67" s="12">
        <v>2032</v>
      </c>
      <c r="C67" s="12">
        <v>10</v>
      </c>
      <c r="D67" s="141">
        <f>H18</f>
        <v>8417.6006219999999</v>
      </c>
      <c r="E67" s="142"/>
      <c r="F67" s="142"/>
      <c r="G67" s="142"/>
      <c r="H67" s="143"/>
      <c r="I67" s="132">
        <f t="shared" si="2"/>
        <v>2.2303806519712037E-3</v>
      </c>
      <c r="J67" s="132"/>
      <c r="K67" s="12">
        <f t="shared" si="3"/>
        <v>18.774453563329569</v>
      </c>
    </row>
    <row r="69" spans="2:11" ht="26">
      <c r="H69" s="145" t="s">
        <v>96</v>
      </c>
      <c r="I69" s="145"/>
      <c r="J69" s="145"/>
      <c r="K69" s="83">
        <f>E51</f>
        <v>0.84145920074809122</v>
      </c>
    </row>
  </sheetData>
  <mergeCells count="76">
    <mergeCell ref="D66:H66"/>
    <mergeCell ref="I66:J66"/>
    <mergeCell ref="D67:H67"/>
    <mergeCell ref="I67:J67"/>
    <mergeCell ref="H69:J69"/>
    <mergeCell ref="D57:H57"/>
    <mergeCell ref="I57:J57"/>
    <mergeCell ref="D58:H58"/>
    <mergeCell ref="I58:J58"/>
    <mergeCell ref="D59:H59"/>
    <mergeCell ref="I59:J59"/>
    <mergeCell ref="D65:H65"/>
    <mergeCell ref="I65:J65"/>
    <mergeCell ref="D60:H60"/>
    <mergeCell ref="I60:J60"/>
    <mergeCell ref="D61:H61"/>
    <mergeCell ref="I61:J61"/>
    <mergeCell ref="D62:H62"/>
    <mergeCell ref="I62:J62"/>
    <mergeCell ref="D63:H63"/>
    <mergeCell ref="I63:J63"/>
    <mergeCell ref="D64:H64"/>
    <mergeCell ref="I64:J64"/>
    <mergeCell ref="I56:J56"/>
    <mergeCell ref="D41:H41"/>
    <mergeCell ref="I41:J41"/>
    <mergeCell ref="D42:H42"/>
    <mergeCell ref="I42:J42"/>
    <mergeCell ref="D43:H43"/>
    <mergeCell ref="I43:J43"/>
    <mergeCell ref="E45:J45"/>
    <mergeCell ref="B51:D51"/>
    <mergeCell ref="B52:D52"/>
    <mergeCell ref="B53:D53"/>
    <mergeCell ref="D56:H56"/>
    <mergeCell ref="D38:H38"/>
    <mergeCell ref="I38:J38"/>
    <mergeCell ref="D39:H39"/>
    <mergeCell ref="I39:J39"/>
    <mergeCell ref="D40:H40"/>
    <mergeCell ref="I40:J40"/>
    <mergeCell ref="D35:H35"/>
    <mergeCell ref="I35:J35"/>
    <mergeCell ref="D36:H36"/>
    <mergeCell ref="I36:J36"/>
    <mergeCell ref="D37:H37"/>
    <mergeCell ref="I37:J37"/>
    <mergeCell ref="D34:H34"/>
    <mergeCell ref="I34:J34"/>
    <mergeCell ref="B21:E21"/>
    <mergeCell ref="B22:E22"/>
    <mergeCell ref="B23:E23"/>
    <mergeCell ref="B24:E24"/>
    <mergeCell ref="B25:E25"/>
    <mergeCell ref="B26:E26"/>
    <mergeCell ref="B29:D29"/>
    <mergeCell ref="D32:H32"/>
    <mergeCell ref="I32:J32"/>
    <mergeCell ref="D33:H33"/>
    <mergeCell ref="I33:J33"/>
    <mergeCell ref="D2:J2"/>
    <mergeCell ref="B20:D20"/>
    <mergeCell ref="B49:G49"/>
    <mergeCell ref="B47:C47"/>
    <mergeCell ref="B18:G18"/>
    <mergeCell ref="B4:M4"/>
    <mergeCell ref="B6:G6"/>
    <mergeCell ref="B7:G7"/>
    <mergeCell ref="B8:G8"/>
    <mergeCell ref="B9:G9"/>
    <mergeCell ref="B10:G10"/>
    <mergeCell ref="B12:G12"/>
    <mergeCell ref="B14:G14"/>
    <mergeCell ref="B15:G15"/>
    <mergeCell ref="B16:G16"/>
    <mergeCell ref="B17:G1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EA7A90-8757-8241-A179-9F9A33ED87D8}">
  <dimension ref="B1:V356"/>
  <sheetViews>
    <sheetView topLeftCell="A72" zoomScale="90" zoomScaleNormal="100" workbookViewId="0">
      <selection activeCell="I88" sqref="I88"/>
    </sheetView>
  </sheetViews>
  <sheetFormatPr baseColWidth="10" defaultRowHeight="21"/>
  <cols>
    <col min="1" max="2" width="10.625" style="4"/>
    <col min="3" max="3" width="16.5" style="5" customWidth="1"/>
    <col min="4" max="5" width="10.625" style="4"/>
    <col min="6" max="6" width="10.625" style="4" customWidth="1"/>
    <col min="7" max="7" width="12.75" style="4" customWidth="1"/>
    <col min="8" max="8" width="13.125" style="4" bestFit="1" customWidth="1"/>
    <col min="9" max="11" width="10.625" style="4"/>
    <col min="12" max="12" width="22.625" style="4" bestFit="1" customWidth="1"/>
    <col min="13" max="15" width="10.625" style="4"/>
    <col min="16" max="16" width="14.75" style="4" bestFit="1" customWidth="1"/>
    <col min="17" max="20" width="10.625" style="4"/>
    <col min="21" max="21" width="15.125" style="4" bestFit="1" customWidth="1"/>
    <col min="22" max="16384" width="10.625" style="4"/>
  </cols>
  <sheetData>
    <row r="1" spans="3:11">
      <c r="E1" s="100" t="s">
        <v>101</v>
      </c>
      <c r="F1" s="100"/>
      <c r="G1" s="100"/>
      <c r="H1" s="100"/>
      <c r="I1" s="100"/>
      <c r="J1" s="100"/>
      <c r="K1" s="100"/>
    </row>
    <row r="2" spans="3:11">
      <c r="E2" s="100"/>
      <c r="F2" s="100"/>
      <c r="G2" s="100"/>
      <c r="H2" s="100"/>
      <c r="I2" s="100"/>
      <c r="J2" s="100"/>
      <c r="K2" s="100"/>
    </row>
    <row r="3" spans="3:11">
      <c r="E3" s="100"/>
      <c r="F3" s="100"/>
      <c r="G3" s="100"/>
      <c r="H3" s="100"/>
      <c r="I3" s="100"/>
      <c r="J3" s="100"/>
      <c r="K3" s="100"/>
    </row>
    <row r="4" spans="3:11" ht="21" customHeight="1">
      <c r="E4" s="102" t="s">
        <v>102</v>
      </c>
      <c r="F4" s="102"/>
      <c r="G4" s="102"/>
      <c r="H4" s="102"/>
      <c r="I4" s="102"/>
      <c r="J4" s="102"/>
      <c r="K4" s="102"/>
    </row>
    <row r="5" spans="3:11" ht="21" customHeight="1">
      <c r="E5" s="102"/>
      <c r="F5" s="102"/>
      <c r="G5" s="102"/>
      <c r="H5" s="102"/>
      <c r="I5" s="102"/>
      <c r="J5" s="102"/>
      <c r="K5" s="102"/>
    </row>
    <row r="6" spans="3:11" ht="21" customHeight="1">
      <c r="E6" s="102"/>
      <c r="F6" s="102"/>
      <c r="G6" s="102"/>
      <c r="H6" s="102"/>
      <c r="I6" s="102"/>
      <c r="J6" s="102"/>
      <c r="K6" s="102"/>
    </row>
    <row r="7" spans="3:11" ht="21" customHeight="1">
      <c r="E7" s="102" t="s">
        <v>103</v>
      </c>
      <c r="F7" s="102"/>
      <c r="G7" s="102"/>
      <c r="H7" s="102"/>
      <c r="I7" s="102"/>
      <c r="J7" s="102"/>
      <c r="K7" s="102"/>
    </row>
    <row r="8" spans="3:11" ht="21" customHeight="1">
      <c r="E8" s="102"/>
      <c r="F8" s="102"/>
      <c r="G8" s="102"/>
      <c r="H8" s="102"/>
      <c r="I8" s="102"/>
      <c r="J8" s="102"/>
      <c r="K8" s="102"/>
    </row>
    <row r="9" spans="3:11" ht="21" customHeight="1">
      <c r="E9" s="102"/>
      <c r="F9" s="102"/>
      <c r="G9" s="102"/>
      <c r="H9" s="102"/>
      <c r="I9" s="102"/>
      <c r="J9" s="102"/>
      <c r="K9" s="102"/>
    </row>
    <row r="12" spans="3:11">
      <c r="F12" s="4" t="s">
        <v>115</v>
      </c>
    </row>
    <row r="13" spans="3:11" ht="37">
      <c r="C13" s="98" t="s">
        <v>11</v>
      </c>
      <c r="D13" s="98"/>
      <c r="E13" s="98"/>
      <c r="F13" s="98"/>
      <c r="G13" s="98"/>
      <c r="H13" s="98"/>
    </row>
    <row r="15" spans="3:11">
      <c r="C15" s="101" t="s">
        <v>1</v>
      </c>
      <c r="D15" s="101"/>
      <c r="E15" s="101"/>
      <c r="F15" s="101"/>
      <c r="G15" s="101"/>
      <c r="H15" s="33">
        <v>0.05</v>
      </c>
    </row>
    <row r="16" spans="3:11">
      <c r="C16" s="101" t="s">
        <v>2</v>
      </c>
      <c r="D16" s="101"/>
      <c r="E16" s="101"/>
      <c r="F16" s="101"/>
      <c r="G16" s="101"/>
      <c r="H16" s="33">
        <v>0.05</v>
      </c>
    </row>
    <row r="17" spans="3:22">
      <c r="C17" s="101" t="s">
        <v>3</v>
      </c>
      <c r="D17" s="101"/>
      <c r="E17" s="101"/>
      <c r="F17" s="101"/>
      <c r="G17" s="101"/>
      <c r="H17" s="34">
        <v>45</v>
      </c>
    </row>
    <row r="18" spans="3:22">
      <c r="C18" s="101" t="s">
        <v>4</v>
      </c>
      <c r="D18" s="101"/>
      <c r="E18" s="101"/>
      <c r="F18" s="101"/>
      <c r="G18" s="101"/>
      <c r="H18" s="34">
        <f>H17*(1+H15)^(2)</f>
        <v>49.612500000000004</v>
      </c>
    </row>
    <row r="19" spans="3:22">
      <c r="C19" s="43"/>
      <c r="D19" s="43"/>
      <c r="E19" s="43"/>
      <c r="F19" s="43"/>
      <c r="G19" s="43"/>
      <c r="H19" s="45"/>
    </row>
    <row r="20" spans="3:22">
      <c r="C20" s="101" t="s">
        <v>5</v>
      </c>
      <c r="D20" s="101"/>
      <c r="E20" s="101"/>
      <c r="F20" s="101"/>
      <c r="G20" s="101"/>
      <c r="H20" s="33">
        <v>0.08</v>
      </c>
    </row>
    <row r="21" spans="3:22">
      <c r="C21" s="101" t="s">
        <v>6</v>
      </c>
      <c r="D21" s="101"/>
      <c r="E21" s="101"/>
      <c r="F21" s="101"/>
      <c r="G21" s="101"/>
      <c r="H21" s="33">
        <v>0.1</v>
      </c>
    </row>
    <row r="22" spans="3:22">
      <c r="C22" s="101" t="s">
        <v>7</v>
      </c>
      <c r="D22" s="101"/>
      <c r="E22" s="101"/>
      <c r="F22" s="101"/>
      <c r="G22" s="101"/>
      <c r="H22" s="34">
        <v>30</v>
      </c>
    </row>
    <row r="23" spans="3:22">
      <c r="C23" s="101" t="s">
        <v>8</v>
      </c>
      <c r="D23" s="101"/>
      <c r="E23" s="101"/>
      <c r="F23" s="101"/>
      <c r="G23" s="101"/>
      <c r="H23" s="34">
        <f>30*(1+H20)^(2)</f>
        <v>34.992000000000004</v>
      </c>
    </row>
    <row r="24" spans="3:22">
      <c r="C24" s="43"/>
      <c r="D24" s="43"/>
      <c r="E24" s="43"/>
      <c r="F24" s="43"/>
      <c r="G24" s="43"/>
      <c r="H24" s="44"/>
    </row>
    <row r="25" spans="3:22">
      <c r="C25" s="101" t="s">
        <v>9</v>
      </c>
      <c r="D25" s="101"/>
      <c r="E25" s="101"/>
      <c r="F25" s="101"/>
      <c r="G25" s="101"/>
      <c r="H25" s="41">
        <v>1.4999999999999999E-2</v>
      </c>
    </row>
    <row r="26" spans="3:22">
      <c r="C26" s="101" t="s">
        <v>17</v>
      </c>
      <c r="D26" s="101"/>
      <c r="E26" s="101"/>
      <c r="F26" s="101"/>
      <c r="G26" s="101"/>
      <c r="H26" s="42">
        <v>0.02</v>
      </c>
    </row>
    <row r="27" spans="3:22">
      <c r="C27" s="7"/>
      <c r="D27" s="7"/>
      <c r="E27" s="7"/>
      <c r="F27" s="7"/>
      <c r="G27" s="7"/>
      <c r="H27" s="10"/>
    </row>
    <row r="28" spans="3:22">
      <c r="C28" s="8"/>
      <c r="D28" s="11"/>
    </row>
    <row r="29" spans="3:22">
      <c r="C29" s="36" t="s">
        <v>0</v>
      </c>
      <c r="D29" s="99" t="s">
        <v>12</v>
      </c>
      <c r="E29" s="99"/>
      <c r="F29" s="99"/>
      <c r="G29" s="99"/>
      <c r="H29" s="36" t="s">
        <v>13</v>
      </c>
      <c r="I29" s="99" t="s">
        <v>14</v>
      </c>
      <c r="J29" s="99"/>
      <c r="K29" s="99" t="s">
        <v>15</v>
      </c>
      <c r="L29" s="99"/>
      <c r="M29" s="14"/>
      <c r="N29" s="36" t="s">
        <v>0</v>
      </c>
      <c r="O29" s="36" t="s">
        <v>13</v>
      </c>
      <c r="P29" s="36" t="s">
        <v>100</v>
      </c>
      <c r="Q29" s="99" t="s">
        <v>16</v>
      </c>
      <c r="R29" s="99"/>
      <c r="S29" s="99"/>
      <c r="T29" s="99"/>
      <c r="U29" s="46" t="s">
        <v>15</v>
      </c>
      <c r="V29" s="37"/>
    </row>
    <row r="30" spans="3:22">
      <c r="C30" s="13">
        <v>2022</v>
      </c>
      <c r="D30" s="103">
        <f>H18</f>
        <v>49.612500000000004</v>
      </c>
      <c r="E30" s="103"/>
      <c r="F30" s="103"/>
      <c r="G30" s="103"/>
      <c r="H30" s="16">
        <v>100</v>
      </c>
      <c r="I30" s="103">
        <f>36*(-1)</f>
        <v>-36</v>
      </c>
      <c r="J30" s="103"/>
      <c r="K30" s="104">
        <f t="shared" ref="K30:K40" si="0">D30*(H30+I30)</f>
        <v>3175.2000000000003</v>
      </c>
      <c r="L30" s="104"/>
      <c r="M30" s="14"/>
      <c r="N30" s="13">
        <v>2022</v>
      </c>
      <c r="O30" s="16">
        <v>100</v>
      </c>
      <c r="P30" s="13">
        <v>-48</v>
      </c>
      <c r="Q30" s="103">
        <f>H23</f>
        <v>34.992000000000004</v>
      </c>
      <c r="R30" s="103"/>
      <c r="S30" s="103"/>
      <c r="T30" s="103"/>
      <c r="U30" s="38">
        <f>Q30*(O30+P30)</f>
        <v>1819.5840000000003</v>
      </c>
    </row>
    <row r="31" spans="3:22">
      <c r="C31" s="13">
        <v>2023</v>
      </c>
      <c r="D31" s="103">
        <f>D30*(1+$H$16)</f>
        <v>52.093125000000008</v>
      </c>
      <c r="E31" s="103"/>
      <c r="F31" s="103"/>
      <c r="G31" s="103"/>
      <c r="H31" s="16">
        <f>H30*(1+$H$25)</f>
        <v>101.49999999999999</v>
      </c>
      <c r="I31" s="103">
        <f>I30*(1+$H$25)</f>
        <v>-36.54</v>
      </c>
      <c r="J31" s="103"/>
      <c r="K31" s="104">
        <f t="shared" si="0"/>
        <v>3383.9693999999995</v>
      </c>
      <c r="L31" s="104"/>
      <c r="M31" s="14"/>
      <c r="N31" s="13">
        <v>2023</v>
      </c>
      <c r="O31" s="16">
        <f>O30*(1+$H$25)</f>
        <v>101.49999999999999</v>
      </c>
      <c r="P31" s="13">
        <f>P30*(1+$H$25)</f>
        <v>-48.72</v>
      </c>
      <c r="Q31" s="103">
        <f>Q30*(1+$H$21)</f>
        <v>38.491200000000006</v>
      </c>
      <c r="R31" s="103"/>
      <c r="S31" s="103"/>
      <c r="T31" s="103"/>
      <c r="U31" s="38">
        <f t="shared" ref="U31:U39" si="1">Q31*(O31+P31)</f>
        <v>2031.5655359999998</v>
      </c>
    </row>
    <row r="32" spans="3:22">
      <c r="C32" s="13">
        <v>2024</v>
      </c>
      <c r="D32" s="103">
        <f t="shared" ref="D32:D45" si="2">D31*(1+$H$16)</f>
        <v>54.697781250000013</v>
      </c>
      <c r="E32" s="103"/>
      <c r="F32" s="103"/>
      <c r="G32" s="103"/>
      <c r="H32" s="16">
        <f t="shared" ref="H32:I40" si="3">H31*(1+$H$25)</f>
        <v>103.02249999999998</v>
      </c>
      <c r="I32" s="103">
        <f t="shared" si="3"/>
        <v>-37.088099999999997</v>
      </c>
      <c r="J32" s="103"/>
      <c r="K32" s="104">
        <f t="shared" si="0"/>
        <v>3606.46538805</v>
      </c>
      <c r="L32" s="104"/>
      <c r="M32" s="14"/>
      <c r="N32" s="13">
        <v>2024</v>
      </c>
      <c r="O32" s="16">
        <f t="shared" ref="O32:P40" si="4">O31*(1+$H$25)</f>
        <v>103.02249999999998</v>
      </c>
      <c r="P32" s="13">
        <f t="shared" si="4"/>
        <v>-49.450799999999994</v>
      </c>
      <c r="Q32" s="103">
        <f t="shared" ref="Q32:Q45" si="5">Q31*(1+$H$21)</f>
        <v>42.340320000000013</v>
      </c>
      <c r="R32" s="103"/>
      <c r="S32" s="103"/>
      <c r="T32" s="103"/>
      <c r="U32" s="38">
        <f t="shared" si="1"/>
        <v>2268.2429209440002</v>
      </c>
    </row>
    <row r="33" spans="2:21">
      <c r="C33" s="13">
        <v>2025</v>
      </c>
      <c r="D33" s="103">
        <f t="shared" si="2"/>
        <v>57.432670312500015</v>
      </c>
      <c r="E33" s="103"/>
      <c r="F33" s="103"/>
      <c r="G33" s="103"/>
      <c r="H33" s="16">
        <f t="shared" si="3"/>
        <v>104.56783749999997</v>
      </c>
      <c r="I33" s="103">
        <f t="shared" si="3"/>
        <v>-37.644421499999993</v>
      </c>
      <c r="J33" s="103"/>
      <c r="K33" s="104">
        <f t="shared" si="0"/>
        <v>3843.5904873142872</v>
      </c>
      <c r="L33" s="104"/>
      <c r="M33" s="14"/>
      <c r="N33" s="13">
        <v>2025</v>
      </c>
      <c r="O33" s="16">
        <f t="shared" si="4"/>
        <v>104.56783749999997</v>
      </c>
      <c r="P33" s="13">
        <f t="shared" si="4"/>
        <v>-50.192561999999988</v>
      </c>
      <c r="Q33" s="103">
        <f t="shared" si="5"/>
        <v>46.574352000000019</v>
      </c>
      <c r="R33" s="103"/>
      <c r="S33" s="103"/>
      <c r="T33" s="103"/>
      <c r="U33" s="38">
        <f t="shared" si="1"/>
        <v>2532.4932212339759</v>
      </c>
    </row>
    <row r="34" spans="2:21">
      <c r="C34" s="13">
        <v>2026</v>
      </c>
      <c r="D34" s="103">
        <f t="shared" si="2"/>
        <v>60.304303828125022</v>
      </c>
      <c r="E34" s="103"/>
      <c r="F34" s="103"/>
      <c r="G34" s="103"/>
      <c r="H34" s="16">
        <f t="shared" si="3"/>
        <v>106.13635506249996</v>
      </c>
      <c r="I34" s="103">
        <f t="shared" si="3"/>
        <v>-38.209087822499988</v>
      </c>
      <c r="J34" s="103"/>
      <c r="K34" s="104">
        <f t="shared" si="0"/>
        <v>4096.3065618552009</v>
      </c>
      <c r="L34" s="104"/>
      <c r="M34" s="14"/>
      <c r="N34" s="13">
        <v>2026</v>
      </c>
      <c r="O34" s="16">
        <f t="shared" si="4"/>
        <v>106.13635506249996</v>
      </c>
      <c r="P34" s="13">
        <f t="shared" si="4"/>
        <v>-50.94545042999998</v>
      </c>
      <c r="Q34" s="103">
        <f t="shared" si="5"/>
        <v>51.231787200000028</v>
      </c>
      <c r="R34" s="103"/>
      <c r="S34" s="103"/>
      <c r="T34" s="103"/>
      <c r="U34" s="38">
        <f t="shared" si="1"/>
        <v>2827.5286815077347</v>
      </c>
    </row>
    <row r="35" spans="2:21">
      <c r="C35" s="13">
        <v>2027</v>
      </c>
      <c r="D35" s="103">
        <f t="shared" si="2"/>
        <v>63.319519019531278</v>
      </c>
      <c r="E35" s="103"/>
      <c r="F35" s="103"/>
      <c r="G35" s="103"/>
      <c r="H35" s="16">
        <f t="shared" si="3"/>
        <v>107.72840038843745</v>
      </c>
      <c r="I35" s="103">
        <f t="shared" si="3"/>
        <v>-38.782224139837481</v>
      </c>
      <c r="J35" s="103"/>
      <c r="K35" s="104">
        <f t="shared" si="0"/>
        <v>4365.6387182971812</v>
      </c>
      <c r="L35" s="104"/>
      <c r="M35" s="14"/>
      <c r="N35" s="13">
        <v>2027</v>
      </c>
      <c r="O35" s="16">
        <f t="shared" si="4"/>
        <v>107.72840038843745</v>
      </c>
      <c r="P35" s="13">
        <f t="shared" si="4"/>
        <v>-51.709632186449973</v>
      </c>
      <c r="Q35" s="103">
        <f t="shared" si="5"/>
        <v>56.354965920000033</v>
      </c>
      <c r="R35" s="103"/>
      <c r="S35" s="103"/>
      <c r="T35" s="103"/>
      <c r="U35" s="38">
        <f t="shared" si="1"/>
        <v>3156.9357729033859</v>
      </c>
    </row>
    <row r="36" spans="2:21">
      <c r="C36" s="13">
        <v>2028</v>
      </c>
      <c r="D36" s="103">
        <f t="shared" si="2"/>
        <v>66.485494970507844</v>
      </c>
      <c r="E36" s="103"/>
      <c r="F36" s="103"/>
      <c r="G36" s="103"/>
      <c r="H36" s="16">
        <f t="shared" si="3"/>
        <v>109.344326394264</v>
      </c>
      <c r="I36" s="103">
        <f t="shared" si="3"/>
        <v>-39.36395750193504</v>
      </c>
      <c r="J36" s="103"/>
      <c r="K36" s="104">
        <f t="shared" si="0"/>
        <v>4652.6794640252201</v>
      </c>
      <c r="L36" s="104"/>
      <c r="M36" s="14"/>
      <c r="N36" s="13">
        <v>2028</v>
      </c>
      <c r="O36" s="16">
        <f t="shared" si="4"/>
        <v>109.344326394264</v>
      </c>
      <c r="P36" s="13">
        <f t="shared" si="4"/>
        <v>-52.485276669246716</v>
      </c>
      <c r="Q36" s="103">
        <f t="shared" si="5"/>
        <v>61.990462512000043</v>
      </c>
      <c r="R36" s="103"/>
      <c r="S36" s="103"/>
      <c r="T36" s="103"/>
      <c r="U36" s="38">
        <f t="shared" si="1"/>
        <v>3524.7187904466305</v>
      </c>
    </row>
    <row r="37" spans="2:21">
      <c r="C37" s="13">
        <v>2029</v>
      </c>
      <c r="D37" s="103">
        <f t="shared" si="2"/>
        <v>69.809769719033241</v>
      </c>
      <c r="E37" s="103"/>
      <c r="F37" s="103"/>
      <c r="G37" s="103"/>
      <c r="H37" s="16">
        <f t="shared" si="3"/>
        <v>110.98449129017796</v>
      </c>
      <c r="I37" s="103">
        <f t="shared" si="3"/>
        <v>-39.954416864464065</v>
      </c>
      <c r="J37" s="103"/>
      <c r="K37" s="104">
        <f t="shared" si="0"/>
        <v>4958.5931387848786</v>
      </c>
      <c r="L37" s="104"/>
      <c r="M37" s="14"/>
      <c r="N37" s="13">
        <v>2029</v>
      </c>
      <c r="O37" s="16">
        <f t="shared" si="4"/>
        <v>110.98449129017796</v>
      </c>
      <c r="P37" s="13">
        <f t="shared" si="4"/>
        <v>-53.272555819285408</v>
      </c>
      <c r="Q37" s="103">
        <f t="shared" si="5"/>
        <v>68.189508763200052</v>
      </c>
      <c r="R37" s="103"/>
      <c r="S37" s="103"/>
      <c r="T37" s="103"/>
      <c r="U37" s="38">
        <f t="shared" si="1"/>
        <v>3935.3485295336632</v>
      </c>
    </row>
    <row r="38" spans="2:21">
      <c r="C38" s="13">
        <v>2030</v>
      </c>
      <c r="D38" s="103">
        <f t="shared" si="2"/>
        <v>73.3002582049849</v>
      </c>
      <c r="E38" s="103"/>
      <c r="F38" s="103"/>
      <c r="G38" s="103"/>
      <c r="H38" s="16">
        <f t="shared" si="3"/>
        <v>112.64925865953062</v>
      </c>
      <c r="I38" s="103">
        <f t="shared" si="3"/>
        <v>-40.553733117431022</v>
      </c>
      <c r="J38" s="103"/>
      <c r="K38" s="104">
        <f t="shared" si="0"/>
        <v>5284.6206376599839</v>
      </c>
      <c r="L38" s="104"/>
      <c r="M38" s="14"/>
      <c r="N38" s="13">
        <v>2030</v>
      </c>
      <c r="O38" s="16">
        <f t="shared" si="4"/>
        <v>112.64925865953062</v>
      </c>
      <c r="P38" s="13">
        <f t="shared" si="4"/>
        <v>-54.071644156574685</v>
      </c>
      <c r="Q38" s="103">
        <f t="shared" si="5"/>
        <v>75.008459639520069</v>
      </c>
      <c r="R38" s="103"/>
      <c r="S38" s="103"/>
      <c r="T38" s="103"/>
      <c r="U38" s="38">
        <f t="shared" si="1"/>
        <v>4393.8166332243354</v>
      </c>
    </row>
    <row r="39" spans="2:21">
      <c r="C39" s="13">
        <v>2031</v>
      </c>
      <c r="D39" s="103">
        <f t="shared" si="2"/>
        <v>76.965271115234145</v>
      </c>
      <c r="E39" s="103"/>
      <c r="F39" s="103"/>
      <c r="G39" s="103"/>
      <c r="H39" s="16">
        <f t="shared" si="3"/>
        <v>114.33899753942356</v>
      </c>
      <c r="I39" s="103">
        <f t="shared" si="3"/>
        <v>-41.162039114192481</v>
      </c>
      <c r="J39" s="103"/>
      <c r="K39" s="104">
        <f t="shared" si="0"/>
        <v>5632.0844445861276</v>
      </c>
      <c r="L39" s="104"/>
      <c r="M39" s="14"/>
      <c r="N39" s="13">
        <v>2031</v>
      </c>
      <c r="O39" s="16">
        <f t="shared" si="4"/>
        <v>114.33899753942356</v>
      </c>
      <c r="P39" s="13">
        <f t="shared" si="4"/>
        <v>-54.882718818923301</v>
      </c>
      <c r="Q39" s="103">
        <f t="shared" si="5"/>
        <v>82.509305603472086</v>
      </c>
      <c r="R39" s="103"/>
      <c r="S39" s="103"/>
      <c r="T39" s="103"/>
      <c r="U39" s="38">
        <f t="shared" si="1"/>
        <v>4905.6962709949703</v>
      </c>
    </row>
    <row r="40" spans="2:21">
      <c r="C40" s="13">
        <v>2032</v>
      </c>
      <c r="D40" s="103">
        <f t="shared" si="2"/>
        <v>80.81353467099585</v>
      </c>
      <c r="E40" s="103"/>
      <c r="F40" s="103"/>
      <c r="G40" s="103"/>
      <c r="H40" s="16">
        <f t="shared" si="3"/>
        <v>116.0540825025149</v>
      </c>
      <c r="I40" s="103">
        <f t="shared" si="3"/>
        <v>-41.779469700905366</v>
      </c>
      <c r="J40" s="103"/>
      <c r="K40" s="104">
        <f t="shared" si="0"/>
        <v>6002.3939968176646</v>
      </c>
      <c r="L40" s="104"/>
      <c r="M40" s="14"/>
      <c r="N40" s="13">
        <v>2032</v>
      </c>
      <c r="O40" s="16">
        <f t="shared" si="4"/>
        <v>116.0540825025149</v>
      </c>
      <c r="P40" s="13">
        <f t="shared" si="4"/>
        <v>-55.705959601207148</v>
      </c>
      <c r="Q40" s="103">
        <f t="shared" si="5"/>
        <v>90.7602361638193</v>
      </c>
      <c r="R40" s="103"/>
      <c r="S40" s="103"/>
      <c r="T40" s="103"/>
      <c r="U40" s="38">
        <f>Q40*(O40+P40)</f>
        <v>5477.2098865658836</v>
      </c>
    </row>
    <row r="41" spans="2:21">
      <c r="C41" s="13">
        <v>2033</v>
      </c>
      <c r="D41" s="103">
        <f t="shared" si="2"/>
        <v>84.854211404545651</v>
      </c>
      <c r="E41" s="103"/>
      <c r="F41" s="103"/>
      <c r="G41" s="103"/>
      <c r="H41" s="16">
        <f t="shared" ref="H41:I41" si="6">H40*(1+$H$25)</f>
        <v>117.79489374005261</v>
      </c>
      <c r="I41" s="103">
        <f t="shared" si="6"/>
        <v>-42.406161746418945</v>
      </c>
      <c r="J41" s="103"/>
      <c r="K41" s="104">
        <f t="shared" ref="K41:K45" si="7">D41*(H41+I41)</f>
        <v>6397.0514021084255</v>
      </c>
      <c r="L41" s="104"/>
      <c r="M41" s="14"/>
      <c r="N41" s="13">
        <v>2033</v>
      </c>
      <c r="O41" s="16">
        <f t="shared" ref="O41:P41" si="8">O40*(1+$H$25)</f>
        <v>117.79489374005261</v>
      </c>
      <c r="P41" s="13">
        <f t="shared" si="8"/>
        <v>-56.541548995225249</v>
      </c>
      <c r="Q41" s="103">
        <f t="shared" si="5"/>
        <v>99.836259780201232</v>
      </c>
      <c r="R41" s="103"/>
      <c r="S41" s="103"/>
      <c r="T41" s="103"/>
      <c r="U41" s="38">
        <f t="shared" ref="U41:U45" si="9">Q41*(O41+P41)</f>
        <v>6115.3048383508085</v>
      </c>
    </row>
    <row r="42" spans="2:21">
      <c r="C42" s="13">
        <v>2034</v>
      </c>
      <c r="D42" s="103">
        <f t="shared" si="2"/>
        <v>89.09692197477294</v>
      </c>
      <c r="E42" s="103"/>
      <c r="F42" s="103"/>
      <c r="G42" s="103"/>
      <c r="H42" s="16">
        <f t="shared" ref="H42:I42" si="10">H41*(1+$H$25)</f>
        <v>119.56181714615339</v>
      </c>
      <c r="I42" s="103">
        <f t="shared" si="10"/>
        <v>-43.042254172615223</v>
      </c>
      <c r="J42" s="103"/>
      <c r="K42" s="104">
        <f t="shared" si="7"/>
        <v>6817.6575317970546</v>
      </c>
      <c r="L42" s="104"/>
      <c r="M42" s="14"/>
      <c r="N42" s="13">
        <v>2034</v>
      </c>
      <c r="O42" s="16">
        <f t="shared" ref="O42:P42" si="11">O41*(1+$H$25)</f>
        <v>119.56181714615339</v>
      </c>
      <c r="P42" s="13">
        <f t="shared" si="11"/>
        <v>-57.389672230153622</v>
      </c>
      <c r="Q42" s="103">
        <f t="shared" si="5"/>
        <v>109.81988575822136</v>
      </c>
      <c r="R42" s="103"/>
      <c r="S42" s="103"/>
      <c r="T42" s="103"/>
      <c r="U42" s="38">
        <f t="shared" si="9"/>
        <v>6827.7378520186776</v>
      </c>
    </row>
    <row r="43" spans="2:21">
      <c r="C43" s="13">
        <v>2035</v>
      </c>
      <c r="D43" s="103">
        <f t="shared" si="2"/>
        <v>93.551768073511596</v>
      </c>
      <c r="E43" s="103"/>
      <c r="F43" s="103"/>
      <c r="G43" s="103"/>
      <c r="H43" s="16">
        <f t="shared" ref="H43:I43" si="12">H42*(1+$H$25)</f>
        <v>121.35524440334568</v>
      </c>
      <c r="I43" s="103">
        <f t="shared" si="12"/>
        <v>-43.687887985204448</v>
      </c>
      <c r="J43" s="103"/>
      <c r="K43" s="104">
        <f t="shared" si="7"/>
        <v>7265.9185145127103</v>
      </c>
      <c r="L43" s="104"/>
      <c r="M43" s="14"/>
      <c r="N43" s="13">
        <v>2035</v>
      </c>
      <c r="O43" s="16">
        <f t="shared" ref="O43:P43" si="13">O42*(1+$H$25)</f>
        <v>121.35524440334568</v>
      </c>
      <c r="P43" s="13">
        <f t="shared" si="13"/>
        <v>-58.250517313605918</v>
      </c>
      <c r="Q43" s="103">
        <f t="shared" si="5"/>
        <v>120.8018743340435</v>
      </c>
      <c r="R43" s="103"/>
      <c r="S43" s="103"/>
      <c r="T43" s="103"/>
      <c r="U43" s="38">
        <f t="shared" si="9"/>
        <v>7623.1693117788536</v>
      </c>
    </row>
    <row r="44" spans="2:21">
      <c r="C44" s="13">
        <v>2036</v>
      </c>
      <c r="D44" s="103">
        <f t="shared" si="2"/>
        <v>98.229356477187181</v>
      </c>
      <c r="E44" s="103"/>
      <c r="F44" s="103"/>
      <c r="G44" s="103"/>
      <c r="H44" s="16">
        <f t="shared" ref="H44:I44" si="14">H43*(1+$H$25)</f>
        <v>123.17557306939585</v>
      </c>
      <c r="I44" s="103">
        <f t="shared" si="14"/>
        <v>-44.343206304982509</v>
      </c>
      <c r="J44" s="103"/>
      <c r="K44" s="104">
        <f t="shared" si="7"/>
        <v>7743.6526568419204</v>
      </c>
      <c r="L44" s="104"/>
      <c r="M44" s="14"/>
      <c r="N44" s="13">
        <v>2036</v>
      </c>
      <c r="O44" s="16">
        <f t="shared" ref="O44:P44" si="15">O43*(1+$H$25)</f>
        <v>123.17557306939585</v>
      </c>
      <c r="P44" s="13">
        <f t="shared" si="15"/>
        <v>-59.124275073310002</v>
      </c>
      <c r="Q44" s="103">
        <f t="shared" si="5"/>
        <v>132.88206176744785</v>
      </c>
      <c r="R44" s="103"/>
      <c r="S44" s="103"/>
      <c r="T44" s="103"/>
      <c r="U44" s="38">
        <f t="shared" si="9"/>
        <v>8511.2685366010883</v>
      </c>
    </row>
    <row r="45" spans="2:21">
      <c r="C45" s="13">
        <v>2037</v>
      </c>
      <c r="D45" s="103">
        <f t="shared" si="2"/>
        <v>103.14082430104655</v>
      </c>
      <c r="E45" s="103"/>
      <c r="F45" s="103"/>
      <c r="G45" s="103"/>
      <c r="H45" s="16">
        <f t="shared" ref="H45:I45" si="16">H44*(1+$H$25)</f>
        <v>125.02320666543677</v>
      </c>
      <c r="I45" s="103">
        <f t="shared" si="16"/>
        <v>-45.008354399557241</v>
      </c>
      <c r="J45" s="103"/>
      <c r="K45" s="104">
        <f t="shared" si="7"/>
        <v>8252.7978190292779</v>
      </c>
      <c r="L45" s="104"/>
      <c r="M45" s="14"/>
      <c r="N45" s="13">
        <v>2037</v>
      </c>
      <c r="O45" s="16">
        <f t="shared" ref="O45:P45" si="17">O44*(1+$H$25)</f>
        <v>125.02320666543677</v>
      </c>
      <c r="P45" s="13">
        <f t="shared" si="17"/>
        <v>-60.011139199409648</v>
      </c>
      <c r="Q45" s="103">
        <f t="shared" si="5"/>
        <v>146.17026794419266</v>
      </c>
      <c r="R45" s="103"/>
      <c r="S45" s="103"/>
      <c r="T45" s="103"/>
      <c r="U45" s="38">
        <f t="shared" si="9"/>
        <v>9502.8313211151162</v>
      </c>
    </row>
    <row r="47" spans="2:21" ht="31">
      <c r="B47" s="66">
        <v>2</v>
      </c>
      <c r="C47" s="105" t="s">
        <v>107</v>
      </c>
      <c r="D47" s="105"/>
      <c r="E47" s="105"/>
      <c r="F47" s="105"/>
      <c r="G47" s="3"/>
      <c r="H47" s="3"/>
      <c r="I47" s="3"/>
      <c r="J47" s="3"/>
    </row>
    <row r="48" spans="2:21">
      <c r="C48" s="3"/>
      <c r="D48" s="3"/>
      <c r="E48" s="3"/>
      <c r="F48" s="3"/>
      <c r="G48" s="3"/>
      <c r="H48" s="3"/>
      <c r="I48" s="3"/>
      <c r="J48" s="3"/>
    </row>
    <row r="49" spans="3:10">
      <c r="C49" s="101" t="s">
        <v>18</v>
      </c>
      <c r="D49" s="101"/>
      <c r="E49" s="101"/>
      <c r="F49" s="101"/>
      <c r="G49" s="39">
        <v>0.08</v>
      </c>
      <c r="H49" s="3"/>
      <c r="I49" s="3"/>
      <c r="J49" s="3"/>
    </row>
    <row r="50" spans="3:10">
      <c r="C50" s="17"/>
      <c r="D50" s="3"/>
      <c r="E50" s="3"/>
      <c r="F50" s="3"/>
      <c r="G50" s="3"/>
      <c r="H50" s="3"/>
      <c r="I50" s="3"/>
      <c r="J50" s="3"/>
    </row>
    <row r="51" spans="3:10">
      <c r="C51" s="36" t="s">
        <v>0</v>
      </c>
      <c r="D51" s="99" t="s">
        <v>19</v>
      </c>
      <c r="E51" s="99"/>
      <c r="F51" s="99"/>
      <c r="G51" s="36" t="s">
        <v>13</v>
      </c>
      <c r="H51" s="36" t="s">
        <v>20</v>
      </c>
      <c r="I51" s="99" t="s">
        <v>15</v>
      </c>
      <c r="J51" s="99"/>
    </row>
    <row r="52" spans="3:10">
      <c r="C52" s="36">
        <v>2022</v>
      </c>
      <c r="D52" s="150">
        <v>0</v>
      </c>
      <c r="E52" s="151"/>
      <c r="F52" s="152"/>
      <c r="G52" s="36">
        <v>0</v>
      </c>
      <c r="H52" s="36">
        <v>0</v>
      </c>
      <c r="I52" s="150">
        <v>0</v>
      </c>
      <c r="J52" s="152"/>
    </row>
    <row r="53" spans="3:10">
      <c r="C53" s="22">
        <v>2023</v>
      </c>
      <c r="D53" s="106">
        <v>5</v>
      </c>
      <c r="E53" s="106"/>
      <c r="F53" s="106"/>
      <c r="G53" s="19">
        <f>H31/2</f>
        <v>50.749999999999993</v>
      </c>
      <c r="H53" s="19">
        <f t="shared" ref="H53:H67" si="18">0.6*P31</f>
        <v>-29.231999999999999</v>
      </c>
      <c r="I53" s="106">
        <f t="shared" ref="I53:I62" si="19">D53*(G53+H53)</f>
        <v>107.58999999999997</v>
      </c>
      <c r="J53" s="106"/>
    </row>
    <row r="54" spans="3:10">
      <c r="C54" s="22">
        <v>2024</v>
      </c>
      <c r="D54" s="106">
        <f t="shared" ref="D54:D61" si="20">D53*(1+$G$49)</f>
        <v>5.4</v>
      </c>
      <c r="E54" s="106"/>
      <c r="F54" s="106"/>
      <c r="G54" s="19">
        <f t="shared" ref="G54:G61" si="21">G53*(1+$H$25)</f>
        <v>51.51124999999999</v>
      </c>
      <c r="H54" s="19">
        <f t="shared" si="18"/>
        <v>-29.670479999999994</v>
      </c>
      <c r="I54" s="106">
        <f t="shared" si="19"/>
        <v>117.94015799999998</v>
      </c>
      <c r="J54" s="106"/>
    </row>
    <row r="55" spans="3:10">
      <c r="C55" s="22">
        <v>2025</v>
      </c>
      <c r="D55" s="106">
        <f t="shared" si="20"/>
        <v>5.8320000000000007</v>
      </c>
      <c r="E55" s="106"/>
      <c r="F55" s="106"/>
      <c r="G55" s="19">
        <f t="shared" si="21"/>
        <v>52.283918749999984</v>
      </c>
      <c r="H55" s="19">
        <f t="shared" si="18"/>
        <v>-30.115537199999991</v>
      </c>
      <c r="I55" s="106">
        <f t="shared" si="19"/>
        <v>129.28600119959998</v>
      </c>
      <c r="J55" s="106"/>
    </row>
    <row r="56" spans="3:10">
      <c r="C56" s="22">
        <v>2026</v>
      </c>
      <c r="D56" s="106">
        <f t="shared" si="20"/>
        <v>6.298560000000001</v>
      </c>
      <c r="E56" s="106"/>
      <c r="F56" s="106"/>
      <c r="G56" s="19">
        <f t="shared" si="21"/>
        <v>53.068177531249979</v>
      </c>
      <c r="H56" s="19">
        <f t="shared" si="18"/>
        <v>-30.567270257999986</v>
      </c>
      <c r="I56" s="106">
        <f t="shared" si="19"/>
        <v>141.7233145150015</v>
      </c>
      <c r="J56" s="106"/>
    </row>
    <row r="57" spans="3:10">
      <c r="C57" s="22">
        <v>2027</v>
      </c>
      <c r="D57" s="106">
        <f t="shared" si="20"/>
        <v>6.8024448000000017</v>
      </c>
      <c r="E57" s="106"/>
      <c r="F57" s="106"/>
      <c r="G57" s="19">
        <f t="shared" si="21"/>
        <v>53.864200194218725</v>
      </c>
      <c r="H57" s="19">
        <f t="shared" si="18"/>
        <v>-31.025779311869982</v>
      </c>
      <c r="I57" s="106">
        <f t="shared" si="19"/>
        <v>155.35709737134465</v>
      </c>
      <c r="J57" s="106"/>
    </row>
    <row r="58" spans="3:10">
      <c r="C58" s="22">
        <v>2028</v>
      </c>
      <c r="D58" s="106">
        <f t="shared" si="20"/>
        <v>7.3466403840000023</v>
      </c>
      <c r="E58" s="106"/>
      <c r="F58" s="106"/>
      <c r="G58" s="19">
        <f t="shared" si="21"/>
        <v>54.672163197132001</v>
      </c>
      <c r="H58" s="19">
        <f t="shared" si="18"/>
        <v>-31.491166001548027</v>
      </c>
      <c r="I58" s="106">
        <f t="shared" si="19"/>
        <v>170.30245013846803</v>
      </c>
      <c r="J58" s="106"/>
    </row>
    <row r="59" spans="3:10">
      <c r="C59" s="22">
        <v>2029</v>
      </c>
      <c r="D59" s="106">
        <f t="shared" si="20"/>
        <v>7.9343716147200034</v>
      </c>
      <c r="E59" s="106"/>
      <c r="F59" s="106"/>
      <c r="G59" s="19">
        <f t="shared" si="21"/>
        <v>55.492245645088978</v>
      </c>
      <c r="H59" s="19">
        <f t="shared" si="18"/>
        <v>-31.963533491571244</v>
      </c>
      <c r="I59" s="106">
        <f t="shared" si="19"/>
        <v>186.68554584178867</v>
      </c>
      <c r="J59" s="106"/>
    </row>
    <row r="60" spans="3:10">
      <c r="C60" s="22">
        <v>2030</v>
      </c>
      <c r="D60" s="106">
        <f t="shared" si="20"/>
        <v>8.5691213438976046</v>
      </c>
      <c r="E60" s="106"/>
      <c r="F60" s="106"/>
      <c r="G60" s="19">
        <f t="shared" si="21"/>
        <v>56.324629329765308</v>
      </c>
      <c r="H60" s="19">
        <f t="shared" si="18"/>
        <v>-32.442986493944808</v>
      </c>
      <c r="I60" s="106">
        <f t="shared" si="19"/>
        <v>204.64469535176877</v>
      </c>
      <c r="J60" s="106"/>
    </row>
    <row r="61" spans="3:10">
      <c r="C61" s="22">
        <v>2031</v>
      </c>
      <c r="D61" s="106">
        <f t="shared" si="20"/>
        <v>9.2546510514094145</v>
      </c>
      <c r="E61" s="106"/>
      <c r="F61" s="106"/>
      <c r="G61" s="19">
        <f t="shared" si="21"/>
        <v>57.16949876971178</v>
      </c>
      <c r="H61" s="19">
        <f t="shared" si="18"/>
        <v>-32.929631291353978</v>
      </c>
      <c r="I61" s="106">
        <f t="shared" si="19"/>
        <v>224.33151504460889</v>
      </c>
      <c r="J61" s="106"/>
    </row>
    <row r="62" spans="3:10">
      <c r="C62" s="22">
        <v>2032</v>
      </c>
      <c r="D62" s="106">
        <f>D61*(1+$G$49)</f>
        <v>9.9950231355221675</v>
      </c>
      <c r="E62" s="106"/>
      <c r="F62" s="106"/>
      <c r="G62" s="19">
        <f>G61*(1+$H$25)</f>
        <v>58.027041251257451</v>
      </c>
      <c r="H62" s="19">
        <f t="shared" si="18"/>
        <v>-33.42357576072429</v>
      </c>
      <c r="I62" s="106">
        <f t="shared" si="19"/>
        <v>245.91220679190019</v>
      </c>
      <c r="J62" s="106"/>
    </row>
    <row r="63" spans="3:10">
      <c r="C63" s="22">
        <v>2033</v>
      </c>
      <c r="D63" s="106">
        <f t="shared" ref="D63:D67" si="22">D62*(1+$G$49)</f>
        <v>10.794624986363942</v>
      </c>
      <c r="E63" s="106"/>
      <c r="F63" s="106"/>
      <c r="G63" s="19">
        <f t="shared" ref="G63:G67" si="23">G62*(1+$H$25)</f>
        <v>58.897446870026307</v>
      </c>
      <c r="H63" s="19">
        <f t="shared" si="18"/>
        <v>-33.924929397135145</v>
      </c>
      <c r="I63" s="106">
        <f t="shared" ref="I63:I67" si="24">D63*(G63+H63)</f>
        <v>269.5689610852811</v>
      </c>
      <c r="J63" s="106"/>
    </row>
    <row r="64" spans="3:10">
      <c r="C64" s="22">
        <v>2034</v>
      </c>
      <c r="D64" s="106">
        <f t="shared" si="22"/>
        <v>11.658194985273058</v>
      </c>
      <c r="E64" s="106"/>
      <c r="F64" s="106"/>
      <c r="G64" s="19">
        <f t="shared" si="23"/>
        <v>59.780908573076694</v>
      </c>
      <c r="H64" s="19">
        <f t="shared" si="18"/>
        <v>-34.433803338092169</v>
      </c>
      <c r="I64" s="106">
        <f t="shared" si="24"/>
        <v>295.50149514168504</v>
      </c>
      <c r="J64" s="106"/>
    </row>
    <row r="65" spans="3:10">
      <c r="C65" s="22">
        <v>2035</v>
      </c>
      <c r="D65" s="106">
        <f t="shared" si="22"/>
        <v>12.590850584094904</v>
      </c>
      <c r="E65" s="106"/>
      <c r="F65" s="106"/>
      <c r="G65" s="19">
        <f t="shared" si="23"/>
        <v>60.67762220167284</v>
      </c>
      <c r="H65" s="19">
        <f t="shared" si="18"/>
        <v>-34.950310388163551</v>
      </c>
      <c r="I65" s="106">
        <f t="shared" si="24"/>
        <v>323.92873897431514</v>
      </c>
      <c r="J65" s="106"/>
    </row>
    <row r="66" spans="3:10">
      <c r="C66" s="22">
        <v>2036</v>
      </c>
      <c r="D66" s="106">
        <f t="shared" si="22"/>
        <v>13.598118630822498</v>
      </c>
      <c r="E66" s="106"/>
      <c r="F66" s="106"/>
      <c r="G66" s="19">
        <f t="shared" si="23"/>
        <v>61.587786534697926</v>
      </c>
      <c r="H66" s="19">
        <f t="shared" si="18"/>
        <v>-35.474565043985997</v>
      </c>
      <c r="I66" s="106">
        <f t="shared" si="24"/>
        <v>355.09068366364431</v>
      </c>
      <c r="J66" s="106"/>
    </row>
    <row r="67" spans="3:10">
      <c r="C67" s="22">
        <v>2037</v>
      </c>
      <c r="D67" s="106">
        <f t="shared" si="22"/>
        <v>14.685968121288299</v>
      </c>
      <c r="E67" s="106"/>
      <c r="F67" s="106"/>
      <c r="G67" s="19">
        <f t="shared" si="23"/>
        <v>62.511603332718387</v>
      </c>
      <c r="H67" s="19">
        <f t="shared" si="18"/>
        <v>-36.00668351964579</v>
      </c>
      <c r="I67" s="106">
        <f t="shared" si="24"/>
        <v>389.25040743208677</v>
      </c>
      <c r="J67" s="106"/>
    </row>
    <row r="69" spans="3:10" ht="37">
      <c r="C69" s="98" t="s">
        <v>21</v>
      </c>
      <c r="D69" s="98"/>
      <c r="E69" s="98"/>
    </row>
    <row r="70" spans="3:10">
      <c r="C70" s="3"/>
      <c r="D70" s="3"/>
      <c r="E70" s="3"/>
    </row>
    <row r="71" spans="3:10">
      <c r="C71" s="36" t="s">
        <v>0</v>
      </c>
      <c r="D71" s="99" t="s">
        <v>22</v>
      </c>
      <c r="E71" s="99"/>
    </row>
    <row r="72" spans="3:10">
      <c r="C72" s="22">
        <v>2022</v>
      </c>
      <c r="D72" s="106">
        <f t="shared" ref="D72:D87" si="25">K30+U30+I53</f>
        <v>5102.3740000000007</v>
      </c>
      <c r="E72" s="106"/>
    </row>
    <row r="73" spans="3:10">
      <c r="C73" s="22">
        <v>2023</v>
      </c>
      <c r="D73" s="106">
        <f t="shared" si="25"/>
        <v>5533.4750939999994</v>
      </c>
      <c r="E73" s="106"/>
    </row>
    <row r="74" spans="3:10">
      <c r="C74" s="22">
        <v>2024</v>
      </c>
      <c r="D74" s="106">
        <f t="shared" si="25"/>
        <v>6003.9943101936005</v>
      </c>
      <c r="E74" s="106"/>
    </row>
    <row r="75" spans="3:10">
      <c r="C75" s="22">
        <v>2025</v>
      </c>
      <c r="D75" s="106">
        <f t="shared" si="25"/>
        <v>6517.8070230632648</v>
      </c>
      <c r="E75" s="106"/>
    </row>
    <row r="76" spans="3:10">
      <c r="C76" s="22">
        <v>2026</v>
      </c>
      <c r="D76" s="106">
        <f t="shared" si="25"/>
        <v>7079.1923407342802</v>
      </c>
      <c r="E76" s="106"/>
    </row>
    <row r="77" spans="3:10">
      <c r="C77" s="22">
        <v>2027</v>
      </c>
      <c r="D77" s="106">
        <f t="shared" si="25"/>
        <v>7692.8769413390346</v>
      </c>
      <c r="E77" s="106"/>
    </row>
    <row r="78" spans="3:10">
      <c r="C78" s="22">
        <v>2028</v>
      </c>
      <c r="D78" s="106">
        <f t="shared" si="25"/>
        <v>8364.0838003136396</v>
      </c>
      <c r="E78" s="106"/>
    </row>
    <row r="79" spans="3:10">
      <c r="C79" s="22">
        <v>2029</v>
      </c>
      <c r="D79" s="106">
        <f t="shared" si="25"/>
        <v>9098.5863636703089</v>
      </c>
      <c r="E79" s="106"/>
    </row>
    <row r="80" spans="3:10">
      <c r="C80" s="22">
        <v>2030</v>
      </c>
      <c r="D80" s="106">
        <f t="shared" si="25"/>
        <v>9902.7687859289272</v>
      </c>
      <c r="E80" s="106"/>
    </row>
    <row r="81" spans="2:7">
      <c r="C81" s="22">
        <v>2031</v>
      </c>
      <c r="D81" s="106">
        <f t="shared" si="25"/>
        <v>10783.692922372999</v>
      </c>
      <c r="E81" s="106"/>
    </row>
    <row r="82" spans="2:7">
      <c r="C82" s="22">
        <v>2032</v>
      </c>
      <c r="D82" s="106">
        <f t="shared" si="25"/>
        <v>11749.172844468829</v>
      </c>
      <c r="E82" s="106"/>
    </row>
    <row r="83" spans="2:7">
      <c r="C83" s="22">
        <v>2033</v>
      </c>
      <c r="D83" s="106">
        <f t="shared" si="25"/>
        <v>12807.857735600919</v>
      </c>
      <c r="E83" s="106"/>
    </row>
    <row r="84" spans="2:7">
      <c r="C84" s="22">
        <v>2034</v>
      </c>
      <c r="D84" s="106">
        <f t="shared" si="25"/>
        <v>13969.324122790047</v>
      </c>
      <c r="E84" s="106"/>
    </row>
    <row r="85" spans="2:7">
      <c r="C85" s="22">
        <v>2035</v>
      </c>
      <c r="D85" s="106">
        <f t="shared" si="25"/>
        <v>15244.178509955209</v>
      </c>
      <c r="E85" s="106"/>
    </row>
    <row r="86" spans="2:7">
      <c r="C86" s="22">
        <v>2036</v>
      </c>
      <c r="D86" s="106">
        <f t="shared" si="25"/>
        <v>16644.171600875095</v>
      </c>
      <c r="E86" s="106"/>
    </row>
    <row r="87" spans="2:7">
      <c r="C87" s="22">
        <v>2037</v>
      </c>
      <c r="D87" s="106">
        <f t="shared" si="25"/>
        <v>17755.629140144396</v>
      </c>
      <c r="E87" s="106"/>
    </row>
    <row r="88" spans="2:7">
      <c r="C88" s="91"/>
      <c r="D88" s="92"/>
      <c r="E88" s="92"/>
    </row>
    <row r="89" spans="2:7" ht="35">
      <c r="C89" s="65" t="s">
        <v>10</v>
      </c>
    </row>
    <row r="90" spans="2:7">
      <c r="G90" s="5"/>
    </row>
    <row r="91" spans="2:7">
      <c r="B91" s="54">
        <v>1</v>
      </c>
      <c r="C91" s="50" t="s">
        <v>23</v>
      </c>
      <c r="D91" s="47"/>
      <c r="E91" s="47"/>
      <c r="F91" s="47"/>
      <c r="G91" s="40">
        <v>-150</v>
      </c>
    </row>
    <row r="92" spans="2:7">
      <c r="B92" s="55"/>
      <c r="C92" s="20"/>
      <c r="G92" s="17"/>
    </row>
    <row r="93" spans="2:7">
      <c r="B93" s="54">
        <v>2</v>
      </c>
      <c r="C93" s="49" t="s">
        <v>24</v>
      </c>
    </row>
    <row r="94" spans="2:7">
      <c r="B94" s="55"/>
    </row>
    <row r="95" spans="2:7">
      <c r="B95" s="52" t="s">
        <v>29</v>
      </c>
      <c r="C95" s="111" t="s">
        <v>25</v>
      </c>
      <c r="D95" s="111"/>
      <c r="E95" s="111"/>
      <c r="F95" s="111"/>
      <c r="G95" s="40">
        <v>1000</v>
      </c>
    </row>
    <row r="96" spans="2:7">
      <c r="B96" s="52" t="s">
        <v>30</v>
      </c>
      <c r="C96" s="111" t="s">
        <v>26</v>
      </c>
      <c r="D96" s="111"/>
      <c r="E96" s="111"/>
      <c r="F96" s="111"/>
      <c r="G96" s="40">
        <v>200</v>
      </c>
    </row>
    <row r="97" spans="2:8">
      <c r="B97" s="52" t="s">
        <v>31</v>
      </c>
      <c r="C97" s="111" t="s">
        <v>27</v>
      </c>
      <c r="D97" s="111"/>
      <c r="E97" s="111"/>
      <c r="F97" s="111"/>
      <c r="G97" s="40">
        <v>15</v>
      </c>
    </row>
    <row r="98" spans="2:8">
      <c r="B98" s="52" t="s">
        <v>32</v>
      </c>
      <c r="C98" s="111" t="s">
        <v>28</v>
      </c>
      <c r="D98" s="111"/>
      <c r="E98" s="111"/>
      <c r="F98" s="111"/>
      <c r="G98" s="40">
        <f>(G95-G96)/G97</f>
        <v>53.333333333333336</v>
      </c>
    </row>
    <row r="100" spans="2:8">
      <c r="C100" s="36" t="s">
        <v>0</v>
      </c>
      <c r="D100" s="99" t="s">
        <v>33</v>
      </c>
      <c r="E100" s="99"/>
      <c r="F100" s="99"/>
      <c r="G100" s="99" t="s">
        <v>34</v>
      </c>
      <c r="H100" s="99"/>
    </row>
    <row r="101" spans="2:8">
      <c r="C101" s="22">
        <v>2022</v>
      </c>
      <c r="D101" s="110">
        <v>-1000</v>
      </c>
      <c r="E101" s="110"/>
      <c r="F101" s="110"/>
      <c r="G101" s="110">
        <v>0</v>
      </c>
      <c r="H101" s="110"/>
    </row>
    <row r="102" spans="2:8">
      <c r="C102" s="22">
        <v>2023</v>
      </c>
      <c r="D102" s="110">
        <v>0</v>
      </c>
      <c r="E102" s="110"/>
      <c r="F102" s="110"/>
      <c r="G102" s="149">
        <f>G98</f>
        <v>53.333333333333336</v>
      </c>
      <c r="H102" s="149"/>
    </row>
    <row r="103" spans="2:8">
      <c r="C103" s="22">
        <v>2024</v>
      </c>
      <c r="D103" s="110">
        <v>0</v>
      </c>
      <c r="E103" s="110"/>
      <c r="F103" s="110"/>
      <c r="G103" s="149">
        <f>G102</f>
        <v>53.333333333333336</v>
      </c>
      <c r="H103" s="149"/>
    </row>
    <row r="104" spans="2:8">
      <c r="C104" s="22">
        <v>2025</v>
      </c>
      <c r="D104" s="110">
        <v>0</v>
      </c>
      <c r="E104" s="110"/>
      <c r="F104" s="110"/>
      <c r="G104" s="149">
        <f t="shared" ref="G104:G116" si="26">G103</f>
        <v>53.333333333333336</v>
      </c>
      <c r="H104" s="149"/>
    </row>
    <row r="105" spans="2:8">
      <c r="C105" s="22">
        <v>2026</v>
      </c>
      <c r="D105" s="110">
        <v>0</v>
      </c>
      <c r="E105" s="110"/>
      <c r="F105" s="110"/>
      <c r="G105" s="149">
        <f t="shared" si="26"/>
        <v>53.333333333333336</v>
      </c>
      <c r="H105" s="149"/>
    </row>
    <row r="106" spans="2:8">
      <c r="C106" s="22">
        <v>2027</v>
      </c>
      <c r="D106" s="110">
        <v>0</v>
      </c>
      <c r="E106" s="110"/>
      <c r="F106" s="110"/>
      <c r="G106" s="149">
        <f t="shared" si="26"/>
        <v>53.333333333333336</v>
      </c>
      <c r="H106" s="149"/>
    </row>
    <row r="107" spans="2:8">
      <c r="C107" s="22">
        <v>2028</v>
      </c>
      <c r="D107" s="110">
        <v>0</v>
      </c>
      <c r="E107" s="110"/>
      <c r="F107" s="110"/>
      <c r="G107" s="149">
        <f t="shared" si="26"/>
        <v>53.333333333333336</v>
      </c>
      <c r="H107" s="149"/>
    </row>
    <row r="108" spans="2:8">
      <c r="C108" s="22">
        <v>2029</v>
      </c>
      <c r="D108" s="110">
        <v>0</v>
      </c>
      <c r="E108" s="110"/>
      <c r="F108" s="110"/>
      <c r="G108" s="149">
        <f t="shared" si="26"/>
        <v>53.333333333333336</v>
      </c>
      <c r="H108" s="149"/>
    </row>
    <row r="109" spans="2:8">
      <c r="C109" s="22">
        <v>2030</v>
      </c>
      <c r="D109" s="110">
        <v>0</v>
      </c>
      <c r="E109" s="110"/>
      <c r="F109" s="110"/>
      <c r="G109" s="149">
        <f t="shared" si="26"/>
        <v>53.333333333333336</v>
      </c>
      <c r="H109" s="149"/>
    </row>
    <row r="110" spans="2:8">
      <c r="C110" s="22">
        <v>2031</v>
      </c>
      <c r="D110" s="110">
        <v>0</v>
      </c>
      <c r="E110" s="110"/>
      <c r="F110" s="110"/>
      <c r="G110" s="149">
        <f t="shared" si="26"/>
        <v>53.333333333333336</v>
      </c>
      <c r="H110" s="149"/>
    </row>
    <row r="111" spans="2:8">
      <c r="C111" s="22">
        <v>2032</v>
      </c>
      <c r="D111" s="110">
        <v>0</v>
      </c>
      <c r="E111" s="110"/>
      <c r="F111" s="110"/>
      <c r="G111" s="149">
        <f t="shared" si="26"/>
        <v>53.333333333333336</v>
      </c>
      <c r="H111" s="149"/>
    </row>
    <row r="112" spans="2:8">
      <c r="C112" s="22">
        <v>2033</v>
      </c>
      <c r="D112" s="110">
        <v>0</v>
      </c>
      <c r="E112" s="110"/>
      <c r="F112" s="110"/>
      <c r="G112" s="149">
        <f t="shared" si="26"/>
        <v>53.333333333333336</v>
      </c>
      <c r="H112" s="149"/>
    </row>
    <row r="113" spans="2:15">
      <c r="C113" s="22">
        <v>2034</v>
      </c>
      <c r="D113" s="110">
        <v>0</v>
      </c>
      <c r="E113" s="110"/>
      <c r="F113" s="110"/>
      <c r="G113" s="149">
        <f t="shared" si="26"/>
        <v>53.333333333333336</v>
      </c>
      <c r="H113" s="149"/>
    </row>
    <row r="114" spans="2:15">
      <c r="C114" s="22">
        <v>2035</v>
      </c>
      <c r="D114" s="110">
        <v>0</v>
      </c>
      <c r="E114" s="110"/>
      <c r="F114" s="110"/>
      <c r="G114" s="149">
        <f t="shared" si="26"/>
        <v>53.333333333333336</v>
      </c>
      <c r="H114" s="149"/>
    </row>
    <row r="115" spans="2:15">
      <c r="C115" s="22">
        <v>2036</v>
      </c>
      <c r="D115" s="110">
        <v>0</v>
      </c>
      <c r="E115" s="110"/>
      <c r="F115" s="110"/>
      <c r="G115" s="149">
        <f t="shared" si="26"/>
        <v>53.333333333333336</v>
      </c>
      <c r="H115" s="149"/>
    </row>
    <row r="116" spans="2:15">
      <c r="C116" s="22">
        <v>2037</v>
      </c>
      <c r="D116" s="110">
        <v>0</v>
      </c>
      <c r="E116" s="110"/>
      <c r="F116" s="110"/>
      <c r="G116" s="149">
        <f t="shared" si="26"/>
        <v>53.333333333333336</v>
      </c>
      <c r="H116" s="149"/>
    </row>
    <row r="118" spans="2:15" ht="33">
      <c r="B118" s="63">
        <v>3</v>
      </c>
      <c r="C118" s="112" t="s">
        <v>38</v>
      </c>
      <c r="D118" s="112"/>
      <c r="E118" s="112"/>
      <c r="F118" s="112"/>
      <c r="G118" s="3"/>
    </row>
    <row r="119" spans="2:15">
      <c r="C119" s="20"/>
      <c r="D119" s="20"/>
      <c r="E119" s="20"/>
      <c r="F119" s="20"/>
      <c r="G119" s="3"/>
    </row>
    <row r="120" spans="2:15">
      <c r="C120" s="101" t="s">
        <v>35</v>
      </c>
      <c r="D120" s="101"/>
      <c r="E120" s="101"/>
      <c r="F120" s="101"/>
      <c r="G120" s="53">
        <f>-400</f>
        <v>-400</v>
      </c>
    </row>
    <row r="121" spans="2:15">
      <c r="C121" s="101" t="s">
        <v>36</v>
      </c>
      <c r="D121" s="101"/>
      <c r="E121" s="101"/>
      <c r="F121" s="101"/>
      <c r="G121" s="39">
        <v>0.05</v>
      </c>
    </row>
    <row r="122" spans="2:15">
      <c r="C122" s="101" t="s">
        <v>37</v>
      </c>
      <c r="D122" s="101"/>
      <c r="E122" s="101"/>
      <c r="F122" s="101"/>
      <c r="G122" s="39">
        <v>0.1</v>
      </c>
    </row>
    <row r="124" spans="2:15">
      <c r="C124" s="56" t="s">
        <v>0</v>
      </c>
      <c r="D124" s="99" t="s">
        <v>39</v>
      </c>
      <c r="E124" s="99"/>
      <c r="F124" s="99"/>
      <c r="G124" s="99" t="s">
        <v>40</v>
      </c>
      <c r="H124" s="99"/>
      <c r="I124" s="99"/>
      <c r="J124" s="99" t="s">
        <v>41</v>
      </c>
      <c r="K124" s="99"/>
      <c r="L124" s="99"/>
      <c r="M124" s="99" t="s">
        <v>42</v>
      </c>
      <c r="N124" s="99"/>
      <c r="O124" s="99"/>
    </row>
    <row r="125" spans="2:15">
      <c r="C125" s="22">
        <v>2022</v>
      </c>
      <c r="D125" s="106">
        <f>G120</f>
        <v>-400</v>
      </c>
      <c r="E125" s="106"/>
      <c r="F125" s="106"/>
      <c r="G125" s="106">
        <f>G122*G120</f>
        <v>-40</v>
      </c>
      <c r="H125" s="106"/>
      <c r="I125" s="106"/>
      <c r="J125" s="106">
        <v>-40</v>
      </c>
      <c r="K125" s="106"/>
      <c r="L125" s="106"/>
      <c r="M125" s="106">
        <f t="shared" ref="M125:M135" si="27">D125+G125+J125</f>
        <v>-480</v>
      </c>
      <c r="N125" s="106"/>
      <c r="O125" s="106"/>
    </row>
    <row r="126" spans="2:15">
      <c r="C126" s="22">
        <v>2023</v>
      </c>
      <c r="D126" s="106">
        <f>D125*(1+$G$121)</f>
        <v>-420</v>
      </c>
      <c r="E126" s="106"/>
      <c r="F126" s="106"/>
      <c r="G126" s="106">
        <f>G125*(1+$G$122)</f>
        <v>-44</v>
      </c>
      <c r="H126" s="106"/>
      <c r="I126" s="106"/>
      <c r="J126" s="106">
        <f t="shared" ref="J126:J140" si="28">J125*(1+$F$124)</f>
        <v>-40</v>
      </c>
      <c r="K126" s="106"/>
      <c r="L126" s="106"/>
      <c r="M126" s="106">
        <f t="shared" si="27"/>
        <v>-504</v>
      </c>
      <c r="N126" s="106"/>
      <c r="O126" s="106"/>
    </row>
    <row r="127" spans="2:15">
      <c r="C127" s="22">
        <v>2024</v>
      </c>
      <c r="D127" s="106">
        <f>D126*(1+$G$121)</f>
        <v>-441</v>
      </c>
      <c r="E127" s="106"/>
      <c r="F127" s="106"/>
      <c r="G127" s="106">
        <f t="shared" ref="G127:G140" si="29">G126*(1+$G$122)</f>
        <v>-48.400000000000006</v>
      </c>
      <c r="H127" s="106"/>
      <c r="I127" s="106"/>
      <c r="J127" s="106">
        <f t="shared" si="28"/>
        <v>-40</v>
      </c>
      <c r="K127" s="106"/>
      <c r="L127" s="106"/>
      <c r="M127" s="106">
        <f t="shared" si="27"/>
        <v>-529.4</v>
      </c>
      <c r="N127" s="106"/>
      <c r="O127" s="106"/>
    </row>
    <row r="128" spans="2:15">
      <c r="C128" s="22">
        <v>2025</v>
      </c>
      <c r="D128" s="106">
        <f t="shared" ref="D128:D140" si="30">D127*(1+$G$121)</f>
        <v>-463.05</v>
      </c>
      <c r="E128" s="106"/>
      <c r="F128" s="106"/>
      <c r="G128" s="106">
        <f t="shared" si="29"/>
        <v>-53.240000000000009</v>
      </c>
      <c r="H128" s="106"/>
      <c r="I128" s="106"/>
      <c r="J128" s="106">
        <f t="shared" si="28"/>
        <v>-40</v>
      </c>
      <c r="K128" s="106"/>
      <c r="L128" s="106"/>
      <c r="M128" s="106">
        <f t="shared" si="27"/>
        <v>-556.29</v>
      </c>
      <c r="N128" s="106"/>
      <c r="O128" s="106"/>
    </row>
    <row r="129" spans="2:15">
      <c r="C129" s="22">
        <v>2026</v>
      </c>
      <c r="D129" s="106">
        <f t="shared" si="30"/>
        <v>-486.20250000000004</v>
      </c>
      <c r="E129" s="106"/>
      <c r="F129" s="106"/>
      <c r="G129" s="106">
        <f t="shared" si="29"/>
        <v>-58.564000000000014</v>
      </c>
      <c r="H129" s="106"/>
      <c r="I129" s="106"/>
      <c r="J129" s="106">
        <f t="shared" si="28"/>
        <v>-40</v>
      </c>
      <c r="K129" s="106"/>
      <c r="L129" s="106"/>
      <c r="M129" s="106">
        <f t="shared" si="27"/>
        <v>-584.76650000000006</v>
      </c>
      <c r="N129" s="106"/>
      <c r="O129" s="106"/>
    </row>
    <row r="130" spans="2:15">
      <c r="C130" s="22">
        <v>2027</v>
      </c>
      <c r="D130" s="106">
        <f t="shared" si="30"/>
        <v>-510.51262500000007</v>
      </c>
      <c r="E130" s="106"/>
      <c r="F130" s="106"/>
      <c r="G130" s="106">
        <f t="shared" si="29"/>
        <v>-64.420400000000015</v>
      </c>
      <c r="H130" s="106"/>
      <c r="I130" s="106"/>
      <c r="J130" s="106">
        <f t="shared" si="28"/>
        <v>-40</v>
      </c>
      <c r="K130" s="106"/>
      <c r="L130" s="106"/>
      <c r="M130" s="106">
        <f t="shared" si="27"/>
        <v>-614.93302500000004</v>
      </c>
      <c r="N130" s="106"/>
      <c r="O130" s="106"/>
    </row>
    <row r="131" spans="2:15">
      <c r="C131" s="22">
        <v>2028</v>
      </c>
      <c r="D131" s="106">
        <f t="shared" si="30"/>
        <v>-536.03825625000013</v>
      </c>
      <c r="E131" s="106"/>
      <c r="F131" s="106"/>
      <c r="G131" s="106">
        <f t="shared" si="29"/>
        <v>-70.862440000000021</v>
      </c>
      <c r="H131" s="106"/>
      <c r="I131" s="106"/>
      <c r="J131" s="106">
        <f t="shared" si="28"/>
        <v>-40</v>
      </c>
      <c r="K131" s="106"/>
      <c r="L131" s="106"/>
      <c r="M131" s="106">
        <f t="shared" si="27"/>
        <v>-646.90069625000012</v>
      </c>
      <c r="N131" s="106"/>
      <c r="O131" s="106"/>
    </row>
    <row r="132" spans="2:15">
      <c r="C132" s="22">
        <v>2029</v>
      </c>
      <c r="D132" s="106">
        <f t="shared" si="30"/>
        <v>-562.84016906250019</v>
      </c>
      <c r="E132" s="106"/>
      <c r="F132" s="106"/>
      <c r="G132" s="106">
        <f t="shared" si="29"/>
        <v>-77.948684000000029</v>
      </c>
      <c r="H132" s="106"/>
      <c r="I132" s="106"/>
      <c r="J132" s="106">
        <f t="shared" si="28"/>
        <v>-40</v>
      </c>
      <c r="K132" s="106"/>
      <c r="L132" s="106"/>
      <c r="M132" s="106">
        <f t="shared" si="27"/>
        <v>-680.78885306250027</v>
      </c>
      <c r="N132" s="106"/>
      <c r="O132" s="106"/>
    </row>
    <row r="133" spans="2:15">
      <c r="C133" s="22">
        <v>2030</v>
      </c>
      <c r="D133" s="106">
        <f t="shared" si="30"/>
        <v>-590.98217751562527</v>
      </c>
      <c r="E133" s="106"/>
      <c r="F133" s="106"/>
      <c r="G133" s="106">
        <f t="shared" si="29"/>
        <v>-85.743552400000041</v>
      </c>
      <c r="H133" s="106"/>
      <c r="I133" s="106"/>
      <c r="J133" s="106">
        <f t="shared" si="28"/>
        <v>-40</v>
      </c>
      <c r="K133" s="106"/>
      <c r="L133" s="106"/>
      <c r="M133" s="106">
        <f t="shared" si="27"/>
        <v>-716.72572991562527</v>
      </c>
      <c r="N133" s="106"/>
      <c r="O133" s="106"/>
    </row>
    <row r="134" spans="2:15">
      <c r="C134" s="22">
        <v>2031</v>
      </c>
      <c r="D134" s="106">
        <f t="shared" si="30"/>
        <v>-620.53128639140652</v>
      </c>
      <c r="E134" s="106"/>
      <c r="F134" s="106"/>
      <c r="G134" s="106">
        <f t="shared" si="29"/>
        <v>-94.317907640000058</v>
      </c>
      <c r="H134" s="106"/>
      <c r="I134" s="106"/>
      <c r="J134" s="106">
        <f t="shared" si="28"/>
        <v>-40</v>
      </c>
      <c r="K134" s="106"/>
      <c r="L134" s="106"/>
      <c r="M134" s="106">
        <f t="shared" si="27"/>
        <v>-754.84919403140657</v>
      </c>
      <c r="N134" s="106"/>
      <c r="O134" s="106"/>
    </row>
    <row r="135" spans="2:15">
      <c r="C135" s="22">
        <v>2032</v>
      </c>
      <c r="D135" s="106">
        <f t="shared" si="30"/>
        <v>-651.55785071097682</v>
      </c>
      <c r="E135" s="106"/>
      <c r="F135" s="106"/>
      <c r="G135" s="106">
        <f t="shared" si="29"/>
        <v>-103.74969840400007</v>
      </c>
      <c r="H135" s="106"/>
      <c r="I135" s="106"/>
      <c r="J135" s="106">
        <f t="shared" si="28"/>
        <v>-40</v>
      </c>
      <c r="K135" s="106"/>
      <c r="L135" s="106"/>
      <c r="M135" s="106">
        <f t="shared" si="27"/>
        <v>-795.30754911497684</v>
      </c>
      <c r="N135" s="106"/>
      <c r="O135" s="106"/>
    </row>
    <row r="136" spans="2:15">
      <c r="C136" s="22">
        <v>2033</v>
      </c>
      <c r="D136" s="106">
        <f t="shared" si="30"/>
        <v>-684.13574324652575</v>
      </c>
      <c r="E136" s="106"/>
      <c r="F136" s="106"/>
      <c r="G136" s="106">
        <f t="shared" si="29"/>
        <v>-114.12466824440008</v>
      </c>
      <c r="H136" s="106"/>
      <c r="I136" s="106"/>
      <c r="J136" s="106">
        <f t="shared" si="28"/>
        <v>-40</v>
      </c>
      <c r="K136" s="106"/>
      <c r="L136" s="106"/>
      <c r="M136" s="106">
        <f t="shared" ref="M136:M140" si="31">D136+G136+J136</f>
        <v>-838.26041149092589</v>
      </c>
      <c r="N136" s="106"/>
      <c r="O136" s="106"/>
    </row>
    <row r="137" spans="2:15">
      <c r="C137" s="22">
        <v>2034</v>
      </c>
      <c r="D137" s="106">
        <f t="shared" si="30"/>
        <v>-718.3425304088521</v>
      </c>
      <c r="E137" s="106"/>
      <c r="F137" s="106"/>
      <c r="G137" s="106">
        <f t="shared" si="29"/>
        <v>-125.5371350688401</v>
      </c>
      <c r="H137" s="106"/>
      <c r="I137" s="106"/>
      <c r="J137" s="106">
        <f t="shared" si="28"/>
        <v>-40</v>
      </c>
      <c r="K137" s="106"/>
      <c r="L137" s="106"/>
      <c r="M137" s="106">
        <f t="shared" si="31"/>
        <v>-883.87966547769224</v>
      </c>
      <c r="N137" s="106"/>
      <c r="O137" s="106"/>
    </row>
    <row r="138" spans="2:15">
      <c r="C138" s="22">
        <v>2035</v>
      </c>
      <c r="D138" s="106">
        <f t="shared" si="30"/>
        <v>-754.25965692929469</v>
      </c>
      <c r="E138" s="106"/>
      <c r="F138" s="106"/>
      <c r="G138" s="106">
        <f t="shared" si="29"/>
        <v>-138.09084857572412</v>
      </c>
      <c r="H138" s="106"/>
      <c r="I138" s="106"/>
      <c r="J138" s="106">
        <f t="shared" si="28"/>
        <v>-40</v>
      </c>
      <c r="K138" s="106"/>
      <c r="L138" s="106"/>
      <c r="M138" s="106">
        <f t="shared" si="31"/>
        <v>-932.35050550501887</v>
      </c>
      <c r="N138" s="106"/>
      <c r="O138" s="106"/>
    </row>
    <row r="139" spans="2:15">
      <c r="C139" s="22">
        <v>2036</v>
      </c>
      <c r="D139" s="106">
        <f t="shared" si="30"/>
        <v>-791.97263977575949</v>
      </c>
      <c r="E139" s="106"/>
      <c r="F139" s="106"/>
      <c r="G139" s="106">
        <f t="shared" si="29"/>
        <v>-151.89993343329655</v>
      </c>
      <c r="H139" s="106"/>
      <c r="I139" s="106"/>
      <c r="J139" s="106">
        <f t="shared" si="28"/>
        <v>-40</v>
      </c>
      <c r="K139" s="106"/>
      <c r="L139" s="106"/>
      <c r="M139" s="106">
        <f t="shared" si="31"/>
        <v>-983.8725732090561</v>
      </c>
      <c r="N139" s="106"/>
      <c r="O139" s="106"/>
    </row>
    <row r="140" spans="2:15">
      <c r="C140" s="22">
        <v>2037</v>
      </c>
      <c r="D140" s="106">
        <f t="shared" si="30"/>
        <v>-831.57127176454753</v>
      </c>
      <c r="E140" s="106"/>
      <c r="F140" s="106"/>
      <c r="G140" s="106">
        <f t="shared" si="29"/>
        <v>-167.08992677662621</v>
      </c>
      <c r="H140" s="106"/>
      <c r="I140" s="106"/>
      <c r="J140" s="106">
        <f t="shared" si="28"/>
        <v>-40</v>
      </c>
      <c r="K140" s="106"/>
      <c r="L140" s="106"/>
      <c r="M140" s="106">
        <f t="shared" si="31"/>
        <v>-1038.6611985411737</v>
      </c>
      <c r="N140" s="106"/>
      <c r="O140" s="106"/>
    </row>
    <row r="142" spans="2:15" ht="35">
      <c r="B142" s="63">
        <v>4</v>
      </c>
      <c r="C142" s="113" t="s">
        <v>48</v>
      </c>
      <c r="D142" s="113"/>
      <c r="E142" s="113"/>
      <c r="F142" s="113"/>
      <c r="G142" s="113"/>
      <c r="H142" s="3"/>
    </row>
    <row r="143" spans="2:15">
      <c r="B143" s="51"/>
      <c r="C143" s="57"/>
      <c r="D143" s="57"/>
      <c r="E143" s="57"/>
      <c r="F143" s="57"/>
      <c r="G143" s="58"/>
      <c r="H143" s="3"/>
    </row>
    <row r="144" spans="2:15">
      <c r="B144" s="51"/>
      <c r="C144" s="101" t="s">
        <v>43</v>
      </c>
      <c r="D144" s="101"/>
      <c r="E144" s="101"/>
      <c r="F144" s="101"/>
      <c r="G144" s="53">
        <v>-500</v>
      </c>
      <c r="H144" s="3"/>
    </row>
    <row r="145" spans="2:8">
      <c r="B145" s="51"/>
      <c r="C145" s="101" t="s">
        <v>44</v>
      </c>
      <c r="D145" s="101"/>
      <c r="E145" s="101"/>
      <c r="F145" s="101"/>
      <c r="G145" s="39">
        <v>0.05</v>
      </c>
      <c r="H145" s="3"/>
    </row>
    <row r="146" spans="2:8">
      <c r="B146" s="51"/>
      <c r="C146" s="101" t="s">
        <v>45</v>
      </c>
      <c r="D146" s="101"/>
      <c r="E146" s="101"/>
      <c r="F146" s="101"/>
      <c r="G146" s="39">
        <v>0.15</v>
      </c>
      <c r="H146" s="3"/>
    </row>
    <row r="147" spans="2:8">
      <c r="C147" s="3"/>
      <c r="D147" s="3"/>
      <c r="E147" s="3"/>
      <c r="F147" s="3"/>
      <c r="G147" s="3"/>
      <c r="H147" s="3"/>
    </row>
    <row r="148" spans="2:8">
      <c r="C148" s="36" t="s">
        <v>0</v>
      </c>
      <c r="D148" s="99" t="s">
        <v>46</v>
      </c>
      <c r="E148" s="99"/>
      <c r="F148" s="99"/>
      <c r="G148" s="99" t="s">
        <v>47</v>
      </c>
      <c r="H148" s="99"/>
    </row>
    <row r="149" spans="2:8">
      <c r="C149" s="22">
        <v>2022</v>
      </c>
      <c r="D149" s="106">
        <f>G144*(1+$F$147)</f>
        <v>-500</v>
      </c>
      <c r="E149" s="106"/>
      <c r="F149" s="106"/>
      <c r="G149" s="106">
        <v>-500</v>
      </c>
      <c r="H149" s="106"/>
    </row>
    <row r="150" spans="2:8">
      <c r="C150" s="22">
        <v>2023</v>
      </c>
      <c r="D150" s="106">
        <f>D149*($G$145+1)</f>
        <v>-525</v>
      </c>
      <c r="E150" s="106"/>
      <c r="F150" s="106"/>
      <c r="G150" s="106">
        <f>G149*(1+$G$146)</f>
        <v>-575</v>
      </c>
      <c r="H150" s="106"/>
    </row>
    <row r="151" spans="2:8">
      <c r="C151" s="22">
        <v>2024</v>
      </c>
      <c r="D151" s="106">
        <f t="shared" ref="D151:D164" si="32">D150*($G$145+1)</f>
        <v>-551.25</v>
      </c>
      <c r="E151" s="106"/>
      <c r="F151" s="106"/>
      <c r="G151" s="106">
        <f t="shared" ref="G151:G164" si="33">G150*(1+$G$146)</f>
        <v>-661.25</v>
      </c>
      <c r="H151" s="106"/>
    </row>
    <row r="152" spans="2:8">
      <c r="C152" s="22">
        <v>2025</v>
      </c>
      <c r="D152" s="106">
        <f t="shared" si="32"/>
        <v>-578.8125</v>
      </c>
      <c r="E152" s="106"/>
      <c r="F152" s="106"/>
      <c r="G152" s="106">
        <f t="shared" si="33"/>
        <v>-760.43749999999989</v>
      </c>
      <c r="H152" s="106"/>
    </row>
    <row r="153" spans="2:8">
      <c r="C153" s="22">
        <v>2026</v>
      </c>
      <c r="D153" s="106">
        <f t="shared" si="32"/>
        <v>-607.75312500000007</v>
      </c>
      <c r="E153" s="106"/>
      <c r="F153" s="106"/>
      <c r="G153" s="106">
        <f t="shared" si="33"/>
        <v>-874.50312499999984</v>
      </c>
      <c r="H153" s="106"/>
    </row>
    <row r="154" spans="2:8">
      <c r="C154" s="22">
        <v>2027</v>
      </c>
      <c r="D154" s="106">
        <f t="shared" si="32"/>
        <v>-638.14078125000015</v>
      </c>
      <c r="E154" s="106"/>
      <c r="F154" s="106"/>
      <c r="G154" s="106">
        <f t="shared" si="33"/>
        <v>-1005.6785937499998</v>
      </c>
      <c r="H154" s="106"/>
    </row>
    <row r="155" spans="2:8">
      <c r="C155" s="22">
        <v>2028</v>
      </c>
      <c r="D155" s="106">
        <f t="shared" si="32"/>
        <v>-670.04782031250022</v>
      </c>
      <c r="E155" s="106"/>
      <c r="F155" s="106"/>
      <c r="G155" s="106">
        <f t="shared" si="33"/>
        <v>-1156.5303828124997</v>
      </c>
      <c r="H155" s="106"/>
    </row>
    <row r="156" spans="2:8">
      <c r="C156" s="22">
        <v>2029</v>
      </c>
      <c r="D156" s="106">
        <f t="shared" si="32"/>
        <v>-703.55021132812522</v>
      </c>
      <c r="E156" s="106"/>
      <c r="F156" s="106"/>
      <c r="G156" s="106">
        <f t="shared" si="33"/>
        <v>-1330.0099402343747</v>
      </c>
      <c r="H156" s="106"/>
    </row>
    <row r="157" spans="2:8">
      <c r="C157" s="22">
        <v>2030</v>
      </c>
      <c r="D157" s="106">
        <f t="shared" si="32"/>
        <v>-738.72772189453156</v>
      </c>
      <c r="E157" s="106"/>
      <c r="F157" s="106"/>
      <c r="G157" s="106">
        <f t="shared" si="33"/>
        <v>-1529.5114312695307</v>
      </c>
      <c r="H157" s="106"/>
    </row>
    <row r="158" spans="2:8">
      <c r="C158" s="22">
        <v>2031</v>
      </c>
      <c r="D158" s="106">
        <f t="shared" si="32"/>
        <v>-775.66410798925813</v>
      </c>
      <c r="E158" s="106"/>
      <c r="F158" s="106"/>
      <c r="G158" s="106">
        <f t="shared" si="33"/>
        <v>-1758.9381459599601</v>
      </c>
      <c r="H158" s="106"/>
    </row>
    <row r="159" spans="2:8">
      <c r="C159" s="22">
        <v>2032</v>
      </c>
      <c r="D159" s="106">
        <f t="shared" si="32"/>
        <v>-814.44731338872111</v>
      </c>
      <c r="E159" s="106"/>
      <c r="F159" s="106"/>
      <c r="G159" s="106">
        <f t="shared" si="33"/>
        <v>-2022.7788678539539</v>
      </c>
      <c r="H159" s="106"/>
    </row>
    <row r="160" spans="2:8">
      <c r="C160" s="22">
        <v>2033</v>
      </c>
      <c r="D160" s="106">
        <f t="shared" si="32"/>
        <v>-855.16967905815716</v>
      </c>
      <c r="E160" s="106"/>
      <c r="F160" s="106"/>
      <c r="G160" s="106">
        <f t="shared" si="33"/>
        <v>-2326.1956980320469</v>
      </c>
      <c r="H160" s="106"/>
    </row>
    <row r="161" spans="2:10">
      <c r="C161" s="22">
        <v>2034</v>
      </c>
      <c r="D161" s="106">
        <f t="shared" si="32"/>
        <v>-897.92816301106507</v>
      </c>
      <c r="E161" s="106"/>
      <c r="F161" s="106"/>
      <c r="G161" s="106">
        <f t="shared" si="33"/>
        <v>-2675.1250527368538</v>
      </c>
      <c r="H161" s="106"/>
    </row>
    <row r="162" spans="2:10">
      <c r="C162" s="22">
        <v>2035</v>
      </c>
      <c r="D162" s="106">
        <f t="shared" si="32"/>
        <v>-942.82457116161834</v>
      </c>
      <c r="E162" s="106"/>
      <c r="F162" s="106"/>
      <c r="G162" s="106">
        <f t="shared" si="33"/>
        <v>-3076.3938106473815</v>
      </c>
      <c r="H162" s="106"/>
    </row>
    <row r="163" spans="2:10">
      <c r="C163" s="22">
        <v>2036</v>
      </c>
      <c r="D163" s="106">
        <f t="shared" si="32"/>
        <v>-989.96579971969925</v>
      </c>
      <c r="E163" s="106"/>
      <c r="F163" s="106"/>
      <c r="G163" s="106">
        <f t="shared" si="33"/>
        <v>-3537.8528822444887</v>
      </c>
      <c r="H163" s="106"/>
    </row>
    <row r="164" spans="2:10">
      <c r="C164" s="22">
        <v>2037</v>
      </c>
      <c r="D164" s="106">
        <f t="shared" si="32"/>
        <v>-1039.4640897056843</v>
      </c>
      <c r="E164" s="106"/>
      <c r="F164" s="106"/>
      <c r="G164" s="106">
        <f t="shared" si="33"/>
        <v>-4068.5308145811618</v>
      </c>
      <c r="H164" s="106"/>
    </row>
    <row r="165" spans="2:10">
      <c r="C165" s="91"/>
    </row>
    <row r="166" spans="2:10" ht="35">
      <c r="B166" s="63">
        <v>5</v>
      </c>
      <c r="C166" s="113" t="s">
        <v>105</v>
      </c>
      <c r="D166" s="113"/>
      <c r="E166" s="3"/>
      <c r="F166" s="3"/>
      <c r="G166" s="3"/>
      <c r="H166" s="3"/>
      <c r="I166" s="3"/>
      <c r="J166" s="3"/>
    </row>
    <row r="167" spans="2:10">
      <c r="C167" s="3"/>
      <c r="D167" s="3"/>
      <c r="E167" s="3"/>
      <c r="F167" s="3"/>
      <c r="G167" s="3"/>
      <c r="H167" s="3"/>
      <c r="I167" s="3"/>
      <c r="J167" s="3"/>
    </row>
    <row r="168" spans="2:10">
      <c r="C168" s="101" t="s">
        <v>49</v>
      </c>
      <c r="D168" s="101"/>
      <c r="E168" s="101"/>
      <c r="F168" s="101"/>
      <c r="G168" s="101"/>
      <c r="H168" s="101"/>
      <c r="I168" s="53">
        <f>30*(1+8%)</f>
        <v>32.400000000000006</v>
      </c>
      <c r="J168" s="3"/>
    </row>
    <row r="169" spans="2:10">
      <c r="C169" s="101" t="s">
        <v>50</v>
      </c>
      <c r="D169" s="101"/>
      <c r="E169" s="101"/>
      <c r="F169" s="101"/>
      <c r="G169" s="101"/>
      <c r="H169" s="101"/>
      <c r="I169" s="39">
        <v>0.65</v>
      </c>
      <c r="J169" s="3"/>
    </row>
    <row r="170" spans="2:10">
      <c r="C170" s="101" t="s">
        <v>9</v>
      </c>
      <c r="D170" s="101"/>
      <c r="E170" s="101"/>
      <c r="F170" s="101"/>
      <c r="G170" s="101"/>
      <c r="H170" s="101"/>
      <c r="I170" s="59">
        <v>1.4999999999999999E-2</v>
      </c>
      <c r="J170" s="3"/>
    </row>
    <row r="171" spans="2:10">
      <c r="C171" s="101" t="s">
        <v>51</v>
      </c>
      <c r="D171" s="101"/>
      <c r="E171" s="101"/>
      <c r="F171" s="101"/>
      <c r="G171" s="101"/>
      <c r="H171" s="101"/>
      <c r="I171" s="60">
        <f>I168/I169</f>
        <v>49.846153846153854</v>
      </c>
      <c r="J171" s="3"/>
    </row>
    <row r="172" spans="2:10">
      <c r="C172" s="7"/>
      <c r="D172" s="7"/>
      <c r="E172" s="7"/>
      <c r="F172" s="7"/>
      <c r="G172" s="7"/>
      <c r="H172" s="7"/>
      <c r="I172" s="23"/>
      <c r="J172" s="3"/>
    </row>
    <row r="173" spans="2:10">
      <c r="C173" s="36" t="s">
        <v>52</v>
      </c>
      <c r="D173" s="99" t="s">
        <v>53</v>
      </c>
      <c r="E173" s="99"/>
      <c r="F173" s="99"/>
      <c r="G173" s="99" t="s">
        <v>54</v>
      </c>
      <c r="H173" s="99"/>
      <c r="I173" s="99"/>
      <c r="J173" s="99"/>
    </row>
    <row r="174" spans="2:10">
      <c r="C174" s="22">
        <v>2022</v>
      </c>
      <c r="D174" s="106">
        <f>-600</f>
        <v>-600</v>
      </c>
      <c r="E174" s="106"/>
      <c r="F174" s="106"/>
      <c r="G174" s="114">
        <f>Q30</f>
        <v>34.992000000000004</v>
      </c>
      <c r="H174" s="115"/>
      <c r="I174" s="115"/>
      <c r="J174" s="116"/>
    </row>
    <row r="175" spans="2:10">
      <c r="C175" s="22">
        <v>2023</v>
      </c>
      <c r="D175" s="106">
        <f>D174*(1+$I$170)</f>
        <v>-608.99999999999989</v>
      </c>
      <c r="E175" s="106"/>
      <c r="F175" s="106"/>
      <c r="G175" s="114">
        <f>G174*(1+$G$49)</f>
        <v>37.791360000000005</v>
      </c>
      <c r="H175" s="115"/>
      <c r="I175" s="115"/>
      <c r="J175" s="116"/>
    </row>
    <row r="176" spans="2:10">
      <c r="C176" s="22">
        <v>2024</v>
      </c>
      <c r="D176" s="106">
        <f t="shared" ref="D176:D189" si="34">D175*(1+$I$170)</f>
        <v>-618.13499999999988</v>
      </c>
      <c r="E176" s="106"/>
      <c r="F176" s="106"/>
      <c r="G176" s="114">
        <f t="shared" ref="G176:G189" si="35">G175*(1+$G$49)</f>
        <v>40.814668800000007</v>
      </c>
      <c r="H176" s="115"/>
      <c r="I176" s="115"/>
      <c r="J176" s="116"/>
    </row>
    <row r="177" spans="2:15">
      <c r="C177" s="13">
        <v>2025</v>
      </c>
      <c r="D177" s="106">
        <f t="shared" si="34"/>
        <v>-627.40702499999986</v>
      </c>
      <c r="E177" s="106"/>
      <c r="F177" s="106"/>
      <c r="G177" s="114">
        <f t="shared" si="35"/>
        <v>44.07984230400001</v>
      </c>
      <c r="H177" s="115"/>
      <c r="I177" s="115"/>
      <c r="J177" s="116"/>
    </row>
    <row r="178" spans="2:15">
      <c r="C178" s="22">
        <v>2026</v>
      </c>
      <c r="D178" s="106">
        <f t="shared" si="34"/>
        <v>-636.81813037499978</v>
      </c>
      <c r="E178" s="106"/>
      <c r="F178" s="106"/>
      <c r="G178" s="114">
        <f t="shared" si="35"/>
        <v>47.606229688320013</v>
      </c>
      <c r="H178" s="115"/>
      <c r="I178" s="115"/>
      <c r="J178" s="116"/>
    </row>
    <row r="179" spans="2:15">
      <c r="C179" s="32">
        <v>2027</v>
      </c>
      <c r="D179" s="117">
        <f t="shared" si="34"/>
        <v>-646.37040233062476</v>
      </c>
      <c r="E179" s="117"/>
      <c r="F179" s="117"/>
      <c r="G179" s="118">
        <f t="shared" si="35"/>
        <v>51.414728063385617</v>
      </c>
      <c r="H179" s="119"/>
      <c r="I179" s="119"/>
      <c r="J179" s="120"/>
    </row>
    <row r="180" spans="2:15">
      <c r="C180" s="22">
        <v>2028</v>
      </c>
      <c r="D180" s="106">
        <f t="shared" si="34"/>
        <v>-656.06595836558404</v>
      </c>
      <c r="E180" s="106"/>
      <c r="F180" s="106"/>
      <c r="G180" s="114">
        <f t="shared" si="35"/>
        <v>55.527906308456473</v>
      </c>
      <c r="H180" s="115"/>
      <c r="I180" s="115"/>
      <c r="J180" s="116"/>
    </row>
    <row r="181" spans="2:15">
      <c r="C181" s="22">
        <v>2029</v>
      </c>
      <c r="D181" s="106">
        <f t="shared" si="34"/>
        <v>-665.90694774106771</v>
      </c>
      <c r="E181" s="106"/>
      <c r="F181" s="106"/>
      <c r="G181" s="114">
        <f t="shared" si="35"/>
        <v>59.970138813132998</v>
      </c>
      <c r="H181" s="115"/>
      <c r="I181" s="115"/>
      <c r="J181" s="116"/>
    </row>
    <row r="182" spans="2:15">
      <c r="C182" s="22">
        <v>2030</v>
      </c>
      <c r="D182" s="106">
        <f t="shared" si="34"/>
        <v>-675.89555195718367</v>
      </c>
      <c r="E182" s="106"/>
      <c r="F182" s="106"/>
      <c r="G182" s="114">
        <f t="shared" si="35"/>
        <v>64.76774991818364</v>
      </c>
      <c r="H182" s="115"/>
      <c r="I182" s="115"/>
      <c r="J182" s="116"/>
    </row>
    <row r="183" spans="2:15">
      <c r="C183" s="22">
        <v>2031</v>
      </c>
      <c r="D183" s="106">
        <f t="shared" si="34"/>
        <v>-686.03398523654141</v>
      </c>
      <c r="E183" s="106"/>
      <c r="F183" s="106"/>
      <c r="G183" s="114">
        <f t="shared" si="35"/>
        <v>69.949169911638336</v>
      </c>
      <c r="H183" s="115"/>
      <c r="I183" s="115"/>
      <c r="J183" s="116"/>
    </row>
    <row r="184" spans="2:15">
      <c r="C184" s="13">
        <v>2032</v>
      </c>
      <c r="D184" s="106">
        <f t="shared" si="34"/>
        <v>-696.3244950150895</v>
      </c>
      <c r="E184" s="106"/>
      <c r="F184" s="106"/>
      <c r="G184" s="114">
        <f t="shared" si="35"/>
        <v>75.545103504569411</v>
      </c>
      <c r="H184" s="115"/>
      <c r="I184" s="115"/>
      <c r="J184" s="116"/>
    </row>
    <row r="185" spans="2:15">
      <c r="C185" s="22">
        <v>2033</v>
      </c>
      <c r="D185" s="106">
        <f t="shared" si="34"/>
        <v>-706.76936244031572</v>
      </c>
      <c r="E185" s="106"/>
      <c r="F185" s="106"/>
      <c r="G185" s="114">
        <f t="shared" si="35"/>
        <v>81.588711784934972</v>
      </c>
      <c r="H185" s="115"/>
      <c r="I185" s="115"/>
      <c r="J185" s="116"/>
    </row>
    <row r="186" spans="2:15">
      <c r="C186" s="13">
        <v>2034</v>
      </c>
      <c r="D186" s="106">
        <f t="shared" si="34"/>
        <v>-717.37090287692035</v>
      </c>
      <c r="E186" s="106"/>
      <c r="F186" s="106"/>
      <c r="G186" s="114">
        <f t="shared" si="35"/>
        <v>88.115808727729771</v>
      </c>
      <c r="H186" s="115"/>
      <c r="I186" s="115"/>
      <c r="J186" s="116"/>
    </row>
    <row r="187" spans="2:15">
      <c r="C187" s="22">
        <v>2035</v>
      </c>
      <c r="D187" s="106">
        <f t="shared" si="34"/>
        <v>-728.13146642007405</v>
      </c>
      <c r="E187" s="106"/>
      <c r="F187" s="106"/>
      <c r="G187" s="114">
        <f t="shared" si="35"/>
        <v>95.165073425948165</v>
      </c>
      <c r="H187" s="115"/>
      <c r="I187" s="115"/>
      <c r="J187" s="116"/>
    </row>
    <row r="188" spans="2:15">
      <c r="C188" s="32">
        <v>2036</v>
      </c>
      <c r="D188" s="117">
        <f t="shared" si="34"/>
        <v>-739.05343841637512</v>
      </c>
      <c r="E188" s="117"/>
      <c r="F188" s="117"/>
      <c r="G188" s="118">
        <f t="shared" si="35"/>
        <v>102.77827930002402</v>
      </c>
      <c r="H188" s="119"/>
      <c r="I188" s="119"/>
      <c r="J188" s="120"/>
    </row>
    <row r="189" spans="2:15">
      <c r="C189" s="22">
        <v>2037</v>
      </c>
      <c r="D189" s="106">
        <f t="shared" si="34"/>
        <v>-750.13923999262067</v>
      </c>
      <c r="E189" s="106"/>
      <c r="F189" s="106"/>
      <c r="G189" s="114">
        <f t="shared" si="35"/>
        <v>111.00054164402596</v>
      </c>
      <c r="H189" s="115"/>
      <c r="I189" s="115"/>
      <c r="J189" s="116"/>
    </row>
    <row r="190" spans="2:15">
      <c r="C190" s="122" t="s">
        <v>104</v>
      </c>
      <c r="D190" s="122"/>
      <c r="E190" s="122"/>
      <c r="F190" s="122"/>
      <c r="G190" s="122"/>
      <c r="H190" s="122"/>
      <c r="I190" s="122"/>
      <c r="J190" s="122"/>
      <c r="K190" s="122"/>
    </row>
    <row r="192" spans="2:15" ht="33">
      <c r="B192" s="63">
        <v>6</v>
      </c>
      <c r="C192" s="123" t="s">
        <v>106</v>
      </c>
      <c r="D192" s="12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</row>
    <row r="193" spans="3:15"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</row>
    <row r="194" spans="3:15">
      <c r="C194" s="51"/>
      <c r="D194" s="47" t="s">
        <v>55</v>
      </c>
      <c r="E194" s="47"/>
      <c r="F194" s="47"/>
      <c r="G194" s="47"/>
      <c r="H194" s="39">
        <v>0.05</v>
      </c>
      <c r="I194" s="3"/>
      <c r="J194" s="3"/>
      <c r="K194" s="3"/>
      <c r="L194" s="3"/>
      <c r="M194" s="3"/>
      <c r="N194" s="3"/>
      <c r="O194" s="3"/>
    </row>
    <row r="195" spans="3:15">
      <c r="C195" s="51"/>
      <c r="D195" s="47" t="s">
        <v>56</v>
      </c>
      <c r="E195" s="47"/>
      <c r="F195" s="47"/>
      <c r="G195" s="47"/>
      <c r="H195" s="39">
        <v>0.1</v>
      </c>
      <c r="I195" s="3"/>
      <c r="J195" s="3"/>
      <c r="K195" s="3"/>
      <c r="L195" s="3"/>
      <c r="M195" s="3"/>
      <c r="N195" s="3"/>
      <c r="O195" s="3"/>
    </row>
    <row r="196" spans="3:15">
      <c r="C196" s="51"/>
      <c r="D196" s="47" t="s">
        <v>57</v>
      </c>
      <c r="E196" s="47"/>
      <c r="F196" s="47"/>
      <c r="G196" s="47"/>
      <c r="H196" s="39">
        <v>0.06</v>
      </c>
      <c r="I196" s="3"/>
      <c r="J196" s="3"/>
      <c r="K196" s="3"/>
      <c r="L196" s="3"/>
      <c r="M196" s="3"/>
      <c r="N196" s="3"/>
      <c r="O196" s="3"/>
    </row>
    <row r="197" spans="3:15"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</row>
    <row r="198" spans="3:15">
      <c r="C198" s="36" t="s">
        <v>0</v>
      </c>
      <c r="D198" s="99" t="s">
        <v>58</v>
      </c>
      <c r="E198" s="99"/>
      <c r="F198" s="99"/>
      <c r="G198" s="99" t="s">
        <v>59</v>
      </c>
      <c r="H198" s="99"/>
      <c r="I198" s="99" t="s">
        <v>60</v>
      </c>
      <c r="J198" s="99"/>
      <c r="K198" s="99"/>
      <c r="L198" s="99" t="s">
        <v>61</v>
      </c>
      <c r="M198" s="99"/>
      <c r="N198" s="99"/>
      <c r="O198" s="99"/>
    </row>
    <row r="199" spans="3:15">
      <c r="C199" s="22">
        <v>2022</v>
      </c>
      <c r="D199" s="106">
        <f t="shared" ref="D199:D209" si="36">$H$194*D72*(-1)</f>
        <v>-255.11870000000005</v>
      </c>
      <c r="E199" s="106"/>
      <c r="F199" s="106"/>
      <c r="G199" s="106">
        <f t="shared" ref="G199:G209" si="37">$H$195*D72*(-1)</f>
        <v>-510.23740000000009</v>
      </c>
      <c r="H199" s="106"/>
      <c r="I199" s="106">
        <f t="shared" ref="I199:I209" si="38">$H$196*D72*(-1)</f>
        <v>-306.14244000000002</v>
      </c>
      <c r="J199" s="106"/>
      <c r="K199" s="106"/>
      <c r="L199" s="106">
        <f>D199+G199+I199</f>
        <v>-1071.4985400000003</v>
      </c>
      <c r="M199" s="110"/>
      <c r="N199" s="110"/>
      <c r="O199" s="110"/>
    </row>
    <row r="200" spans="3:15">
      <c r="C200" s="22">
        <v>2023</v>
      </c>
      <c r="D200" s="106">
        <f t="shared" si="36"/>
        <v>-276.67375469999996</v>
      </c>
      <c r="E200" s="106"/>
      <c r="F200" s="106"/>
      <c r="G200" s="106">
        <f t="shared" si="37"/>
        <v>-553.34750939999992</v>
      </c>
      <c r="H200" s="106"/>
      <c r="I200" s="106">
        <f t="shared" si="38"/>
        <v>-332.00850563999995</v>
      </c>
      <c r="J200" s="106"/>
      <c r="K200" s="106"/>
      <c r="L200" s="106">
        <f t="shared" ref="L200:L208" si="39">D200+G200+I200</f>
        <v>-1162.0297697399997</v>
      </c>
      <c r="M200" s="110"/>
      <c r="N200" s="110"/>
      <c r="O200" s="110"/>
    </row>
    <row r="201" spans="3:15">
      <c r="C201" s="22">
        <v>2024</v>
      </c>
      <c r="D201" s="106">
        <f t="shared" si="36"/>
        <v>-300.19971550968006</v>
      </c>
      <c r="E201" s="106"/>
      <c r="F201" s="106"/>
      <c r="G201" s="106">
        <f t="shared" si="37"/>
        <v>-600.39943101936012</v>
      </c>
      <c r="H201" s="106"/>
      <c r="I201" s="106">
        <f t="shared" si="38"/>
        <v>-360.23965861161599</v>
      </c>
      <c r="J201" s="106"/>
      <c r="K201" s="106"/>
      <c r="L201" s="106">
        <f t="shared" si="39"/>
        <v>-1260.8388051406562</v>
      </c>
      <c r="M201" s="110"/>
      <c r="N201" s="110"/>
      <c r="O201" s="110"/>
    </row>
    <row r="202" spans="3:15">
      <c r="C202" s="22">
        <v>2025</v>
      </c>
      <c r="D202" s="106">
        <f t="shared" si="36"/>
        <v>-325.89035115316324</v>
      </c>
      <c r="E202" s="106"/>
      <c r="F202" s="106"/>
      <c r="G202" s="106">
        <f t="shared" si="37"/>
        <v>-651.78070230632648</v>
      </c>
      <c r="H202" s="106"/>
      <c r="I202" s="106">
        <f t="shared" si="38"/>
        <v>-391.06842138379585</v>
      </c>
      <c r="J202" s="106"/>
      <c r="K202" s="106"/>
      <c r="L202" s="106">
        <f t="shared" si="39"/>
        <v>-1368.7394748432855</v>
      </c>
      <c r="M202" s="110"/>
      <c r="N202" s="110"/>
      <c r="O202" s="110"/>
    </row>
    <row r="203" spans="3:15">
      <c r="C203" s="22">
        <v>2026</v>
      </c>
      <c r="D203" s="106">
        <f t="shared" si="36"/>
        <v>-353.95961703671401</v>
      </c>
      <c r="E203" s="106"/>
      <c r="F203" s="106"/>
      <c r="G203" s="106">
        <f t="shared" si="37"/>
        <v>-707.91923407342802</v>
      </c>
      <c r="H203" s="106"/>
      <c r="I203" s="106">
        <f t="shared" si="38"/>
        <v>-424.75154044405679</v>
      </c>
      <c r="J203" s="106"/>
      <c r="K203" s="106"/>
      <c r="L203" s="106">
        <f t="shared" si="39"/>
        <v>-1486.6303915541989</v>
      </c>
      <c r="M203" s="110"/>
      <c r="N203" s="110"/>
      <c r="O203" s="110"/>
    </row>
    <row r="204" spans="3:15">
      <c r="C204" s="22">
        <v>2027</v>
      </c>
      <c r="D204" s="106">
        <f t="shared" si="36"/>
        <v>-384.64384706695176</v>
      </c>
      <c r="E204" s="106"/>
      <c r="F204" s="106"/>
      <c r="G204" s="106">
        <f t="shared" si="37"/>
        <v>-769.28769413390353</v>
      </c>
      <c r="H204" s="106"/>
      <c r="I204" s="106">
        <f t="shared" si="38"/>
        <v>-461.57261648034205</v>
      </c>
      <c r="J204" s="106"/>
      <c r="K204" s="106"/>
      <c r="L204" s="106">
        <f t="shared" si="39"/>
        <v>-1615.5041576811973</v>
      </c>
      <c r="M204" s="110"/>
      <c r="N204" s="110"/>
      <c r="O204" s="110"/>
    </row>
    <row r="205" spans="3:15">
      <c r="C205" s="22">
        <v>2028</v>
      </c>
      <c r="D205" s="106">
        <f t="shared" si="36"/>
        <v>-418.204190015682</v>
      </c>
      <c r="E205" s="106"/>
      <c r="F205" s="106"/>
      <c r="G205" s="106">
        <f t="shared" si="37"/>
        <v>-836.408380031364</v>
      </c>
      <c r="H205" s="106"/>
      <c r="I205" s="106">
        <f t="shared" si="38"/>
        <v>-501.84502801881837</v>
      </c>
      <c r="J205" s="106"/>
      <c r="K205" s="106"/>
      <c r="L205" s="106">
        <f t="shared" si="39"/>
        <v>-1756.4575980658644</v>
      </c>
      <c r="M205" s="110"/>
      <c r="N205" s="110"/>
      <c r="O205" s="110"/>
    </row>
    <row r="206" spans="3:15">
      <c r="C206" s="22">
        <v>2029</v>
      </c>
      <c r="D206" s="106">
        <f t="shared" si="36"/>
        <v>-454.92931818351548</v>
      </c>
      <c r="E206" s="106"/>
      <c r="F206" s="106"/>
      <c r="G206" s="106">
        <f t="shared" si="37"/>
        <v>-909.85863636703095</v>
      </c>
      <c r="H206" s="106"/>
      <c r="I206" s="106">
        <f t="shared" si="38"/>
        <v>-545.91518182021855</v>
      </c>
      <c r="J206" s="106"/>
      <c r="K206" s="106"/>
      <c r="L206" s="106">
        <f t="shared" si="39"/>
        <v>-1910.7031363707649</v>
      </c>
      <c r="M206" s="110"/>
      <c r="N206" s="110"/>
      <c r="O206" s="110"/>
    </row>
    <row r="207" spans="3:15">
      <c r="C207" s="22">
        <v>2030</v>
      </c>
      <c r="D207" s="106">
        <f t="shared" si="36"/>
        <v>-495.13843929644639</v>
      </c>
      <c r="E207" s="106"/>
      <c r="F207" s="106"/>
      <c r="G207" s="106">
        <f t="shared" si="37"/>
        <v>-990.27687859289279</v>
      </c>
      <c r="H207" s="106"/>
      <c r="I207" s="106">
        <f t="shared" si="38"/>
        <v>-594.16612715573558</v>
      </c>
      <c r="J207" s="106"/>
      <c r="K207" s="106"/>
      <c r="L207" s="106">
        <f t="shared" si="39"/>
        <v>-2079.5814450450748</v>
      </c>
      <c r="M207" s="110"/>
      <c r="N207" s="110"/>
      <c r="O207" s="110"/>
    </row>
    <row r="208" spans="3:15">
      <c r="C208" s="22">
        <v>2031</v>
      </c>
      <c r="D208" s="106">
        <f t="shared" si="36"/>
        <v>-539.18464611864999</v>
      </c>
      <c r="E208" s="106"/>
      <c r="F208" s="106"/>
      <c r="G208" s="106">
        <f t="shared" si="37"/>
        <v>-1078.3692922373</v>
      </c>
      <c r="H208" s="106"/>
      <c r="I208" s="106">
        <f t="shared" si="38"/>
        <v>-647.02157534237983</v>
      </c>
      <c r="J208" s="106"/>
      <c r="K208" s="106"/>
      <c r="L208" s="106">
        <f t="shared" si="39"/>
        <v>-2264.5755136983298</v>
      </c>
      <c r="M208" s="110"/>
      <c r="N208" s="110"/>
      <c r="O208" s="110"/>
    </row>
    <row r="209" spans="2:15">
      <c r="C209" s="22">
        <v>2032</v>
      </c>
      <c r="D209" s="106">
        <f t="shared" si="36"/>
        <v>-587.45864222344142</v>
      </c>
      <c r="E209" s="106"/>
      <c r="F209" s="106"/>
      <c r="G209" s="106">
        <f t="shared" si="37"/>
        <v>-1174.9172844468828</v>
      </c>
      <c r="H209" s="106"/>
      <c r="I209" s="106">
        <f t="shared" si="38"/>
        <v>-704.95037066812972</v>
      </c>
      <c r="J209" s="106"/>
      <c r="K209" s="106"/>
      <c r="L209" s="106">
        <f t="shared" ref="L209:L213" si="40">D209+G209+I209</f>
        <v>-2467.326297338454</v>
      </c>
      <c r="M209" s="110"/>
      <c r="N209" s="110"/>
      <c r="O209" s="110"/>
    </row>
    <row r="210" spans="2:15">
      <c r="C210" s="22">
        <v>2033</v>
      </c>
      <c r="D210" s="106">
        <f t="shared" ref="D210:D213" si="41">$H$194*D83*(-1)</f>
        <v>-640.39288678004596</v>
      </c>
      <c r="E210" s="106"/>
      <c r="F210" s="106"/>
      <c r="G210" s="106">
        <f t="shared" ref="G210:G213" si="42">$H$195*D83*(-1)</f>
        <v>-1280.7857735600919</v>
      </c>
      <c r="H210" s="106"/>
      <c r="I210" s="106">
        <f t="shared" ref="I210:I213" si="43">$H$196*D83*(-1)</f>
        <v>-768.47146413605515</v>
      </c>
      <c r="J210" s="106"/>
      <c r="K210" s="106"/>
      <c r="L210" s="106">
        <f t="shared" si="40"/>
        <v>-2689.650124476193</v>
      </c>
      <c r="M210" s="110"/>
      <c r="N210" s="110"/>
      <c r="O210" s="110"/>
    </row>
    <row r="211" spans="2:15">
      <c r="C211" s="22">
        <v>2034</v>
      </c>
      <c r="D211" s="106">
        <f t="shared" si="41"/>
        <v>-698.46620613950245</v>
      </c>
      <c r="E211" s="106"/>
      <c r="F211" s="106"/>
      <c r="G211" s="106">
        <f t="shared" si="42"/>
        <v>-1396.9324122790049</v>
      </c>
      <c r="H211" s="106"/>
      <c r="I211" s="106">
        <f t="shared" si="43"/>
        <v>-838.15944736740278</v>
      </c>
      <c r="J211" s="106"/>
      <c r="K211" s="106"/>
      <c r="L211" s="106">
        <f t="shared" si="40"/>
        <v>-2933.55806578591</v>
      </c>
      <c r="M211" s="110"/>
      <c r="N211" s="110"/>
      <c r="O211" s="110"/>
    </row>
    <row r="212" spans="2:15">
      <c r="C212" s="22">
        <v>2035</v>
      </c>
      <c r="D212" s="106">
        <f t="shared" si="41"/>
        <v>-762.20892549776045</v>
      </c>
      <c r="E212" s="106"/>
      <c r="F212" s="106"/>
      <c r="G212" s="106">
        <f t="shared" si="42"/>
        <v>-1524.4178509955209</v>
      </c>
      <c r="H212" s="106"/>
      <c r="I212" s="106">
        <f t="shared" si="43"/>
        <v>-914.65071059731247</v>
      </c>
      <c r="J212" s="106"/>
      <c r="K212" s="106"/>
      <c r="L212" s="106">
        <f t="shared" si="40"/>
        <v>-3201.2774870905937</v>
      </c>
      <c r="M212" s="110"/>
      <c r="N212" s="110"/>
      <c r="O212" s="110"/>
    </row>
    <row r="213" spans="2:15">
      <c r="C213" s="22">
        <v>2036</v>
      </c>
      <c r="D213" s="106">
        <f t="shared" si="41"/>
        <v>-832.20858004375486</v>
      </c>
      <c r="E213" s="106"/>
      <c r="F213" s="106"/>
      <c r="G213" s="106">
        <f t="shared" si="42"/>
        <v>-1664.4171600875097</v>
      </c>
      <c r="H213" s="106"/>
      <c r="I213" s="106">
        <f t="shared" si="43"/>
        <v>-998.65029605250572</v>
      </c>
      <c r="J213" s="106"/>
      <c r="K213" s="106"/>
      <c r="L213" s="106">
        <f t="shared" si="40"/>
        <v>-3495.2760361837704</v>
      </c>
      <c r="M213" s="110"/>
      <c r="N213" s="110"/>
      <c r="O213" s="110"/>
    </row>
    <row r="214" spans="2:15">
      <c r="C214" s="22">
        <v>2037</v>
      </c>
      <c r="D214" s="106">
        <v>0</v>
      </c>
      <c r="E214" s="106"/>
      <c r="F214" s="106"/>
      <c r="G214" s="106">
        <v>0</v>
      </c>
      <c r="H214" s="106"/>
      <c r="I214" s="106">
        <v>0</v>
      </c>
      <c r="J214" s="106"/>
      <c r="K214" s="106"/>
      <c r="L214" s="106">
        <v>0</v>
      </c>
      <c r="M214" s="110"/>
      <c r="N214" s="110"/>
      <c r="O214" s="110"/>
    </row>
    <row r="215" spans="2:15">
      <c r="C215" s="91"/>
      <c r="D215" s="92"/>
      <c r="E215" s="92"/>
      <c r="F215" s="92"/>
      <c r="G215" s="92"/>
      <c r="H215" s="92"/>
      <c r="I215" s="92"/>
      <c r="J215" s="92"/>
      <c r="K215" s="92"/>
    </row>
    <row r="216" spans="2:15" ht="33" customHeight="1">
      <c r="B216" s="71">
        <v>7</v>
      </c>
      <c r="C216" s="121" t="s">
        <v>108</v>
      </c>
      <c r="D216" s="121"/>
      <c r="E216" s="121"/>
      <c r="F216" s="121"/>
    </row>
    <row r="217" spans="2:15" s="51" customFormat="1" ht="31">
      <c r="B217" s="68"/>
      <c r="C217" s="69"/>
      <c r="D217" s="69"/>
      <c r="E217" s="69"/>
      <c r="F217" s="70"/>
    </row>
    <row r="218" spans="2:15" ht="31">
      <c r="C218" s="67" t="s">
        <v>62</v>
      </c>
      <c r="D218" s="67"/>
      <c r="E218" s="67"/>
      <c r="F218" s="62">
        <v>0.03</v>
      </c>
    </row>
    <row r="219" spans="2:15">
      <c r="C219"/>
      <c r="D219"/>
      <c r="E219"/>
      <c r="F219"/>
    </row>
    <row r="220" spans="2:15">
      <c r="C220" s="61" t="s">
        <v>0</v>
      </c>
      <c r="D220" s="127" t="s">
        <v>63</v>
      </c>
      <c r="E220" s="128"/>
      <c r="F220" s="129"/>
    </row>
    <row r="221" spans="2:15">
      <c r="C221" s="21">
        <v>2022</v>
      </c>
      <c r="D221" s="124">
        <v>30</v>
      </c>
      <c r="E221" s="125"/>
      <c r="F221" s="126"/>
    </row>
    <row r="222" spans="2:15">
      <c r="C222" s="21">
        <v>2023</v>
      </c>
      <c r="D222" s="124">
        <f>D221*(1+$F$218)</f>
        <v>30.900000000000002</v>
      </c>
      <c r="E222" s="125"/>
      <c r="F222" s="126"/>
    </row>
    <row r="223" spans="2:15">
      <c r="C223" s="21">
        <v>2024</v>
      </c>
      <c r="D223" s="124">
        <f t="shared" ref="D223:D236" si="44">D222*(1+$F$218)</f>
        <v>31.827000000000002</v>
      </c>
      <c r="E223" s="125"/>
      <c r="F223" s="126"/>
    </row>
    <row r="224" spans="2:15">
      <c r="C224" s="21">
        <v>2025</v>
      </c>
      <c r="D224" s="124">
        <f t="shared" si="44"/>
        <v>32.78181</v>
      </c>
      <c r="E224" s="125"/>
      <c r="F224" s="126"/>
    </row>
    <row r="225" spans="3:6">
      <c r="C225" s="21">
        <v>2026</v>
      </c>
      <c r="D225" s="124">
        <f t="shared" si="44"/>
        <v>33.765264299999998</v>
      </c>
      <c r="E225" s="125"/>
      <c r="F225" s="126"/>
    </row>
    <row r="226" spans="3:6">
      <c r="C226" s="21">
        <v>2027</v>
      </c>
      <c r="D226" s="124">
        <f t="shared" si="44"/>
        <v>34.778222229000001</v>
      </c>
      <c r="E226" s="125"/>
      <c r="F226" s="126"/>
    </row>
    <row r="227" spans="3:6">
      <c r="C227" s="21">
        <v>2028</v>
      </c>
      <c r="D227" s="124">
        <f t="shared" si="44"/>
        <v>35.821568895870001</v>
      </c>
      <c r="E227" s="125"/>
      <c r="F227" s="126"/>
    </row>
    <row r="228" spans="3:6">
      <c r="C228" s="21">
        <v>2029</v>
      </c>
      <c r="D228" s="124">
        <f t="shared" si="44"/>
        <v>36.896215962746105</v>
      </c>
      <c r="E228" s="125"/>
      <c r="F228" s="126"/>
    </row>
    <row r="229" spans="3:6">
      <c r="C229" s="21">
        <v>2030</v>
      </c>
      <c r="D229" s="124">
        <f t="shared" si="44"/>
        <v>38.003102441628492</v>
      </c>
      <c r="E229" s="125"/>
      <c r="F229" s="126"/>
    </row>
    <row r="230" spans="3:6">
      <c r="C230" s="21">
        <v>2031</v>
      </c>
      <c r="D230" s="124">
        <f t="shared" si="44"/>
        <v>39.143195514877348</v>
      </c>
      <c r="E230" s="125"/>
      <c r="F230" s="126"/>
    </row>
    <row r="231" spans="3:6">
      <c r="C231" s="21">
        <v>2032</v>
      </c>
      <c r="D231" s="124">
        <f t="shared" si="44"/>
        <v>40.317491380323666</v>
      </c>
      <c r="E231" s="125"/>
      <c r="F231" s="126"/>
    </row>
    <row r="232" spans="3:6">
      <c r="C232" s="21">
        <v>2033</v>
      </c>
      <c r="D232" s="124">
        <f t="shared" si="44"/>
        <v>41.527016121733375</v>
      </c>
      <c r="E232" s="125"/>
      <c r="F232" s="126"/>
    </row>
    <row r="233" spans="3:6">
      <c r="C233" s="21">
        <v>2034</v>
      </c>
      <c r="D233" s="124">
        <f t="shared" si="44"/>
        <v>42.772826605385376</v>
      </c>
      <c r="E233" s="125"/>
      <c r="F233" s="126"/>
    </row>
    <row r="234" spans="3:6">
      <c r="C234" s="21">
        <v>2035</v>
      </c>
      <c r="D234" s="124">
        <f t="shared" si="44"/>
        <v>44.05601140354694</v>
      </c>
      <c r="E234" s="125"/>
      <c r="F234" s="126"/>
    </row>
    <row r="235" spans="3:6">
      <c r="C235" s="21">
        <v>2036</v>
      </c>
      <c r="D235" s="124">
        <f t="shared" si="44"/>
        <v>45.377691745653351</v>
      </c>
      <c r="E235" s="125"/>
      <c r="F235" s="126"/>
    </row>
    <row r="236" spans="3:6">
      <c r="C236" s="21">
        <v>2037</v>
      </c>
      <c r="D236" s="124">
        <f t="shared" si="44"/>
        <v>46.739022498022955</v>
      </c>
      <c r="E236" s="125"/>
      <c r="F236" s="126"/>
    </row>
    <row r="238" spans="3:6" ht="37">
      <c r="C238" s="72" t="s">
        <v>64</v>
      </c>
      <c r="D238" s="64"/>
      <c r="E238"/>
    </row>
    <row r="239" spans="3:6">
      <c r="C239"/>
      <c r="D239"/>
      <c r="E239"/>
    </row>
    <row r="240" spans="3:6">
      <c r="C240" s="28" t="s">
        <v>0</v>
      </c>
      <c r="D240" s="127" t="s">
        <v>65</v>
      </c>
      <c r="E240" s="129"/>
    </row>
    <row r="241" spans="3:5">
      <c r="C241" s="21">
        <v>2022</v>
      </c>
      <c r="D241" s="124">
        <f t="shared" ref="D241:D251" si="45">$G$91+D101+M125+G149+L199+D221+G101+D174</f>
        <v>-3771.4985400000005</v>
      </c>
      <c r="E241" s="126"/>
    </row>
    <row r="242" spans="3:5">
      <c r="C242" s="21">
        <v>2023</v>
      </c>
      <c r="D242" s="124">
        <f t="shared" si="45"/>
        <v>-2915.7964364066661</v>
      </c>
      <c r="E242" s="126"/>
    </row>
    <row r="243" spans="3:5">
      <c r="C243" s="21">
        <v>2024</v>
      </c>
      <c r="D243" s="124">
        <f t="shared" si="45"/>
        <v>-3134.4634718073221</v>
      </c>
      <c r="E243" s="126"/>
    </row>
    <row r="244" spans="3:5">
      <c r="C244" s="21">
        <v>2025</v>
      </c>
      <c r="D244" s="124">
        <f t="shared" si="45"/>
        <v>-3376.7588565099518</v>
      </c>
      <c r="E244" s="126"/>
    </row>
    <row r="245" spans="3:5">
      <c r="C245" s="21">
        <v>2026</v>
      </c>
      <c r="D245" s="124">
        <f t="shared" si="45"/>
        <v>-3645.619549295865</v>
      </c>
      <c r="E245" s="126"/>
    </row>
    <row r="246" spans="3:5">
      <c r="C246" s="21">
        <v>2027</v>
      </c>
      <c r="D246" s="124">
        <f t="shared" si="45"/>
        <v>-3944.3746231994883</v>
      </c>
      <c r="E246" s="126"/>
    </row>
    <row r="247" spans="3:5">
      <c r="C247" s="21">
        <v>2028</v>
      </c>
      <c r="D247" s="124">
        <f t="shared" si="45"/>
        <v>-4276.7997332647446</v>
      </c>
      <c r="E247" s="126"/>
    </row>
    <row r="248" spans="3:5">
      <c r="C248" s="21">
        <v>2029</v>
      </c>
      <c r="D248" s="124">
        <f t="shared" si="45"/>
        <v>-4647.1793281126284</v>
      </c>
      <c r="E248" s="126"/>
    </row>
    <row r="249" spans="3:5">
      <c r="C249" s="21">
        <v>2030</v>
      </c>
      <c r="D249" s="124">
        <f t="shared" si="45"/>
        <v>-5060.3777224124524</v>
      </c>
      <c r="E249" s="126"/>
    </row>
    <row r="250" spans="3:5">
      <c r="C250" s="21">
        <v>2031</v>
      </c>
      <c r="D250" s="124">
        <f t="shared" si="45"/>
        <v>-5521.9203100780278</v>
      </c>
      <c r="E250" s="126"/>
    </row>
    <row r="251" spans="3:5">
      <c r="C251" s="21">
        <v>2032</v>
      </c>
      <c r="D251" s="124">
        <f t="shared" si="45"/>
        <v>-6038.0863846088168</v>
      </c>
      <c r="E251" s="126"/>
    </row>
    <row r="252" spans="3:5">
      <c r="C252" s="21">
        <v>2033</v>
      </c>
      <c r="D252" s="124">
        <f t="shared" ref="D252:D256" si="46">$G$91+D112+M136+G160+L210+D232+G112+D185</f>
        <v>-6616.0152469844152</v>
      </c>
      <c r="E252" s="126"/>
    </row>
    <row r="253" spans="3:5">
      <c r="C253" s="21">
        <v>2034</v>
      </c>
      <c r="D253" s="124">
        <f t="shared" si="46"/>
        <v>-7263.8275269386577</v>
      </c>
      <c r="E253" s="126"/>
    </row>
    <row r="254" spans="3:5">
      <c r="C254" s="21">
        <v>2035</v>
      </c>
      <c r="D254" s="124">
        <f t="shared" si="46"/>
        <v>-7990.7639249261883</v>
      </c>
      <c r="E254" s="126"/>
    </row>
    <row r="255" spans="3:5">
      <c r="C255" s="21">
        <v>2036</v>
      </c>
      <c r="D255" s="124">
        <f t="shared" si="46"/>
        <v>-8807.343904974703</v>
      </c>
      <c r="E255" s="126"/>
    </row>
    <row r="256" spans="3:5">
      <c r="C256" s="21">
        <v>2037</v>
      </c>
      <c r="D256" s="124">
        <f t="shared" si="46"/>
        <v>-5907.2588972836011</v>
      </c>
      <c r="E256" s="126"/>
    </row>
    <row r="258" spans="3:18" ht="37">
      <c r="C258" s="133" t="s">
        <v>66</v>
      </c>
      <c r="D258" s="133"/>
      <c r="E258" s="133"/>
      <c r="F258" s="133"/>
      <c r="G258" s="133"/>
      <c r="H258"/>
      <c r="I258"/>
      <c r="J258"/>
      <c r="K258"/>
      <c r="L258"/>
      <c r="M258"/>
      <c r="N258"/>
      <c r="O258"/>
      <c r="P258"/>
      <c r="Q258"/>
      <c r="R258"/>
    </row>
    <row r="259" spans="3:18" ht="26">
      <c r="C259" s="24"/>
      <c r="D259" s="24"/>
      <c r="E259" s="24"/>
      <c r="F259" s="24"/>
      <c r="G259" s="24"/>
      <c r="H259"/>
      <c r="I259"/>
      <c r="J259"/>
      <c r="K259"/>
      <c r="L259"/>
      <c r="M259"/>
      <c r="N259"/>
      <c r="O259"/>
      <c r="P259"/>
      <c r="Q259"/>
      <c r="R259"/>
    </row>
    <row r="260" spans="3:18" ht="35">
      <c r="C260" s="73" t="s">
        <v>67</v>
      </c>
      <c r="D260" s="74">
        <v>0.1</v>
      </c>
      <c r="E260" s="24"/>
      <c r="F260" s="24"/>
      <c r="G260" s="24"/>
      <c r="H260"/>
      <c r="I260"/>
      <c r="J260"/>
      <c r="K260"/>
      <c r="L260"/>
      <c r="M260"/>
      <c r="N260"/>
      <c r="O260"/>
      <c r="P260"/>
      <c r="Q260"/>
      <c r="R260"/>
    </row>
    <row r="261" spans="3:18"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/>
      <c r="R261"/>
    </row>
    <row r="262" spans="3:18">
      <c r="C262" s="28" t="s">
        <v>0</v>
      </c>
      <c r="D262" s="130" t="s">
        <v>22</v>
      </c>
      <c r="E262" s="130"/>
      <c r="F262" s="130" t="s">
        <v>65</v>
      </c>
      <c r="G262" s="130"/>
      <c r="H262" s="130" t="s">
        <v>68</v>
      </c>
      <c r="I262" s="130"/>
      <c r="J262" s="130"/>
      <c r="K262" s="130" t="s">
        <v>81</v>
      </c>
      <c r="L262" s="130"/>
      <c r="M262" s="130" t="s">
        <v>69</v>
      </c>
      <c r="N262" s="130"/>
      <c r="O262" s="130"/>
      <c r="P262" s="130"/>
      <c r="Q262" s="130"/>
      <c r="R262"/>
    </row>
    <row r="263" spans="3:18">
      <c r="C263" s="21">
        <v>2022</v>
      </c>
      <c r="D263" s="131">
        <f t="shared" ref="D263:D272" si="47">D72</f>
        <v>5102.3740000000007</v>
      </c>
      <c r="E263" s="132"/>
      <c r="F263" s="131">
        <f t="shared" ref="F263:F273" si="48">D241</f>
        <v>-3771.4985400000005</v>
      </c>
      <c r="G263" s="132"/>
      <c r="H263" s="131">
        <f t="shared" ref="H263:H273" si="49">D263+F263</f>
        <v>1330.8754600000002</v>
      </c>
      <c r="I263" s="132"/>
      <c r="J263" s="132"/>
      <c r="K263" s="131">
        <f>H263*$D$260</f>
        <v>133.08754600000003</v>
      </c>
      <c r="L263" s="131"/>
      <c r="M263" s="131">
        <f t="shared" ref="M263:M273" si="50">H263-K263</f>
        <v>1197.7879140000002</v>
      </c>
      <c r="N263" s="132"/>
      <c r="O263" s="132"/>
      <c r="P263" s="132"/>
      <c r="Q263" s="132"/>
      <c r="R263"/>
    </row>
    <row r="264" spans="3:18">
      <c r="C264" s="21">
        <v>2023</v>
      </c>
      <c r="D264" s="131">
        <f t="shared" si="47"/>
        <v>5533.4750939999994</v>
      </c>
      <c r="E264" s="132"/>
      <c r="F264" s="131">
        <f t="shared" si="48"/>
        <v>-2915.7964364066661</v>
      </c>
      <c r="G264" s="132"/>
      <c r="H264" s="131">
        <f t="shared" si="49"/>
        <v>2617.6786575933334</v>
      </c>
      <c r="I264" s="132"/>
      <c r="J264" s="132"/>
      <c r="K264" s="131">
        <f t="shared" ref="K264:K273" si="51">H264*$D$260</f>
        <v>261.76786575933335</v>
      </c>
      <c r="L264" s="131"/>
      <c r="M264" s="131">
        <f t="shared" si="50"/>
        <v>2355.9107918340001</v>
      </c>
      <c r="N264" s="132"/>
      <c r="O264" s="132"/>
      <c r="P264" s="132"/>
      <c r="Q264" s="132"/>
      <c r="R264"/>
    </row>
    <row r="265" spans="3:18">
      <c r="C265" s="21">
        <v>2024</v>
      </c>
      <c r="D265" s="131">
        <f t="shared" si="47"/>
        <v>6003.9943101936005</v>
      </c>
      <c r="E265" s="132"/>
      <c r="F265" s="131">
        <f t="shared" si="48"/>
        <v>-3134.4634718073221</v>
      </c>
      <c r="G265" s="132"/>
      <c r="H265" s="131">
        <f t="shared" si="49"/>
        <v>2869.5308383862784</v>
      </c>
      <c r="I265" s="132"/>
      <c r="J265" s="132"/>
      <c r="K265" s="131">
        <f t="shared" si="51"/>
        <v>286.95308383862783</v>
      </c>
      <c r="L265" s="131"/>
      <c r="M265" s="131">
        <f t="shared" si="50"/>
        <v>2582.5777545476508</v>
      </c>
      <c r="N265" s="132"/>
      <c r="O265" s="132"/>
      <c r="P265" s="132"/>
      <c r="Q265" s="132"/>
      <c r="R265"/>
    </row>
    <row r="266" spans="3:18">
      <c r="C266" s="21">
        <v>2025</v>
      </c>
      <c r="D266" s="131">
        <f t="shared" si="47"/>
        <v>6517.8070230632648</v>
      </c>
      <c r="E266" s="132"/>
      <c r="F266" s="131">
        <f t="shared" si="48"/>
        <v>-3376.7588565099518</v>
      </c>
      <c r="G266" s="132"/>
      <c r="H266" s="131">
        <f t="shared" si="49"/>
        <v>3141.048166553313</v>
      </c>
      <c r="I266" s="132"/>
      <c r="J266" s="132"/>
      <c r="K266" s="131">
        <f t="shared" si="51"/>
        <v>314.10481665533132</v>
      </c>
      <c r="L266" s="131"/>
      <c r="M266" s="131">
        <f t="shared" si="50"/>
        <v>2826.9433498979815</v>
      </c>
      <c r="N266" s="132"/>
      <c r="O266" s="132"/>
      <c r="P266" s="132"/>
      <c r="Q266" s="132"/>
      <c r="R266"/>
    </row>
    <row r="267" spans="3:18">
      <c r="C267" s="21">
        <v>2026</v>
      </c>
      <c r="D267" s="131">
        <f t="shared" si="47"/>
        <v>7079.1923407342802</v>
      </c>
      <c r="E267" s="132"/>
      <c r="F267" s="131">
        <f t="shared" si="48"/>
        <v>-3645.619549295865</v>
      </c>
      <c r="G267" s="132"/>
      <c r="H267" s="131">
        <f t="shared" si="49"/>
        <v>3433.5727914384152</v>
      </c>
      <c r="I267" s="132"/>
      <c r="J267" s="132"/>
      <c r="K267" s="131">
        <f t="shared" si="51"/>
        <v>343.35727914384154</v>
      </c>
      <c r="L267" s="131"/>
      <c r="M267" s="131">
        <f t="shared" si="50"/>
        <v>3090.2155122945737</v>
      </c>
      <c r="N267" s="132"/>
      <c r="O267" s="132"/>
      <c r="P267" s="132"/>
      <c r="Q267" s="132"/>
      <c r="R267"/>
    </row>
    <row r="268" spans="3:18">
      <c r="C268" s="21">
        <v>2027</v>
      </c>
      <c r="D268" s="131">
        <f t="shared" si="47"/>
        <v>7692.8769413390346</v>
      </c>
      <c r="E268" s="132"/>
      <c r="F268" s="131">
        <f t="shared" si="48"/>
        <v>-3944.3746231994883</v>
      </c>
      <c r="G268" s="132"/>
      <c r="H268" s="131">
        <f t="shared" si="49"/>
        <v>3748.5023181395463</v>
      </c>
      <c r="I268" s="132"/>
      <c r="J268" s="132"/>
      <c r="K268" s="131">
        <f t="shared" si="51"/>
        <v>374.85023181395468</v>
      </c>
      <c r="L268" s="131"/>
      <c r="M268" s="131">
        <f t="shared" si="50"/>
        <v>3373.6520863255919</v>
      </c>
      <c r="N268" s="132"/>
      <c r="O268" s="132"/>
      <c r="P268" s="132"/>
      <c r="Q268" s="132"/>
      <c r="R268"/>
    </row>
    <row r="269" spans="3:18">
      <c r="C269" s="21">
        <v>2028</v>
      </c>
      <c r="D269" s="131">
        <f t="shared" si="47"/>
        <v>8364.0838003136396</v>
      </c>
      <c r="E269" s="132"/>
      <c r="F269" s="131">
        <f t="shared" si="48"/>
        <v>-4276.7997332647446</v>
      </c>
      <c r="G269" s="132"/>
      <c r="H269" s="131">
        <f t="shared" si="49"/>
        <v>4087.2840670488949</v>
      </c>
      <c r="I269" s="132"/>
      <c r="J269" s="132"/>
      <c r="K269" s="131">
        <f t="shared" si="51"/>
        <v>408.72840670488949</v>
      </c>
      <c r="L269" s="131"/>
      <c r="M269" s="131">
        <f t="shared" si="50"/>
        <v>3678.5556603440054</v>
      </c>
      <c r="N269" s="132"/>
      <c r="O269" s="132"/>
      <c r="P269" s="132"/>
      <c r="Q269" s="132"/>
      <c r="R269"/>
    </row>
    <row r="270" spans="3:18">
      <c r="C270" s="21">
        <v>2029</v>
      </c>
      <c r="D270" s="131">
        <f t="shared" si="47"/>
        <v>9098.5863636703089</v>
      </c>
      <c r="E270" s="132"/>
      <c r="F270" s="131">
        <f t="shared" si="48"/>
        <v>-4647.1793281126284</v>
      </c>
      <c r="G270" s="132"/>
      <c r="H270" s="131">
        <f t="shared" si="49"/>
        <v>4451.4070355576805</v>
      </c>
      <c r="I270" s="132"/>
      <c r="J270" s="132"/>
      <c r="K270" s="131">
        <f t="shared" si="51"/>
        <v>445.14070355576808</v>
      </c>
      <c r="L270" s="131"/>
      <c r="M270" s="131">
        <f t="shared" si="50"/>
        <v>4006.2663320019124</v>
      </c>
      <c r="N270" s="132"/>
      <c r="O270" s="132"/>
      <c r="P270" s="132"/>
      <c r="Q270" s="132"/>
      <c r="R270"/>
    </row>
    <row r="271" spans="3:18">
      <c r="C271" s="21">
        <v>2030</v>
      </c>
      <c r="D271" s="131">
        <f t="shared" si="47"/>
        <v>9902.7687859289272</v>
      </c>
      <c r="E271" s="132"/>
      <c r="F271" s="131">
        <f t="shared" si="48"/>
        <v>-5060.3777224124524</v>
      </c>
      <c r="G271" s="132"/>
      <c r="H271" s="131">
        <f t="shared" si="49"/>
        <v>4842.3910635164748</v>
      </c>
      <c r="I271" s="132"/>
      <c r="J271" s="132"/>
      <c r="K271" s="131">
        <f t="shared" si="51"/>
        <v>484.23910635164748</v>
      </c>
      <c r="L271" s="131"/>
      <c r="M271" s="131">
        <f t="shared" si="50"/>
        <v>4358.1519571648278</v>
      </c>
      <c r="N271" s="132"/>
      <c r="O271" s="132"/>
      <c r="P271" s="132"/>
      <c r="Q271" s="132"/>
      <c r="R271"/>
    </row>
    <row r="272" spans="3:18">
      <c r="C272" s="21">
        <v>2031</v>
      </c>
      <c r="D272" s="131">
        <f t="shared" si="47"/>
        <v>10783.692922372999</v>
      </c>
      <c r="E272" s="132"/>
      <c r="F272" s="131">
        <f t="shared" si="48"/>
        <v>-5521.9203100780278</v>
      </c>
      <c r="G272" s="132"/>
      <c r="H272" s="131">
        <f t="shared" si="49"/>
        <v>5261.7726122949707</v>
      </c>
      <c r="I272" s="132"/>
      <c r="J272" s="132"/>
      <c r="K272" s="131">
        <f t="shared" si="51"/>
        <v>526.17726122949705</v>
      </c>
      <c r="L272" s="131"/>
      <c r="M272" s="131">
        <f t="shared" si="50"/>
        <v>4735.5953510654736</v>
      </c>
      <c r="N272" s="132"/>
      <c r="O272" s="132"/>
      <c r="P272" s="132"/>
      <c r="Q272" s="132"/>
      <c r="R272"/>
    </row>
    <row r="273" spans="3:18">
      <c r="C273" s="21">
        <v>2032</v>
      </c>
      <c r="D273" s="131">
        <f t="shared" ref="D273" si="52">D86</f>
        <v>16644.171600875095</v>
      </c>
      <c r="E273" s="132"/>
      <c r="F273" s="131">
        <f t="shared" si="48"/>
        <v>-6038.0863846088168</v>
      </c>
      <c r="G273" s="132"/>
      <c r="H273" s="131">
        <f t="shared" si="49"/>
        <v>10606.085216266278</v>
      </c>
      <c r="I273" s="132"/>
      <c r="J273" s="132"/>
      <c r="K273" s="131">
        <f t="shared" si="51"/>
        <v>1060.6085216266279</v>
      </c>
      <c r="L273" s="131"/>
      <c r="M273" s="131">
        <f t="shared" si="50"/>
        <v>9545.4766946396503</v>
      </c>
      <c r="N273" s="132"/>
      <c r="O273" s="132"/>
      <c r="P273" s="132"/>
      <c r="Q273" s="132"/>
      <c r="R273"/>
    </row>
    <row r="274" spans="3:18">
      <c r="C274" s="21">
        <v>2033</v>
      </c>
      <c r="D274" s="131">
        <f t="shared" ref="D274:D278" si="53">D83</f>
        <v>12807.857735600919</v>
      </c>
      <c r="E274" s="132"/>
      <c r="F274" s="131">
        <f t="shared" ref="F274:F278" si="54">D252</f>
        <v>-6616.0152469844152</v>
      </c>
      <c r="G274" s="132"/>
      <c r="H274" s="131">
        <f t="shared" ref="H274:H278" si="55">D274+F274</f>
        <v>6191.8424886165039</v>
      </c>
      <c r="I274" s="132"/>
      <c r="J274" s="132"/>
      <c r="K274" s="131">
        <f>H274*$D$260</f>
        <v>619.18424886165042</v>
      </c>
      <c r="L274" s="131"/>
      <c r="M274" s="131">
        <f t="shared" ref="M274:M278" si="56">H274-K274</f>
        <v>5572.6582397548536</v>
      </c>
      <c r="N274" s="132"/>
      <c r="O274" s="132"/>
      <c r="P274" s="132"/>
      <c r="Q274" s="132"/>
    </row>
    <row r="275" spans="3:18">
      <c r="C275" s="21">
        <v>2034</v>
      </c>
      <c r="D275" s="131">
        <f>D84</f>
        <v>13969.324122790047</v>
      </c>
      <c r="E275" s="132"/>
      <c r="F275" s="131">
        <f t="shared" si="54"/>
        <v>-7263.8275269386577</v>
      </c>
      <c r="G275" s="132"/>
      <c r="H275" s="131">
        <f t="shared" si="55"/>
        <v>6705.4965958513894</v>
      </c>
      <c r="I275" s="132"/>
      <c r="J275" s="132"/>
      <c r="K275" s="131">
        <f t="shared" ref="K275:K278" si="57">H275*$D$260</f>
        <v>670.54965958513901</v>
      </c>
      <c r="L275" s="131"/>
      <c r="M275" s="131">
        <f t="shared" si="56"/>
        <v>6034.9469362662503</v>
      </c>
      <c r="N275" s="132"/>
      <c r="O275" s="132"/>
      <c r="P275" s="132"/>
      <c r="Q275" s="132"/>
    </row>
    <row r="276" spans="3:18">
      <c r="C276" s="21">
        <v>2035</v>
      </c>
      <c r="D276" s="131">
        <f>D85</f>
        <v>15244.178509955209</v>
      </c>
      <c r="E276" s="132"/>
      <c r="F276" s="131">
        <f t="shared" si="54"/>
        <v>-7990.7639249261883</v>
      </c>
      <c r="G276" s="132"/>
      <c r="H276" s="131">
        <f t="shared" si="55"/>
        <v>7253.4145850290206</v>
      </c>
      <c r="I276" s="132"/>
      <c r="J276" s="132"/>
      <c r="K276" s="131">
        <f t="shared" si="57"/>
        <v>725.34145850290213</v>
      </c>
      <c r="L276" s="131"/>
      <c r="M276" s="131">
        <f t="shared" si="56"/>
        <v>6528.0731265261184</v>
      </c>
      <c r="N276" s="132"/>
      <c r="O276" s="132"/>
      <c r="P276" s="132"/>
      <c r="Q276" s="132"/>
    </row>
    <row r="277" spans="3:18">
      <c r="C277" s="21">
        <v>2036</v>
      </c>
      <c r="D277" s="131">
        <f>D86</f>
        <v>16644.171600875095</v>
      </c>
      <c r="E277" s="132"/>
      <c r="F277" s="131">
        <f t="shared" si="54"/>
        <v>-8807.343904974703</v>
      </c>
      <c r="G277" s="132"/>
      <c r="H277" s="131">
        <f t="shared" si="55"/>
        <v>7836.8276959003924</v>
      </c>
      <c r="I277" s="132"/>
      <c r="J277" s="132"/>
      <c r="K277" s="131">
        <f t="shared" si="57"/>
        <v>783.68276959003924</v>
      </c>
      <c r="L277" s="131"/>
      <c r="M277" s="131">
        <f t="shared" si="56"/>
        <v>7053.1449263103532</v>
      </c>
      <c r="N277" s="132"/>
      <c r="O277" s="132"/>
      <c r="P277" s="132"/>
      <c r="Q277" s="132"/>
    </row>
    <row r="278" spans="3:18">
      <c r="C278" s="21">
        <v>2037</v>
      </c>
      <c r="D278" s="131">
        <f t="shared" si="53"/>
        <v>17755.629140144396</v>
      </c>
      <c r="E278" s="132"/>
      <c r="F278" s="131">
        <f t="shared" si="54"/>
        <v>-5907.2588972836011</v>
      </c>
      <c r="G278" s="132"/>
      <c r="H278" s="131">
        <f t="shared" si="55"/>
        <v>11848.370242860794</v>
      </c>
      <c r="I278" s="132"/>
      <c r="J278" s="132"/>
      <c r="K278" s="131">
        <f t="shared" si="57"/>
        <v>1184.8370242860794</v>
      </c>
      <c r="L278" s="131"/>
      <c r="M278" s="131">
        <f t="shared" si="56"/>
        <v>10663.533218574714</v>
      </c>
      <c r="N278" s="132"/>
      <c r="O278" s="132"/>
      <c r="P278" s="132"/>
      <c r="Q278" s="132"/>
    </row>
    <row r="280" spans="3:18" ht="30">
      <c r="C280"/>
      <c r="D280"/>
      <c r="E280" s="134" t="s">
        <v>70</v>
      </c>
      <c r="F280" s="134"/>
      <c r="G280" s="134"/>
      <c r="H280" s="134"/>
      <c r="I280" s="134"/>
      <c r="J280" s="134"/>
      <c r="K280" s="134"/>
      <c r="L280"/>
      <c r="M280"/>
      <c r="N280"/>
    </row>
    <row r="281" spans="3:18">
      <c r="C281"/>
      <c r="D281"/>
      <c r="E281"/>
      <c r="F281"/>
      <c r="G281"/>
      <c r="H281"/>
      <c r="I281"/>
      <c r="J281"/>
      <c r="K281"/>
      <c r="L281"/>
      <c r="M281"/>
      <c r="N281"/>
    </row>
    <row r="282" spans="3:18">
      <c r="C282" s="138" t="s">
        <v>71</v>
      </c>
      <c r="D282" s="138"/>
      <c r="E282" s="138"/>
      <c r="F282" s="138"/>
      <c r="G282" s="138"/>
      <c r="H282" s="138"/>
      <c r="I282" s="138"/>
      <c r="J282" s="138"/>
      <c r="K282" s="138"/>
      <c r="L282" s="138"/>
      <c r="M282" s="138"/>
      <c r="N282" s="138"/>
    </row>
    <row r="283" spans="3:18">
      <c r="C283" s="25"/>
      <c r="D283"/>
      <c r="E283"/>
      <c r="F283"/>
      <c r="G283"/>
      <c r="H283"/>
      <c r="I283"/>
      <c r="J283"/>
      <c r="K283"/>
      <c r="L283"/>
      <c r="M283"/>
      <c r="N283"/>
    </row>
    <row r="284" spans="3:18">
      <c r="C284" s="139" t="s">
        <v>72</v>
      </c>
      <c r="D284" s="139"/>
      <c r="E284" s="139"/>
      <c r="F284" s="139"/>
      <c r="G284" s="139"/>
      <c r="H284" s="139"/>
      <c r="I284" s="75">
        <v>0.11</v>
      </c>
      <c r="J284"/>
      <c r="K284"/>
      <c r="L284"/>
      <c r="M284"/>
      <c r="N284"/>
    </row>
    <row r="285" spans="3:18">
      <c r="C285" s="137" t="s">
        <v>109</v>
      </c>
      <c r="D285" s="137"/>
      <c r="E285" s="137"/>
      <c r="F285" s="137"/>
      <c r="G285" s="137"/>
      <c r="H285" s="137"/>
      <c r="I285" s="80">
        <f>L213*-1</f>
        <v>3495.2760361837704</v>
      </c>
      <c r="J285"/>
      <c r="K285"/>
      <c r="L285"/>
      <c r="M285"/>
      <c r="N285"/>
    </row>
    <row r="286" spans="3:18">
      <c r="C286" s="137" t="s">
        <v>110</v>
      </c>
      <c r="D286" s="137"/>
      <c r="E286" s="137"/>
      <c r="F286" s="137"/>
      <c r="G286" s="137"/>
      <c r="H286" s="137"/>
      <c r="I286" s="76">
        <f>I285*(1+I284)</f>
        <v>3879.7564001639857</v>
      </c>
      <c r="J286"/>
      <c r="K286"/>
      <c r="L286"/>
      <c r="M286"/>
      <c r="N286"/>
    </row>
    <row r="287" spans="3:18">
      <c r="C287" s="137" t="s">
        <v>111</v>
      </c>
      <c r="D287" s="137"/>
      <c r="E287" s="137"/>
      <c r="F287" s="137"/>
      <c r="G287" s="137"/>
      <c r="H287" s="137"/>
      <c r="I287" s="76">
        <v>200</v>
      </c>
      <c r="J287"/>
      <c r="K287"/>
      <c r="L287"/>
      <c r="M287"/>
      <c r="N287"/>
    </row>
    <row r="288" spans="3:18">
      <c r="C288" s="137" t="s">
        <v>112</v>
      </c>
      <c r="D288" s="137"/>
      <c r="E288" s="137"/>
      <c r="F288" s="137"/>
      <c r="G288" s="137"/>
      <c r="H288" s="137"/>
      <c r="I288" s="64">
        <f>646.37*2</f>
        <v>1292.74</v>
      </c>
      <c r="J288"/>
      <c r="K288"/>
      <c r="L288"/>
      <c r="M288"/>
      <c r="N288"/>
    </row>
    <row r="289" spans="3:14">
      <c r="C289"/>
      <c r="D289"/>
      <c r="E289"/>
      <c r="F289"/>
      <c r="G289"/>
      <c r="H289"/>
      <c r="I289"/>
      <c r="J289"/>
      <c r="K289"/>
      <c r="L289"/>
      <c r="M289"/>
      <c r="N289"/>
    </row>
    <row r="290" spans="3:14">
      <c r="C290" s="140" t="s">
        <v>77</v>
      </c>
      <c r="D290" s="140"/>
      <c r="E290" s="140"/>
      <c r="F290" s="140"/>
      <c r="G290" s="140"/>
      <c r="H290" s="140"/>
      <c r="I290" s="77">
        <f>I286+I287+I288</f>
        <v>5372.4964001639855</v>
      </c>
      <c r="J290"/>
      <c r="K290"/>
      <c r="L290"/>
      <c r="M290"/>
      <c r="N290"/>
    </row>
    <row r="291" spans="3:14">
      <c r="C291"/>
      <c r="D291"/>
      <c r="E291"/>
      <c r="F291"/>
      <c r="G291"/>
      <c r="H291"/>
      <c r="I291"/>
      <c r="J291"/>
      <c r="K291"/>
      <c r="L291"/>
      <c r="M291"/>
      <c r="N291"/>
    </row>
    <row r="292" spans="3:14">
      <c r="C292" s="137" t="s">
        <v>113</v>
      </c>
      <c r="D292" s="137"/>
      <c r="E292" s="137"/>
      <c r="F292" s="137"/>
      <c r="G292" s="137"/>
      <c r="H292" s="137"/>
      <c r="I292" s="79">
        <f>D87</f>
        <v>17755.629140144396</v>
      </c>
      <c r="J292" s="78"/>
      <c r="K292"/>
      <c r="L292"/>
      <c r="M292"/>
      <c r="N292"/>
    </row>
    <row r="293" spans="3:14">
      <c r="C293" s="137" t="s">
        <v>114</v>
      </c>
      <c r="D293" s="137"/>
      <c r="E293" s="137"/>
      <c r="F293" s="137"/>
      <c r="G293" s="137"/>
      <c r="H293" s="137"/>
      <c r="I293" s="93">
        <f>D256</f>
        <v>-5907.2588972836011</v>
      </c>
      <c r="J293"/>
      <c r="K293"/>
      <c r="L293"/>
      <c r="M293"/>
      <c r="N293"/>
    </row>
    <row r="294" spans="3:14">
      <c r="C294" s="137" t="s">
        <v>80</v>
      </c>
      <c r="D294" s="137"/>
      <c r="E294" s="137"/>
      <c r="F294" s="137"/>
      <c r="G294" s="137"/>
      <c r="H294" s="137"/>
      <c r="I294" s="64">
        <f>I292+I293+I290</f>
        <v>17220.866643024779</v>
      </c>
      <c r="J294"/>
      <c r="K294"/>
      <c r="L294"/>
      <c r="M294"/>
      <c r="N294"/>
    </row>
    <row r="295" spans="3:14">
      <c r="C295" s="137" t="s">
        <v>81</v>
      </c>
      <c r="D295" s="137"/>
      <c r="E295" s="137"/>
      <c r="F295" s="137"/>
      <c r="G295" s="137"/>
      <c r="H295" s="137"/>
      <c r="I295" s="64">
        <f>10%*I294</f>
        <v>1722.0866643024781</v>
      </c>
      <c r="J295"/>
      <c r="K295"/>
      <c r="L295"/>
      <c r="M295"/>
      <c r="N295"/>
    </row>
    <row r="296" spans="3:14">
      <c r="C296" s="137" t="s">
        <v>82</v>
      </c>
      <c r="D296" s="137"/>
      <c r="E296" s="137"/>
      <c r="F296" s="137"/>
      <c r="G296" s="137"/>
      <c r="H296" s="137"/>
      <c r="I296" s="64">
        <f>I294-I295</f>
        <v>15498.779978722301</v>
      </c>
      <c r="J296"/>
      <c r="K296"/>
      <c r="L296"/>
      <c r="M296"/>
      <c r="N296"/>
    </row>
    <row r="297" spans="3:14">
      <c r="C297" s="26"/>
      <c r="D297" s="26"/>
      <c r="E297" s="26"/>
      <c r="F297" s="26"/>
      <c r="G297" s="26"/>
      <c r="H297" s="26"/>
      <c r="I297"/>
      <c r="J297"/>
      <c r="K297"/>
      <c r="L297"/>
      <c r="M297"/>
      <c r="N297"/>
    </row>
    <row r="298" spans="3:14" ht="30">
      <c r="C298" s="135" t="s">
        <v>83</v>
      </c>
      <c r="D298" s="135"/>
      <c r="E298" s="135"/>
      <c r="F298" s="26"/>
      <c r="G298" s="26"/>
      <c r="H298" s="26"/>
      <c r="I298"/>
      <c r="J298"/>
      <c r="K298"/>
      <c r="L298"/>
      <c r="M298"/>
      <c r="N298"/>
    </row>
    <row r="299" spans="3:14">
      <c r="C299" s="137" t="s">
        <v>84</v>
      </c>
      <c r="D299" s="137"/>
      <c r="E299" s="137"/>
      <c r="F299" s="137"/>
      <c r="G299" s="76">
        <v>-150</v>
      </c>
      <c r="H299" s="26"/>
      <c r="I299"/>
      <c r="J299"/>
      <c r="K299"/>
      <c r="L299"/>
      <c r="M299"/>
      <c r="N299"/>
    </row>
    <row r="300" spans="3:14">
      <c r="C300" s="137" t="s">
        <v>85</v>
      </c>
      <c r="D300" s="137"/>
      <c r="E300" s="137"/>
      <c r="F300" s="137"/>
      <c r="G300" s="76">
        <v>-1000</v>
      </c>
      <c r="H300" s="26"/>
      <c r="I300"/>
      <c r="J300"/>
      <c r="K300"/>
      <c r="L300"/>
      <c r="M300"/>
      <c r="N300"/>
    </row>
    <row r="301" spans="3:14">
      <c r="C301" s="137" t="s">
        <v>86</v>
      </c>
      <c r="D301" s="137"/>
      <c r="E301" s="137"/>
      <c r="F301" s="137"/>
      <c r="G301" s="76">
        <v>-500</v>
      </c>
      <c r="H301" s="26"/>
      <c r="I301"/>
      <c r="J301"/>
      <c r="K301"/>
      <c r="L301"/>
      <c r="M301"/>
      <c r="N301"/>
    </row>
    <row r="302" spans="3:14">
      <c r="C302" s="137" t="s">
        <v>87</v>
      </c>
      <c r="D302" s="137"/>
      <c r="E302" s="137"/>
      <c r="F302" s="137"/>
      <c r="G302" s="76">
        <v>-480</v>
      </c>
      <c r="H302" s="26"/>
      <c r="I302"/>
      <c r="J302"/>
      <c r="K302"/>
      <c r="L302"/>
      <c r="M302"/>
      <c r="N302"/>
    </row>
    <row r="303" spans="3:14">
      <c r="C303" s="137" t="s">
        <v>88</v>
      </c>
      <c r="D303" s="137"/>
      <c r="E303" s="137"/>
      <c r="F303" s="137"/>
      <c r="G303" s="80">
        <v>-1071.4985400000003</v>
      </c>
      <c r="H303" s="26"/>
      <c r="I303"/>
      <c r="J303"/>
      <c r="K303"/>
      <c r="L303"/>
      <c r="M303"/>
      <c r="N303"/>
    </row>
    <row r="304" spans="3:14">
      <c r="C304" s="137" t="s">
        <v>89</v>
      </c>
      <c r="D304" s="137"/>
      <c r="E304" s="137"/>
      <c r="F304" s="137"/>
      <c r="G304" s="76">
        <v>30</v>
      </c>
      <c r="H304" s="26"/>
      <c r="I304"/>
      <c r="J304"/>
      <c r="K304"/>
      <c r="L304"/>
      <c r="M304"/>
      <c r="N304"/>
    </row>
    <row r="305" spans="3:14" ht="26">
      <c r="C305" s="84" t="s">
        <v>90</v>
      </c>
      <c r="D305" s="85"/>
      <c r="E305" s="85"/>
      <c r="F305" s="85"/>
      <c r="G305" s="86">
        <f>SUM(G299:G304)</f>
        <v>-3171.4985400000005</v>
      </c>
      <c r="H305" s="26"/>
      <c r="I305"/>
      <c r="J305"/>
      <c r="K305"/>
      <c r="L305"/>
      <c r="M305"/>
      <c r="N305"/>
    </row>
    <row r="306" spans="3:14" ht="26">
      <c r="C306" s="87"/>
      <c r="D306" s="87"/>
      <c r="E306" s="87"/>
      <c r="F306" s="87"/>
      <c r="G306" s="87"/>
      <c r="H306" s="26"/>
      <c r="I306"/>
      <c r="J306"/>
      <c r="K306"/>
      <c r="L306"/>
      <c r="M306"/>
      <c r="N306"/>
    </row>
    <row r="307" spans="3:14" ht="26">
      <c r="C307" s="144" t="s">
        <v>91</v>
      </c>
      <c r="D307" s="144"/>
      <c r="E307" s="144"/>
      <c r="F307" s="88">
        <f>1/(1+I284)</f>
        <v>0.9009009009009008</v>
      </c>
      <c r="G307" s="89"/>
      <c r="H307"/>
      <c r="I307"/>
      <c r="J307"/>
      <c r="K307"/>
      <c r="L307"/>
      <c r="M307"/>
      <c r="N307"/>
    </row>
    <row r="308" spans="3:14">
      <c r="C308" s="26"/>
      <c r="D308" s="26"/>
      <c r="E308" s="26"/>
      <c r="F308" s="26"/>
      <c r="G308" s="26"/>
      <c r="H308" s="26"/>
      <c r="I308"/>
      <c r="J308"/>
      <c r="K308"/>
      <c r="L308"/>
      <c r="M308"/>
      <c r="N308"/>
    </row>
    <row r="309" spans="3:14">
      <c r="C309" s="2"/>
      <c r="D309"/>
      <c r="E309"/>
      <c r="F309"/>
      <c r="G309"/>
      <c r="H309"/>
      <c r="I309"/>
      <c r="J309"/>
      <c r="K309"/>
      <c r="L309"/>
      <c r="M309"/>
      <c r="N309"/>
    </row>
    <row r="310" spans="3:14">
      <c r="C310" s="28" t="s">
        <v>0</v>
      </c>
      <c r="D310" s="28" t="s">
        <v>92</v>
      </c>
      <c r="E310" s="130" t="s">
        <v>69</v>
      </c>
      <c r="F310" s="130"/>
      <c r="G310" s="130"/>
      <c r="H310" s="130"/>
      <c r="I310" s="130"/>
      <c r="J310" s="130" t="s">
        <v>93</v>
      </c>
      <c r="K310" s="130"/>
      <c r="L310" s="29" t="s">
        <v>94</v>
      </c>
      <c r="M310"/>
      <c r="N310"/>
    </row>
    <row r="311" spans="3:14">
      <c r="C311" s="21">
        <v>2022</v>
      </c>
      <c r="D311" s="21">
        <v>0</v>
      </c>
      <c r="E311" s="131">
        <f>G305</f>
        <v>-3171.4985400000005</v>
      </c>
      <c r="F311" s="132"/>
      <c r="G311" s="132"/>
      <c r="H311" s="132"/>
      <c r="I311" s="132"/>
      <c r="J311" s="132">
        <f>$F$307^D311</f>
        <v>1</v>
      </c>
      <c r="K311" s="132"/>
      <c r="L311" s="21">
        <f>E311*J311</f>
        <v>-3171.4985400000005</v>
      </c>
      <c r="M311"/>
      <c r="N311" s="9"/>
    </row>
    <row r="312" spans="3:14">
      <c r="C312" s="21">
        <v>2023</v>
      </c>
      <c r="D312" s="21">
        <v>1</v>
      </c>
      <c r="E312" s="124">
        <f>D73+D242</f>
        <v>2617.6786575933334</v>
      </c>
      <c r="F312" s="142"/>
      <c r="G312" s="142"/>
      <c r="H312" s="142"/>
      <c r="I312" s="143"/>
      <c r="J312" s="132">
        <f t="shared" ref="J312:J321" si="58">$F$307^D312</f>
        <v>0.9009009009009008</v>
      </c>
      <c r="K312" s="132"/>
      <c r="L312" s="21">
        <f t="shared" ref="L312:L326" si="59">E312*J312</f>
        <v>2358.2690608948947</v>
      </c>
      <c r="M312"/>
      <c r="N312" s="30"/>
    </row>
    <row r="313" spans="3:14">
      <c r="C313" s="21">
        <v>2024</v>
      </c>
      <c r="D313" s="21">
        <v>2</v>
      </c>
      <c r="E313" s="124">
        <f t="shared" ref="E313:E326" si="60">D74+D243</f>
        <v>2869.5308383862784</v>
      </c>
      <c r="F313" s="142"/>
      <c r="G313" s="142"/>
      <c r="H313" s="142"/>
      <c r="I313" s="143"/>
      <c r="J313" s="132">
        <f t="shared" si="58"/>
        <v>0.8116224332440547</v>
      </c>
      <c r="K313" s="132"/>
      <c r="L313" s="21">
        <f t="shared" si="59"/>
        <v>2328.9756013199235</v>
      </c>
      <c r="M313"/>
      <c r="N313" s="30"/>
    </row>
    <row r="314" spans="3:14">
      <c r="C314" s="21">
        <v>2025</v>
      </c>
      <c r="D314" s="21">
        <v>3</v>
      </c>
      <c r="E314" s="124">
        <f t="shared" si="60"/>
        <v>3141.048166553313</v>
      </c>
      <c r="F314" s="142"/>
      <c r="G314" s="142"/>
      <c r="H314" s="142"/>
      <c r="I314" s="143"/>
      <c r="J314" s="132">
        <f t="shared" si="58"/>
        <v>0.73119138130095007</v>
      </c>
      <c r="K314" s="132"/>
      <c r="L314" s="21">
        <f t="shared" si="59"/>
        <v>2296.7073476349337</v>
      </c>
      <c r="M314"/>
      <c r="N314"/>
    </row>
    <row r="315" spans="3:14">
      <c r="C315" s="21">
        <v>2026</v>
      </c>
      <c r="D315" s="21">
        <v>4</v>
      </c>
      <c r="E315" s="124">
        <f t="shared" si="60"/>
        <v>3433.5727914384152</v>
      </c>
      <c r="F315" s="142"/>
      <c r="G315" s="142"/>
      <c r="H315" s="142"/>
      <c r="I315" s="143"/>
      <c r="J315" s="132">
        <f t="shared" si="58"/>
        <v>0.65873097414500004</v>
      </c>
      <c r="K315" s="132"/>
      <c r="L315" s="21">
        <f t="shared" si="59"/>
        <v>2261.8007497019944</v>
      </c>
      <c r="M315"/>
      <c r="N315"/>
    </row>
    <row r="316" spans="3:14">
      <c r="C316" s="21">
        <v>2027</v>
      </c>
      <c r="D316" s="21">
        <v>5</v>
      </c>
      <c r="E316" s="124">
        <f t="shared" si="60"/>
        <v>3748.5023181395463</v>
      </c>
      <c r="F316" s="142"/>
      <c r="G316" s="142"/>
      <c r="H316" s="142"/>
      <c r="I316" s="143"/>
      <c r="J316" s="132">
        <f t="shared" si="58"/>
        <v>0.59345132805855849</v>
      </c>
      <c r="K316" s="132"/>
      <c r="L316" s="21">
        <f t="shared" si="59"/>
        <v>2224.5536789304988</v>
      </c>
      <c r="M316"/>
      <c r="N316"/>
    </row>
    <row r="317" spans="3:14">
      <c r="C317" s="21">
        <v>2028</v>
      </c>
      <c r="D317" s="21">
        <v>6</v>
      </c>
      <c r="E317" s="124">
        <f t="shared" si="60"/>
        <v>4087.2840670488949</v>
      </c>
      <c r="F317" s="142"/>
      <c r="G317" s="142"/>
      <c r="H317" s="142"/>
      <c r="I317" s="143"/>
      <c r="J317" s="132">
        <f t="shared" si="58"/>
        <v>0.53464083608879143</v>
      </c>
      <c r="K317" s="132"/>
      <c r="L317" s="21">
        <f t="shared" si="59"/>
        <v>2185.2289709394172</v>
      </c>
      <c r="M317"/>
      <c r="N317" s="9"/>
    </row>
    <row r="318" spans="3:14">
      <c r="C318" s="21">
        <v>2029</v>
      </c>
      <c r="D318" s="21">
        <v>7</v>
      </c>
      <c r="E318" s="124">
        <f t="shared" si="60"/>
        <v>4451.4070355576805</v>
      </c>
      <c r="F318" s="142"/>
      <c r="G318" s="142"/>
      <c r="H318" s="142"/>
      <c r="I318" s="143"/>
      <c r="J318" s="132">
        <f t="shared" si="58"/>
        <v>0.48165841089080302</v>
      </c>
      <c r="K318" s="132"/>
      <c r="L318" s="21">
        <f t="shared" si="59"/>
        <v>2144.0576389748526</v>
      </c>
      <c r="M318"/>
      <c r="N318"/>
    </row>
    <row r="319" spans="3:14">
      <c r="C319" s="21">
        <v>2030</v>
      </c>
      <c r="D319" s="21">
        <v>8</v>
      </c>
      <c r="E319" s="124">
        <f t="shared" si="60"/>
        <v>4842.3910635164748</v>
      </c>
      <c r="F319" s="142"/>
      <c r="G319" s="142"/>
      <c r="H319" s="142"/>
      <c r="I319" s="143"/>
      <c r="J319" s="132">
        <f t="shared" si="58"/>
        <v>0.43392649629802071</v>
      </c>
      <c r="K319" s="132"/>
      <c r="L319" s="21">
        <f t="shared" si="59"/>
        <v>2101.2417878965502</v>
      </c>
      <c r="M319"/>
      <c r="N319"/>
    </row>
    <row r="320" spans="3:14">
      <c r="C320" s="21">
        <v>2031</v>
      </c>
      <c r="D320" s="21">
        <v>9</v>
      </c>
      <c r="E320" s="124">
        <f t="shared" si="60"/>
        <v>5261.7726122949707</v>
      </c>
      <c r="F320" s="142"/>
      <c r="G320" s="142"/>
      <c r="H320" s="142"/>
      <c r="I320" s="143"/>
      <c r="J320" s="132">
        <f t="shared" si="58"/>
        <v>0.39092477143965826</v>
      </c>
      <c r="K320" s="132"/>
      <c r="L320" s="21">
        <f t="shared" si="59"/>
        <v>2056.9572558288651</v>
      </c>
      <c r="M320"/>
      <c r="N320"/>
    </row>
    <row r="321" spans="3:14">
      <c r="C321" s="21">
        <v>2032</v>
      </c>
      <c r="D321" s="21">
        <v>10</v>
      </c>
      <c r="E321" s="124">
        <f t="shared" si="60"/>
        <v>5711.0864598600119</v>
      </c>
      <c r="F321" s="142"/>
      <c r="G321" s="142"/>
      <c r="H321" s="142"/>
      <c r="I321" s="143"/>
      <c r="J321" s="132">
        <f t="shared" si="58"/>
        <v>0.35218447877446685</v>
      </c>
      <c r="K321" s="132"/>
      <c r="L321" s="21">
        <f t="shared" si="59"/>
        <v>2011.3560081017133</v>
      </c>
      <c r="M321"/>
      <c r="N321"/>
    </row>
    <row r="322" spans="3:14">
      <c r="C322" s="21">
        <v>2033</v>
      </c>
      <c r="D322" s="21">
        <v>11</v>
      </c>
      <c r="E322" s="124">
        <f t="shared" si="60"/>
        <v>6191.8424886165039</v>
      </c>
      <c r="F322" s="142"/>
      <c r="G322" s="142"/>
      <c r="H322" s="142"/>
      <c r="I322" s="143"/>
      <c r="J322" s="132">
        <f t="shared" ref="J322:J326" si="61">$F$307^D322</f>
        <v>0.31728331421123135</v>
      </c>
      <c r="K322" s="132"/>
      <c r="L322" s="21">
        <f t="shared" si="59"/>
        <v>1964.5683058621628</v>
      </c>
      <c r="M322"/>
      <c r="N322"/>
    </row>
    <row r="323" spans="3:14">
      <c r="C323" s="21">
        <v>2034</v>
      </c>
      <c r="D323" s="21">
        <v>12</v>
      </c>
      <c r="E323" s="124">
        <f t="shared" si="60"/>
        <v>6705.4965958513894</v>
      </c>
      <c r="F323" s="142"/>
      <c r="G323" s="142"/>
      <c r="H323" s="142"/>
      <c r="I323" s="143"/>
      <c r="J323" s="132">
        <f t="shared" si="61"/>
        <v>0.28584082361372193</v>
      </c>
      <c r="K323" s="132"/>
      <c r="L323" s="21">
        <f t="shared" si="59"/>
        <v>1916.7046696971699</v>
      </c>
      <c r="M323"/>
      <c r="N323"/>
    </row>
    <row r="324" spans="3:14">
      <c r="C324" s="21">
        <v>2035</v>
      </c>
      <c r="D324" s="21">
        <v>13</v>
      </c>
      <c r="E324" s="124">
        <f t="shared" si="60"/>
        <v>7253.4145850290206</v>
      </c>
      <c r="F324" s="142"/>
      <c r="G324" s="142"/>
      <c r="H324" s="142"/>
      <c r="I324" s="143"/>
      <c r="J324" s="132">
        <f t="shared" si="61"/>
        <v>0.25751425550785756</v>
      </c>
      <c r="K324" s="132"/>
      <c r="L324" s="21">
        <f t="shared" si="59"/>
        <v>1867.8576567535838</v>
      </c>
      <c r="M324"/>
      <c r="N324"/>
    </row>
    <row r="325" spans="3:14">
      <c r="C325" s="21">
        <v>2036</v>
      </c>
      <c r="D325" s="21">
        <v>14</v>
      </c>
      <c r="E325" s="124">
        <f t="shared" si="60"/>
        <v>7836.8276959003924</v>
      </c>
      <c r="F325" s="142"/>
      <c r="G325" s="142"/>
      <c r="H325" s="142"/>
      <c r="I325" s="143"/>
      <c r="J325" s="132">
        <f t="shared" si="61"/>
        <v>0.23199482478185365</v>
      </c>
      <c r="K325" s="132"/>
      <c r="L325" s="21">
        <f t="shared" si="59"/>
        <v>1818.1034681559895</v>
      </c>
      <c r="M325"/>
      <c r="N325"/>
    </row>
    <row r="326" spans="3:14">
      <c r="C326" s="21">
        <v>2037</v>
      </c>
      <c r="D326" s="21">
        <v>15</v>
      </c>
      <c r="E326" s="124">
        <f t="shared" si="60"/>
        <v>11848.370242860794</v>
      </c>
      <c r="F326" s="142"/>
      <c r="G326" s="142"/>
      <c r="H326" s="142"/>
      <c r="I326" s="143"/>
      <c r="J326" s="132">
        <f t="shared" si="61"/>
        <v>0.20900434665031858</v>
      </c>
      <c r="K326" s="132"/>
      <c r="L326" s="21">
        <f t="shared" si="59"/>
        <v>2476.3608814801969</v>
      </c>
      <c r="M326"/>
      <c r="N326"/>
    </row>
    <row r="327" spans="3:14">
      <c r="C327"/>
      <c r="D327"/>
      <c r="E327"/>
      <c r="F327"/>
      <c r="G327"/>
      <c r="H327"/>
      <c r="I327"/>
      <c r="J327"/>
      <c r="K327"/>
      <c r="L327"/>
      <c r="M327"/>
      <c r="N327"/>
    </row>
    <row r="328" spans="3:14" ht="26">
      <c r="C328"/>
      <c r="D328"/>
      <c r="E328"/>
      <c r="F328" s="145" t="s">
        <v>95</v>
      </c>
      <c r="G328" s="145"/>
      <c r="H328" s="145"/>
      <c r="I328" s="145"/>
      <c r="J328" s="145"/>
      <c r="K328" s="145"/>
      <c r="L328" s="90">
        <f>SUM(L311:L321)</f>
        <v>18797.649560223643</v>
      </c>
      <c r="M328" s="89"/>
      <c r="N328"/>
    </row>
    <row r="329" spans="3:14">
      <c r="C329"/>
      <c r="D329"/>
      <c r="E329"/>
      <c r="F329"/>
      <c r="G329"/>
      <c r="H329"/>
      <c r="I329"/>
      <c r="J329"/>
      <c r="K329"/>
      <c r="L329"/>
      <c r="M329"/>
      <c r="N329"/>
    </row>
    <row r="330" spans="3:14" ht="35">
      <c r="C330" s="113" t="s">
        <v>96</v>
      </c>
      <c r="D330" s="113"/>
      <c r="E330"/>
      <c r="F330"/>
      <c r="G330"/>
      <c r="H330"/>
      <c r="I330"/>
      <c r="J330"/>
      <c r="K330"/>
      <c r="L330"/>
      <c r="M330"/>
      <c r="N330"/>
    </row>
    <row r="331" spans="3:14" ht="26">
      <c r="C331" s="31"/>
      <c r="D331"/>
      <c r="E331"/>
      <c r="F331"/>
      <c r="G331"/>
      <c r="H331"/>
      <c r="I331"/>
      <c r="J331"/>
      <c r="K331"/>
      <c r="L331"/>
      <c r="M331"/>
      <c r="N331"/>
    </row>
    <row r="332" spans="3:14" ht="26">
      <c r="C332" s="136" t="s">
        <v>97</v>
      </c>
      <c r="D332" s="136"/>
      <c r="E332" s="136"/>
      <c r="F332" s="136"/>
      <c r="G332" s="136"/>
      <c r="H332" s="136"/>
      <c r="I332"/>
      <c r="J332"/>
      <c r="K332"/>
      <c r="L332"/>
      <c r="M332"/>
      <c r="N332"/>
    </row>
    <row r="333" spans="3:14">
      <c r="C333"/>
      <c r="D333"/>
      <c r="E333"/>
      <c r="F333"/>
      <c r="G333"/>
      <c r="H333"/>
      <c r="I333"/>
      <c r="J333"/>
      <c r="K333"/>
      <c r="L333"/>
      <c r="M333"/>
      <c r="N333"/>
    </row>
    <row r="334" spans="3:14">
      <c r="C334" s="139" t="s">
        <v>96</v>
      </c>
      <c r="D334" s="139"/>
      <c r="E334" s="139"/>
      <c r="F334" s="81">
        <v>0.91674582101181268</v>
      </c>
      <c r="G334"/>
      <c r="H334"/>
      <c r="I334"/>
      <c r="J334"/>
      <c r="K334"/>
      <c r="L334"/>
      <c r="M334"/>
      <c r="N334"/>
    </row>
    <row r="335" spans="3:14">
      <c r="C335" s="139" t="s">
        <v>98</v>
      </c>
      <c r="D335" s="139"/>
      <c r="E335" s="139"/>
      <c r="F335" s="76">
        <f>1/(1+F334)</f>
        <v>0.52171758458412576</v>
      </c>
      <c r="G335"/>
      <c r="H335"/>
      <c r="I335"/>
      <c r="J335"/>
      <c r="K335"/>
      <c r="L335"/>
      <c r="M335"/>
      <c r="N335"/>
    </row>
    <row r="336" spans="3:14">
      <c r="C336" s="139" t="s">
        <v>99</v>
      </c>
      <c r="D336" s="139"/>
      <c r="E336" s="139"/>
      <c r="F336" s="82">
        <f>SUM(L340:L350)</f>
        <v>4.009047188446857E-6</v>
      </c>
      <c r="G336"/>
      <c r="H336"/>
      <c r="I336"/>
      <c r="J336"/>
      <c r="K336"/>
      <c r="L336"/>
      <c r="M336"/>
      <c r="N336"/>
    </row>
    <row r="337" spans="3:14">
      <c r="C337"/>
      <c r="D337"/>
      <c r="E337"/>
      <c r="F337"/>
      <c r="G337"/>
      <c r="H337"/>
      <c r="I337"/>
      <c r="J337"/>
      <c r="K337"/>
      <c r="L337"/>
      <c r="M337"/>
      <c r="N337"/>
    </row>
    <row r="338" spans="3:14">
      <c r="C338" s="2"/>
      <c r="D338" s="2"/>
      <c r="E338" s="2"/>
      <c r="F338"/>
      <c r="G338"/>
      <c r="H338"/>
      <c r="I338"/>
      <c r="J338"/>
      <c r="K338"/>
      <c r="L338"/>
      <c r="M338"/>
      <c r="N338"/>
    </row>
    <row r="339" spans="3:14">
      <c r="C339" s="28" t="s">
        <v>0</v>
      </c>
      <c r="D339" s="28" t="s">
        <v>92</v>
      </c>
      <c r="E339" s="130" t="s">
        <v>69</v>
      </c>
      <c r="F339" s="130"/>
      <c r="G339" s="130"/>
      <c r="H339" s="130"/>
      <c r="I339" s="130"/>
      <c r="J339" s="130" t="s">
        <v>93</v>
      </c>
      <c r="K339" s="130"/>
      <c r="L339" s="29" t="s">
        <v>94</v>
      </c>
      <c r="M339"/>
      <c r="N339"/>
    </row>
    <row r="340" spans="3:14">
      <c r="C340" s="21">
        <v>2022</v>
      </c>
      <c r="D340" s="21">
        <v>0</v>
      </c>
      <c r="E340" s="124">
        <v>-3171.4985400000005</v>
      </c>
      <c r="F340" s="125"/>
      <c r="G340" s="125"/>
      <c r="H340" s="125"/>
      <c r="I340" s="126"/>
      <c r="J340" s="132">
        <f>$F$335^D340</f>
        <v>1</v>
      </c>
      <c r="K340" s="132"/>
      <c r="L340" s="21">
        <f>E340*J340</f>
        <v>-3171.4985400000005</v>
      </c>
      <c r="M340"/>
      <c r="N340"/>
    </row>
    <row r="341" spans="3:14">
      <c r="C341" s="21">
        <v>2023</v>
      </c>
      <c r="D341" s="21">
        <v>1</v>
      </c>
      <c r="E341" s="141">
        <v>2617.6786575933334</v>
      </c>
      <c r="F341" s="142"/>
      <c r="G341" s="142"/>
      <c r="H341" s="142"/>
      <c r="I341" s="143"/>
      <c r="J341" s="132">
        <f t="shared" ref="J341:J350" si="62">$F$335^D341</f>
        <v>0.52171758458412576</v>
      </c>
      <c r="K341" s="132"/>
      <c r="L341" s="21">
        <f t="shared" ref="L341:L355" si="63">E341*J341</f>
        <v>1365.6889864570107</v>
      </c>
      <c r="M341"/>
      <c r="N341"/>
    </row>
    <row r="342" spans="3:14">
      <c r="C342" s="21">
        <v>2024</v>
      </c>
      <c r="D342" s="21">
        <v>2</v>
      </c>
      <c r="E342" s="141">
        <v>2869.5308383862784</v>
      </c>
      <c r="F342" s="142"/>
      <c r="G342" s="142"/>
      <c r="H342" s="142"/>
      <c r="I342" s="143"/>
      <c r="J342" s="132">
        <f t="shared" si="62"/>
        <v>0.2721892380642944</v>
      </c>
      <c r="K342" s="132"/>
      <c r="L342" s="21">
        <f t="shared" si="63"/>
        <v>781.05541250235706</v>
      </c>
      <c r="M342"/>
      <c r="N342"/>
    </row>
    <row r="343" spans="3:14">
      <c r="C343" s="21">
        <v>2025</v>
      </c>
      <c r="D343" s="21">
        <v>3</v>
      </c>
      <c r="E343" s="141">
        <v>3141.048166553313</v>
      </c>
      <c r="F343" s="142"/>
      <c r="G343" s="142"/>
      <c r="H343" s="142"/>
      <c r="I343" s="143"/>
      <c r="J343" s="132">
        <f t="shared" si="62"/>
        <v>0.14200591183269726</v>
      </c>
      <c r="K343" s="132"/>
      <c r="L343" s="21">
        <f t="shared" si="63"/>
        <v>446.04740900182514</v>
      </c>
      <c r="M343"/>
      <c r="N343"/>
    </row>
    <row r="344" spans="3:14">
      <c r="C344" s="21">
        <v>2026</v>
      </c>
      <c r="D344" s="21">
        <v>4</v>
      </c>
      <c r="E344" s="141">
        <v>3433.5727914384152</v>
      </c>
      <c r="F344" s="142"/>
      <c r="G344" s="142"/>
      <c r="H344" s="142"/>
      <c r="I344" s="143"/>
      <c r="J344" s="132">
        <f t="shared" si="62"/>
        <v>7.4086981318021133E-2</v>
      </c>
      <c r="K344" s="132"/>
      <c r="L344" s="21">
        <f t="shared" si="63"/>
        <v>254.38304325336352</v>
      </c>
      <c r="M344"/>
      <c r="N344"/>
    </row>
    <row r="345" spans="3:14">
      <c r="C345" s="21">
        <v>2027</v>
      </c>
      <c r="D345" s="21">
        <v>5</v>
      </c>
      <c r="E345" s="141">
        <v>3748.5023181395463</v>
      </c>
      <c r="F345" s="142"/>
      <c r="G345" s="142"/>
      <c r="H345" s="142"/>
      <c r="I345" s="143"/>
      <c r="J345" s="132">
        <f t="shared" si="62"/>
        <v>3.8652480942367236E-2</v>
      </c>
      <c r="K345" s="132"/>
      <c r="L345" s="21">
        <f t="shared" si="63"/>
        <v>144.88891441430823</v>
      </c>
      <c r="M345"/>
      <c r="N345"/>
    </row>
    <row r="346" spans="3:14">
      <c r="C346" s="21">
        <v>2028</v>
      </c>
      <c r="D346" s="21">
        <v>6</v>
      </c>
      <c r="E346" s="141">
        <v>4087.2840670488949</v>
      </c>
      <c r="F346" s="142"/>
      <c r="G346" s="142"/>
      <c r="H346" s="142"/>
      <c r="I346" s="143"/>
      <c r="J346" s="132">
        <f t="shared" si="62"/>
        <v>2.0165678995435785E-2</v>
      </c>
      <c r="K346" s="132"/>
      <c r="L346" s="21">
        <f t="shared" si="63"/>
        <v>82.422858459267246</v>
      </c>
      <c r="M346"/>
      <c r="N346"/>
    </row>
    <row r="347" spans="3:14">
      <c r="C347" s="21">
        <v>2029</v>
      </c>
      <c r="D347" s="21">
        <v>7</v>
      </c>
      <c r="E347" s="141">
        <v>4451.4070355576805</v>
      </c>
      <c r="F347" s="142"/>
      <c r="G347" s="142"/>
      <c r="H347" s="142"/>
      <c r="I347" s="143"/>
      <c r="J347" s="132">
        <f t="shared" si="62"/>
        <v>1.0520789336997597E-2</v>
      </c>
      <c r="K347" s="132"/>
      <c r="L347" s="21">
        <f t="shared" si="63"/>
        <v>46.832315674331326</v>
      </c>
      <c r="M347"/>
      <c r="N347"/>
    </row>
    <row r="348" spans="3:14">
      <c r="C348" s="21">
        <v>2030</v>
      </c>
      <c r="D348" s="21">
        <v>8</v>
      </c>
      <c r="E348" s="141">
        <v>4842.3910635164748</v>
      </c>
      <c r="F348" s="142"/>
      <c r="G348" s="142"/>
      <c r="H348" s="142"/>
      <c r="I348" s="143"/>
      <c r="J348" s="132">
        <f t="shared" si="62"/>
        <v>5.4888808008168128E-3</v>
      </c>
      <c r="K348" s="132"/>
      <c r="L348" s="21">
        <f t="shared" si="63"/>
        <v>26.579307338582485</v>
      </c>
      <c r="M348"/>
      <c r="N348"/>
    </row>
    <row r="349" spans="3:14">
      <c r="C349" s="21">
        <v>2031</v>
      </c>
      <c r="D349" s="21">
        <v>9</v>
      </c>
      <c r="E349" s="141">
        <v>5261.7726122949707</v>
      </c>
      <c r="F349" s="142"/>
      <c r="G349" s="142"/>
      <c r="H349" s="142"/>
      <c r="I349" s="143"/>
      <c r="J349" s="132">
        <f t="shared" si="62"/>
        <v>2.8636456334723294E-3</v>
      </c>
      <c r="K349" s="132"/>
      <c r="L349" s="21">
        <f t="shared" si="63"/>
        <v>15.067852165522785</v>
      </c>
      <c r="M349"/>
      <c r="N349"/>
    </row>
    <row r="350" spans="3:14">
      <c r="C350" s="21">
        <v>2032</v>
      </c>
      <c r="D350" s="21">
        <v>10</v>
      </c>
      <c r="E350" s="141">
        <v>5711.0864598600119</v>
      </c>
      <c r="F350" s="142"/>
      <c r="G350" s="142"/>
      <c r="H350" s="142"/>
      <c r="I350" s="143"/>
      <c r="J350" s="132">
        <f t="shared" si="62"/>
        <v>1.4940142830000623E-3</v>
      </c>
      <c r="K350" s="132"/>
      <c r="L350" s="21">
        <f t="shared" si="63"/>
        <v>8.5324447424791199</v>
      </c>
      <c r="M350"/>
      <c r="N350"/>
    </row>
    <row r="351" spans="3:14">
      <c r="C351" s="21">
        <v>2033</v>
      </c>
      <c r="D351" s="21">
        <v>11</v>
      </c>
      <c r="E351" s="146">
        <v>6191.8424886165039</v>
      </c>
      <c r="F351" s="147"/>
      <c r="G351" s="147"/>
      <c r="H351" s="147"/>
      <c r="I351" s="148"/>
      <c r="J351" s="132">
        <f t="shared" ref="J351:J355" si="64">$F$335^D351</f>
        <v>7.7945352306097707E-4</v>
      </c>
      <c r="K351" s="132"/>
      <c r="L351" s="21">
        <f t="shared" si="63"/>
        <v>4.8262534419907821</v>
      </c>
      <c r="M351"/>
      <c r="N351"/>
    </row>
    <row r="352" spans="3:14">
      <c r="C352" s="21">
        <v>2034</v>
      </c>
      <c r="D352" s="21">
        <v>12</v>
      </c>
      <c r="E352" s="146">
        <v>6705.4965958513894</v>
      </c>
      <c r="F352" s="147"/>
      <c r="G352" s="147"/>
      <c r="H352" s="147"/>
      <c r="I352" s="148"/>
      <c r="J352" s="132">
        <f t="shared" si="64"/>
        <v>4.066546093469601E-4</v>
      </c>
      <c r="K352" s="132"/>
      <c r="L352" s="21">
        <f t="shared" si="63"/>
        <v>2.7268210986633177</v>
      </c>
      <c r="M352"/>
      <c r="N352"/>
    </row>
    <row r="353" spans="3:14">
      <c r="C353" s="21">
        <v>2035</v>
      </c>
      <c r="D353" s="21">
        <v>13</v>
      </c>
      <c r="E353" s="146">
        <v>7253.4145850290206</v>
      </c>
      <c r="F353" s="147"/>
      <c r="G353" s="147"/>
      <c r="H353" s="147"/>
      <c r="I353" s="148"/>
      <c r="J353" s="132">
        <f t="shared" si="64"/>
        <v>2.1215886054849726E-4</v>
      </c>
      <c r="K353" s="132"/>
      <c r="L353" s="21">
        <f t="shared" si="63"/>
        <v>1.538876173445608</v>
      </c>
      <c r="M353"/>
      <c r="N353"/>
    </row>
    <row r="354" spans="3:14">
      <c r="C354" s="21">
        <v>2036</v>
      </c>
      <c r="D354" s="21">
        <v>14</v>
      </c>
      <c r="E354" s="146">
        <v>7836.8276959003924</v>
      </c>
      <c r="F354" s="147"/>
      <c r="G354" s="147"/>
      <c r="H354" s="147"/>
      <c r="I354" s="148"/>
      <c r="J354" s="132">
        <f t="shared" si="64"/>
        <v>1.1068700827348236E-4</v>
      </c>
      <c r="K354" s="132"/>
      <c r="L354" s="21">
        <f t="shared" si="63"/>
        <v>0.86743501201398243</v>
      </c>
      <c r="M354"/>
      <c r="N354"/>
    </row>
    <row r="355" spans="3:14">
      <c r="C355" s="21">
        <v>2037</v>
      </c>
      <c r="D355" s="21">
        <v>15</v>
      </c>
      <c r="E355" s="146">
        <v>11848.370242860794</v>
      </c>
      <c r="F355" s="147"/>
      <c r="G355" s="147"/>
      <c r="H355" s="147"/>
      <c r="I355" s="148"/>
      <c r="J355" s="132">
        <f t="shared" si="64"/>
        <v>5.7747358601284356E-5</v>
      </c>
      <c r="K355" s="132"/>
      <c r="L355" s="21">
        <f t="shared" si="63"/>
        <v>0.68421208525526889</v>
      </c>
      <c r="M355"/>
      <c r="N355"/>
    </row>
    <row r="356" spans="3:14" ht="26">
      <c r="C356"/>
      <c r="D356"/>
      <c r="E356"/>
      <c r="F356"/>
      <c r="G356"/>
      <c r="H356"/>
      <c r="I356" s="145" t="s">
        <v>96</v>
      </c>
      <c r="J356" s="145"/>
      <c r="K356" s="145"/>
      <c r="L356" s="83">
        <f>F334</f>
        <v>0.91674582101181268</v>
      </c>
      <c r="M356"/>
      <c r="N356"/>
    </row>
  </sheetData>
  <mergeCells count="610">
    <mergeCell ref="C17:G17"/>
    <mergeCell ref="C18:G18"/>
    <mergeCell ref="C20:G20"/>
    <mergeCell ref="C21:G21"/>
    <mergeCell ref="C22:G22"/>
    <mergeCell ref="C23:G23"/>
    <mergeCell ref="E1:K3"/>
    <mergeCell ref="E4:K6"/>
    <mergeCell ref="E7:K9"/>
    <mergeCell ref="C13:H13"/>
    <mergeCell ref="C15:G15"/>
    <mergeCell ref="C16:G16"/>
    <mergeCell ref="D30:G30"/>
    <mergeCell ref="I30:J30"/>
    <mergeCell ref="K30:L30"/>
    <mergeCell ref="Q30:T30"/>
    <mergeCell ref="D31:G31"/>
    <mergeCell ref="I31:J31"/>
    <mergeCell ref="K31:L31"/>
    <mergeCell ref="Q31:T31"/>
    <mergeCell ref="C25:G25"/>
    <mergeCell ref="C26:G26"/>
    <mergeCell ref="D29:G29"/>
    <mergeCell ref="I29:J29"/>
    <mergeCell ref="K29:L29"/>
    <mergeCell ref="Q29:T29"/>
    <mergeCell ref="D34:G34"/>
    <mergeCell ref="I34:J34"/>
    <mergeCell ref="K34:L34"/>
    <mergeCell ref="Q34:T34"/>
    <mergeCell ref="D35:G35"/>
    <mergeCell ref="I35:J35"/>
    <mergeCell ref="K35:L35"/>
    <mergeCell ref="Q35:T35"/>
    <mergeCell ref="D32:G32"/>
    <mergeCell ref="I32:J32"/>
    <mergeCell ref="K32:L32"/>
    <mergeCell ref="Q32:T32"/>
    <mergeCell ref="D33:G33"/>
    <mergeCell ref="I33:J33"/>
    <mergeCell ref="K33:L33"/>
    <mergeCell ref="Q33:T33"/>
    <mergeCell ref="D38:G38"/>
    <mergeCell ref="I38:J38"/>
    <mergeCell ref="K38:L38"/>
    <mergeCell ref="Q38:T38"/>
    <mergeCell ref="D39:G39"/>
    <mergeCell ref="I39:J39"/>
    <mergeCell ref="K39:L39"/>
    <mergeCell ref="Q39:T39"/>
    <mergeCell ref="D36:G36"/>
    <mergeCell ref="I36:J36"/>
    <mergeCell ref="K36:L36"/>
    <mergeCell ref="Q36:T36"/>
    <mergeCell ref="D37:G37"/>
    <mergeCell ref="I37:J37"/>
    <mergeCell ref="K37:L37"/>
    <mergeCell ref="Q37:T37"/>
    <mergeCell ref="D40:G40"/>
    <mergeCell ref="I40:J40"/>
    <mergeCell ref="K40:L40"/>
    <mergeCell ref="Q40:T40"/>
    <mergeCell ref="C47:F47"/>
    <mergeCell ref="C49:F49"/>
    <mergeCell ref="D41:G41"/>
    <mergeCell ref="I41:J41"/>
    <mergeCell ref="K41:L41"/>
    <mergeCell ref="Q41:T41"/>
    <mergeCell ref="D44:G44"/>
    <mergeCell ref="I44:J44"/>
    <mergeCell ref="K44:L44"/>
    <mergeCell ref="Q44:T44"/>
    <mergeCell ref="D45:G45"/>
    <mergeCell ref="I45:J45"/>
    <mergeCell ref="K45:L45"/>
    <mergeCell ref="Q45:T45"/>
    <mergeCell ref="D42:G42"/>
    <mergeCell ref="I42:J42"/>
    <mergeCell ref="K42:L42"/>
    <mergeCell ref="Q42:T42"/>
    <mergeCell ref="D43:G43"/>
    <mergeCell ref="I43:J43"/>
    <mergeCell ref="D54:F54"/>
    <mergeCell ref="I54:J54"/>
    <mergeCell ref="D55:F55"/>
    <mergeCell ref="I55:J55"/>
    <mergeCell ref="D56:F56"/>
    <mergeCell ref="I56:J56"/>
    <mergeCell ref="D51:F51"/>
    <mergeCell ref="I51:J51"/>
    <mergeCell ref="D52:F52"/>
    <mergeCell ref="I52:J52"/>
    <mergeCell ref="D53:F53"/>
    <mergeCell ref="I53:J53"/>
    <mergeCell ref="D60:F60"/>
    <mergeCell ref="I60:J60"/>
    <mergeCell ref="D61:F61"/>
    <mergeCell ref="I61:J61"/>
    <mergeCell ref="D62:F62"/>
    <mergeCell ref="I62:J62"/>
    <mergeCell ref="D57:F57"/>
    <mergeCell ref="I57:J57"/>
    <mergeCell ref="D58:F58"/>
    <mergeCell ref="I58:J58"/>
    <mergeCell ref="D59:F59"/>
    <mergeCell ref="I59:J59"/>
    <mergeCell ref="C98:F98"/>
    <mergeCell ref="D100:F100"/>
    <mergeCell ref="G100:H100"/>
    <mergeCell ref="D101:F101"/>
    <mergeCell ref="G101:H101"/>
    <mergeCell ref="D102:F102"/>
    <mergeCell ref="G102:H102"/>
    <mergeCell ref="D80:E80"/>
    <mergeCell ref="D81:E81"/>
    <mergeCell ref="D86:E86"/>
    <mergeCell ref="C95:F95"/>
    <mergeCell ref="C96:F96"/>
    <mergeCell ref="C97:F97"/>
    <mergeCell ref="D84:E84"/>
    <mergeCell ref="D85:E85"/>
    <mergeCell ref="D87:E87"/>
    <mergeCell ref="D106:F106"/>
    <mergeCell ref="G106:H106"/>
    <mergeCell ref="D107:F107"/>
    <mergeCell ref="G107:H107"/>
    <mergeCell ref="D108:F108"/>
    <mergeCell ref="G108:H108"/>
    <mergeCell ref="D103:F103"/>
    <mergeCell ref="G103:H103"/>
    <mergeCell ref="D104:F104"/>
    <mergeCell ref="G104:H104"/>
    <mergeCell ref="D105:F105"/>
    <mergeCell ref="G105:H105"/>
    <mergeCell ref="C118:F118"/>
    <mergeCell ref="C120:F120"/>
    <mergeCell ref="C121:F121"/>
    <mergeCell ref="C122:F122"/>
    <mergeCell ref="D124:F124"/>
    <mergeCell ref="G124:I124"/>
    <mergeCell ref="D109:F109"/>
    <mergeCell ref="G109:H109"/>
    <mergeCell ref="D110:F110"/>
    <mergeCell ref="G110:H110"/>
    <mergeCell ref="D111:F111"/>
    <mergeCell ref="G111:H111"/>
    <mergeCell ref="D112:F112"/>
    <mergeCell ref="D113:F113"/>
    <mergeCell ref="D114:F114"/>
    <mergeCell ref="D115:F115"/>
    <mergeCell ref="D116:F116"/>
    <mergeCell ref="G112:H112"/>
    <mergeCell ref="G113:H113"/>
    <mergeCell ref="G114:H114"/>
    <mergeCell ref="G115:H115"/>
    <mergeCell ref="G116:H116"/>
    <mergeCell ref="D126:F126"/>
    <mergeCell ref="G126:I126"/>
    <mergeCell ref="J126:L126"/>
    <mergeCell ref="M126:O126"/>
    <mergeCell ref="D127:F127"/>
    <mergeCell ref="G127:I127"/>
    <mergeCell ref="J127:L127"/>
    <mergeCell ref="M127:O127"/>
    <mergeCell ref="J124:L124"/>
    <mergeCell ref="M124:O124"/>
    <mergeCell ref="D125:F125"/>
    <mergeCell ref="G125:I125"/>
    <mergeCell ref="J125:L125"/>
    <mergeCell ref="M125:O125"/>
    <mergeCell ref="D130:F130"/>
    <mergeCell ref="G130:I130"/>
    <mergeCell ref="J130:L130"/>
    <mergeCell ref="M130:O130"/>
    <mergeCell ref="D131:F131"/>
    <mergeCell ref="G131:I131"/>
    <mergeCell ref="J131:L131"/>
    <mergeCell ref="M131:O131"/>
    <mergeCell ref="D128:F128"/>
    <mergeCell ref="G128:I128"/>
    <mergeCell ref="J128:L128"/>
    <mergeCell ref="M128:O128"/>
    <mergeCell ref="D129:F129"/>
    <mergeCell ref="G129:I129"/>
    <mergeCell ref="J129:L129"/>
    <mergeCell ref="M129:O129"/>
    <mergeCell ref="D134:F134"/>
    <mergeCell ref="G134:I134"/>
    <mergeCell ref="J134:L134"/>
    <mergeCell ref="M134:O134"/>
    <mergeCell ref="D135:F135"/>
    <mergeCell ref="G135:I135"/>
    <mergeCell ref="J135:L135"/>
    <mergeCell ref="M135:O135"/>
    <mergeCell ref="D132:F132"/>
    <mergeCell ref="G132:I132"/>
    <mergeCell ref="J132:L132"/>
    <mergeCell ref="M132:O132"/>
    <mergeCell ref="D133:F133"/>
    <mergeCell ref="G133:I133"/>
    <mergeCell ref="J133:L133"/>
    <mergeCell ref="M133:O133"/>
    <mergeCell ref="D149:F149"/>
    <mergeCell ref="G149:H149"/>
    <mergeCell ref="D150:F150"/>
    <mergeCell ref="G150:H150"/>
    <mergeCell ref="D151:F151"/>
    <mergeCell ref="G151:H151"/>
    <mergeCell ref="C142:G142"/>
    <mergeCell ref="C144:F144"/>
    <mergeCell ref="C145:F145"/>
    <mergeCell ref="C146:F146"/>
    <mergeCell ref="D148:F148"/>
    <mergeCell ref="G148:H148"/>
    <mergeCell ref="D155:F155"/>
    <mergeCell ref="G155:H155"/>
    <mergeCell ref="D156:F156"/>
    <mergeCell ref="G156:H156"/>
    <mergeCell ref="D157:F157"/>
    <mergeCell ref="G157:H157"/>
    <mergeCell ref="D152:F152"/>
    <mergeCell ref="G152:H152"/>
    <mergeCell ref="D153:F153"/>
    <mergeCell ref="G153:H153"/>
    <mergeCell ref="D154:F154"/>
    <mergeCell ref="G154:H154"/>
    <mergeCell ref="C169:H169"/>
    <mergeCell ref="C170:H170"/>
    <mergeCell ref="C171:H171"/>
    <mergeCell ref="D173:F173"/>
    <mergeCell ref="G173:J173"/>
    <mergeCell ref="D174:F174"/>
    <mergeCell ref="G174:J174"/>
    <mergeCell ref="D158:F158"/>
    <mergeCell ref="G158:H158"/>
    <mergeCell ref="D159:F159"/>
    <mergeCell ref="G159:H159"/>
    <mergeCell ref="C166:D166"/>
    <mergeCell ref="C168:H168"/>
    <mergeCell ref="D160:F160"/>
    <mergeCell ref="D161:F161"/>
    <mergeCell ref="D162:F162"/>
    <mergeCell ref="D163:F163"/>
    <mergeCell ref="D164:F164"/>
    <mergeCell ref="G160:H160"/>
    <mergeCell ref="G161:H161"/>
    <mergeCell ref="G162:H162"/>
    <mergeCell ref="G163:H163"/>
    <mergeCell ref="G164:H164"/>
    <mergeCell ref="C190:K190"/>
    <mergeCell ref="C192:D192"/>
    <mergeCell ref="D198:F198"/>
    <mergeCell ref="G198:H198"/>
    <mergeCell ref="I198:K198"/>
    <mergeCell ref="D185:F185"/>
    <mergeCell ref="D186:F186"/>
    <mergeCell ref="D187:F187"/>
    <mergeCell ref="D181:F181"/>
    <mergeCell ref="G181:J181"/>
    <mergeCell ref="D182:F182"/>
    <mergeCell ref="G182:J182"/>
    <mergeCell ref="D183:F183"/>
    <mergeCell ref="G183:J183"/>
    <mergeCell ref="D188:F188"/>
    <mergeCell ref="D189:F189"/>
    <mergeCell ref="G185:J185"/>
    <mergeCell ref="G186:J186"/>
    <mergeCell ref="G187:J187"/>
    <mergeCell ref="G188:J188"/>
    <mergeCell ref="G189:J189"/>
    <mergeCell ref="D184:F184"/>
    <mergeCell ref="G184:J184"/>
    <mergeCell ref="D201:F201"/>
    <mergeCell ref="G201:H201"/>
    <mergeCell ref="I201:K201"/>
    <mergeCell ref="L201:O201"/>
    <mergeCell ref="D202:F202"/>
    <mergeCell ref="G202:H202"/>
    <mergeCell ref="I202:K202"/>
    <mergeCell ref="L202:O202"/>
    <mergeCell ref="L198:O198"/>
    <mergeCell ref="D199:F199"/>
    <mergeCell ref="G199:H199"/>
    <mergeCell ref="I199:K199"/>
    <mergeCell ref="L199:O199"/>
    <mergeCell ref="D200:F200"/>
    <mergeCell ref="G200:H200"/>
    <mergeCell ref="I200:K200"/>
    <mergeCell ref="L200:O200"/>
    <mergeCell ref="D205:F205"/>
    <mergeCell ref="G205:H205"/>
    <mergeCell ref="I205:K205"/>
    <mergeCell ref="L205:O205"/>
    <mergeCell ref="D206:F206"/>
    <mergeCell ref="G206:H206"/>
    <mergeCell ref="I206:K206"/>
    <mergeCell ref="L206:O206"/>
    <mergeCell ref="D203:F203"/>
    <mergeCell ref="G203:H203"/>
    <mergeCell ref="I203:K203"/>
    <mergeCell ref="L203:O203"/>
    <mergeCell ref="D204:F204"/>
    <mergeCell ref="G204:H204"/>
    <mergeCell ref="I204:K204"/>
    <mergeCell ref="L204:O204"/>
    <mergeCell ref="L209:O209"/>
    <mergeCell ref="C216:F216"/>
    <mergeCell ref="D220:F220"/>
    <mergeCell ref="D210:F210"/>
    <mergeCell ref="D211:F211"/>
    <mergeCell ref="D212:F212"/>
    <mergeCell ref="D213:F213"/>
    <mergeCell ref="D207:F207"/>
    <mergeCell ref="G207:H207"/>
    <mergeCell ref="I207:K207"/>
    <mergeCell ref="L207:O207"/>
    <mergeCell ref="D208:F208"/>
    <mergeCell ref="G208:H208"/>
    <mergeCell ref="I208:K208"/>
    <mergeCell ref="L208:O208"/>
    <mergeCell ref="D221:F221"/>
    <mergeCell ref="D222:F222"/>
    <mergeCell ref="D223:F223"/>
    <mergeCell ref="D224:F224"/>
    <mergeCell ref="D225:F225"/>
    <mergeCell ref="D226:F226"/>
    <mergeCell ref="D209:F209"/>
    <mergeCell ref="G209:H209"/>
    <mergeCell ref="I209:K209"/>
    <mergeCell ref="D241:E241"/>
    <mergeCell ref="D242:E242"/>
    <mergeCell ref="D243:E243"/>
    <mergeCell ref="D244:E244"/>
    <mergeCell ref="D245:E245"/>
    <mergeCell ref="D246:E246"/>
    <mergeCell ref="D227:F227"/>
    <mergeCell ref="D228:F228"/>
    <mergeCell ref="D229:F229"/>
    <mergeCell ref="D230:F230"/>
    <mergeCell ref="D231:F231"/>
    <mergeCell ref="D240:E240"/>
    <mergeCell ref="D233:F233"/>
    <mergeCell ref="D234:F234"/>
    <mergeCell ref="D235:F235"/>
    <mergeCell ref="D236:F236"/>
    <mergeCell ref="D247:E247"/>
    <mergeCell ref="D248:E248"/>
    <mergeCell ref="D249:E249"/>
    <mergeCell ref="D250:E250"/>
    <mergeCell ref="D251:E251"/>
    <mergeCell ref="C258:G258"/>
    <mergeCell ref="D252:E252"/>
    <mergeCell ref="D253:E253"/>
    <mergeCell ref="D254:E254"/>
    <mergeCell ref="D255:E255"/>
    <mergeCell ref="D256:E256"/>
    <mergeCell ref="D262:E262"/>
    <mergeCell ref="F262:G262"/>
    <mergeCell ref="H262:J262"/>
    <mergeCell ref="K262:L262"/>
    <mergeCell ref="M262:Q262"/>
    <mergeCell ref="D263:E263"/>
    <mergeCell ref="F263:G263"/>
    <mergeCell ref="H263:J263"/>
    <mergeCell ref="K263:L263"/>
    <mergeCell ref="M263:Q263"/>
    <mergeCell ref="D264:E264"/>
    <mergeCell ref="F264:G264"/>
    <mergeCell ref="H264:J264"/>
    <mergeCell ref="K264:L264"/>
    <mergeCell ref="M264:Q264"/>
    <mergeCell ref="D265:E265"/>
    <mergeCell ref="F265:G265"/>
    <mergeCell ref="H265:J265"/>
    <mergeCell ref="K265:L265"/>
    <mergeCell ref="M265:Q265"/>
    <mergeCell ref="D266:E266"/>
    <mergeCell ref="F266:G266"/>
    <mergeCell ref="H266:J266"/>
    <mergeCell ref="K266:L266"/>
    <mergeCell ref="M266:Q266"/>
    <mergeCell ref="D267:E267"/>
    <mergeCell ref="F267:G267"/>
    <mergeCell ref="H267:J267"/>
    <mergeCell ref="K267:L267"/>
    <mergeCell ref="M267:Q267"/>
    <mergeCell ref="D268:E268"/>
    <mergeCell ref="F268:G268"/>
    <mergeCell ref="H268:J268"/>
    <mergeCell ref="K268:L268"/>
    <mergeCell ref="M268:Q268"/>
    <mergeCell ref="D269:E269"/>
    <mergeCell ref="F269:G269"/>
    <mergeCell ref="H269:J269"/>
    <mergeCell ref="K269:L269"/>
    <mergeCell ref="M269:Q269"/>
    <mergeCell ref="H272:J272"/>
    <mergeCell ref="K272:L272"/>
    <mergeCell ref="M272:Q272"/>
    <mergeCell ref="D273:E273"/>
    <mergeCell ref="F273:G273"/>
    <mergeCell ref="H273:J273"/>
    <mergeCell ref="K273:L273"/>
    <mergeCell ref="M273:Q273"/>
    <mergeCell ref="D270:E270"/>
    <mergeCell ref="F270:G270"/>
    <mergeCell ref="H270:J270"/>
    <mergeCell ref="K270:L270"/>
    <mergeCell ref="M270:Q270"/>
    <mergeCell ref="D271:E271"/>
    <mergeCell ref="F271:G271"/>
    <mergeCell ref="H271:J271"/>
    <mergeCell ref="K271:L271"/>
    <mergeCell ref="M271:Q271"/>
    <mergeCell ref="K43:L43"/>
    <mergeCell ref="Q43:T43"/>
    <mergeCell ref="D65:F65"/>
    <mergeCell ref="I65:J65"/>
    <mergeCell ref="D66:F66"/>
    <mergeCell ref="I66:J66"/>
    <mergeCell ref="D82:E82"/>
    <mergeCell ref="D83:E83"/>
    <mergeCell ref="D63:F63"/>
    <mergeCell ref="I63:J63"/>
    <mergeCell ref="D64:F64"/>
    <mergeCell ref="I64:J64"/>
    <mergeCell ref="D74:E74"/>
    <mergeCell ref="D75:E75"/>
    <mergeCell ref="D76:E76"/>
    <mergeCell ref="D77:E77"/>
    <mergeCell ref="D78:E78"/>
    <mergeCell ref="D79:E79"/>
    <mergeCell ref="D67:F67"/>
    <mergeCell ref="I67:J67"/>
    <mergeCell ref="C69:E69"/>
    <mergeCell ref="D71:E71"/>
    <mergeCell ref="D72:E72"/>
    <mergeCell ref="D73:E73"/>
    <mergeCell ref="D136:F136"/>
    <mergeCell ref="D137:F137"/>
    <mergeCell ref="D138:F138"/>
    <mergeCell ref="D139:F139"/>
    <mergeCell ref="D140:F140"/>
    <mergeCell ref="G136:I136"/>
    <mergeCell ref="G137:I137"/>
    <mergeCell ref="G138:I138"/>
    <mergeCell ref="G139:I139"/>
    <mergeCell ref="G140:I140"/>
    <mergeCell ref="J136:L136"/>
    <mergeCell ref="J137:L137"/>
    <mergeCell ref="J138:L138"/>
    <mergeCell ref="J139:L139"/>
    <mergeCell ref="J140:L140"/>
    <mergeCell ref="M136:O136"/>
    <mergeCell ref="M137:O137"/>
    <mergeCell ref="M138:O138"/>
    <mergeCell ref="M139:O139"/>
    <mergeCell ref="M140:O140"/>
    <mergeCell ref="D178:F178"/>
    <mergeCell ref="G178:J178"/>
    <mergeCell ref="D179:F179"/>
    <mergeCell ref="G179:J179"/>
    <mergeCell ref="D180:F180"/>
    <mergeCell ref="G180:J180"/>
    <mergeCell ref="D175:F175"/>
    <mergeCell ref="G175:J175"/>
    <mergeCell ref="D176:F176"/>
    <mergeCell ref="G176:J176"/>
    <mergeCell ref="D177:F177"/>
    <mergeCell ref="G177:J177"/>
    <mergeCell ref="D274:E274"/>
    <mergeCell ref="F274:G274"/>
    <mergeCell ref="H274:J274"/>
    <mergeCell ref="K274:L274"/>
    <mergeCell ref="M274:Q274"/>
    <mergeCell ref="L210:O210"/>
    <mergeCell ref="L211:O211"/>
    <mergeCell ref="L212:O212"/>
    <mergeCell ref="L213:O213"/>
    <mergeCell ref="L214:O214"/>
    <mergeCell ref="D232:F232"/>
    <mergeCell ref="I210:K210"/>
    <mergeCell ref="I211:K211"/>
    <mergeCell ref="I212:K212"/>
    <mergeCell ref="I213:K213"/>
    <mergeCell ref="I214:K214"/>
    <mergeCell ref="D214:F214"/>
    <mergeCell ref="G210:H210"/>
    <mergeCell ref="G211:H211"/>
    <mergeCell ref="G212:H212"/>
    <mergeCell ref="G213:H213"/>
    <mergeCell ref="G214:H214"/>
    <mergeCell ref="D272:E272"/>
    <mergeCell ref="F272:G272"/>
    <mergeCell ref="D275:E275"/>
    <mergeCell ref="F275:G275"/>
    <mergeCell ref="H275:J275"/>
    <mergeCell ref="K275:L275"/>
    <mergeCell ref="M275:Q275"/>
    <mergeCell ref="D276:E276"/>
    <mergeCell ref="F276:G276"/>
    <mergeCell ref="H276:J276"/>
    <mergeCell ref="K276:L276"/>
    <mergeCell ref="M276:Q276"/>
    <mergeCell ref="E280:K280"/>
    <mergeCell ref="C282:N282"/>
    <mergeCell ref="D277:E277"/>
    <mergeCell ref="F277:G277"/>
    <mergeCell ref="H277:J277"/>
    <mergeCell ref="K277:L277"/>
    <mergeCell ref="M277:Q277"/>
    <mergeCell ref="D278:E278"/>
    <mergeCell ref="F278:G278"/>
    <mergeCell ref="H278:J278"/>
    <mergeCell ref="K278:L278"/>
    <mergeCell ref="M278:Q278"/>
    <mergeCell ref="C292:H292"/>
    <mergeCell ref="C293:H293"/>
    <mergeCell ref="C294:H294"/>
    <mergeCell ref="C295:H295"/>
    <mergeCell ref="C296:H296"/>
    <mergeCell ref="C298:E298"/>
    <mergeCell ref="C284:H284"/>
    <mergeCell ref="C285:H285"/>
    <mergeCell ref="C286:H286"/>
    <mergeCell ref="C287:H287"/>
    <mergeCell ref="C288:H288"/>
    <mergeCell ref="C290:H290"/>
    <mergeCell ref="C307:E307"/>
    <mergeCell ref="E310:I310"/>
    <mergeCell ref="J310:K310"/>
    <mergeCell ref="E311:I311"/>
    <mergeCell ref="J311:K311"/>
    <mergeCell ref="E312:I312"/>
    <mergeCell ref="J312:K312"/>
    <mergeCell ref="C299:F299"/>
    <mergeCell ref="C300:F300"/>
    <mergeCell ref="C301:F301"/>
    <mergeCell ref="C302:F302"/>
    <mergeCell ref="C303:F303"/>
    <mergeCell ref="C304:F304"/>
    <mergeCell ref="E316:I316"/>
    <mergeCell ref="J316:K316"/>
    <mergeCell ref="E317:I317"/>
    <mergeCell ref="J317:K317"/>
    <mergeCell ref="E318:I318"/>
    <mergeCell ref="J318:K318"/>
    <mergeCell ref="E313:I313"/>
    <mergeCell ref="J313:K313"/>
    <mergeCell ref="E314:I314"/>
    <mergeCell ref="J314:K314"/>
    <mergeCell ref="E315:I315"/>
    <mergeCell ref="J315:K315"/>
    <mergeCell ref="C330:D330"/>
    <mergeCell ref="C332:H332"/>
    <mergeCell ref="C334:E334"/>
    <mergeCell ref="C335:E335"/>
    <mergeCell ref="C336:E336"/>
    <mergeCell ref="E319:I319"/>
    <mergeCell ref="J319:K319"/>
    <mergeCell ref="E320:I320"/>
    <mergeCell ref="J320:K320"/>
    <mergeCell ref="E321:I321"/>
    <mergeCell ref="J321:K321"/>
    <mergeCell ref="I356:K356"/>
    <mergeCell ref="E322:I322"/>
    <mergeCell ref="E323:I323"/>
    <mergeCell ref="E324:I324"/>
    <mergeCell ref="E325:I325"/>
    <mergeCell ref="E326:I326"/>
    <mergeCell ref="J322:K322"/>
    <mergeCell ref="J323:K323"/>
    <mergeCell ref="J324:K324"/>
    <mergeCell ref="J325:K325"/>
    <mergeCell ref="E348:I348"/>
    <mergeCell ref="J348:K348"/>
    <mergeCell ref="E349:I349"/>
    <mergeCell ref="J349:K349"/>
    <mergeCell ref="E350:I350"/>
    <mergeCell ref="J350:K350"/>
    <mergeCell ref="E345:I345"/>
    <mergeCell ref="J345:K345"/>
    <mergeCell ref="E346:I346"/>
    <mergeCell ref="J346:K346"/>
    <mergeCell ref="E347:I347"/>
    <mergeCell ref="J347:K347"/>
    <mergeCell ref="E342:I342"/>
    <mergeCell ref="J342:K342"/>
    <mergeCell ref="J355:K355"/>
    <mergeCell ref="J326:K326"/>
    <mergeCell ref="E351:I351"/>
    <mergeCell ref="E352:I352"/>
    <mergeCell ref="E353:I353"/>
    <mergeCell ref="E354:I354"/>
    <mergeCell ref="E355:I355"/>
    <mergeCell ref="J351:K351"/>
    <mergeCell ref="J352:K352"/>
    <mergeCell ref="J353:K353"/>
    <mergeCell ref="J354:K354"/>
    <mergeCell ref="E343:I343"/>
    <mergeCell ref="J343:K343"/>
    <mergeCell ref="E344:I344"/>
    <mergeCell ref="J344:K344"/>
    <mergeCell ref="E339:I339"/>
    <mergeCell ref="J339:K339"/>
    <mergeCell ref="E340:I340"/>
    <mergeCell ref="J340:K340"/>
    <mergeCell ref="E341:I341"/>
    <mergeCell ref="J341:K341"/>
    <mergeCell ref="F328:K32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After-Tax Incremental Cash-flow</vt:lpstr>
      <vt:lpstr>NPV &amp; IRR</vt:lpstr>
      <vt:lpstr>Life of Project Increased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Pramod Gupta</dc:creator>
  <cp:lastModifiedBy>Pramod Gupta</cp:lastModifiedBy>
  <dcterms:created xsi:type="dcterms:W3CDTF">2022-02-15T15:42:36Z</dcterms:created>
  <dcterms:modified xsi:type="dcterms:W3CDTF">2022-02-23T17:00:56Z</dcterms:modified>
</cp:coreProperties>
</file>