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shi\Documents\"/>
    </mc:Choice>
  </mc:AlternateContent>
  <xr:revisionPtr revIDLastSave="0" documentId="13_ncr:1_{1467F79E-146D-48A0-9055-FC35F846435B}" xr6:coauthVersionLast="47" xr6:coauthVersionMax="47" xr10:uidLastSave="{00000000-0000-0000-0000-000000000000}"/>
  <bookViews>
    <workbookView xWindow="-108" yWindow="-108" windowWidth="16608" windowHeight="8712" tabRatio="655" xr2:uid="{9E166CDD-3F0C-47CC-81A7-9CE921726F9A}"/>
  </bookViews>
  <sheets>
    <sheet name="Sheet1" sheetId="7" r:id="rId1"/>
    <sheet name="RATIOS" sheetId="1" r:id="rId2"/>
    <sheet name="LIQUIDITY RATIO" sheetId="2" r:id="rId3"/>
    <sheet name="PROFITABILITY RATIOS" sheetId="3" r:id="rId4"/>
    <sheet name="GEARING RATIOS" sheetId="4" r:id="rId5"/>
    <sheet name="INVESTOR'S RATIO" sheetId="5" r:id="rId6"/>
    <sheet name="DUPONT ANALYSI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5" l="1"/>
  <c r="M5" i="5"/>
  <c r="M6" i="5"/>
  <c r="M7" i="5"/>
  <c r="M8" i="5"/>
  <c r="M9" i="5"/>
  <c r="M10" i="5"/>
  <c r="M11" i="5"/>
  <c r="M12" i="5"/>
  <c r="M13" i="5"/>
  <c r="M3" i="5"/>
  <c r="J4" i="5"/>
  <c r="J5" i="5"/>
  <c r="J6" i="5"/>
  <c r="J7" i="5"/>
  <c r="J8" i="5"/>
  <c r="J9" i="5"/>
  <c r="J10" i="5"/>
  <c r="J11" i="5"/>
  <c r="J12" i="5"/>
  <c r="J13" i="5"/>
  <c r="J3" i="5"/>
  <c r="I6" i="5"/>
  <c r="I7" i="5"/>
  <c r="I8" i="5"/>
  <c r="I9" i="5"/>
  <c r="I10" i="5"/>
  <c r="I11" i="5"/>
  <c r="I12" i="5"/>
  <c r="I13" i="5"/>
  <c r="I5" i="5"/>
  <c r="H4" i="5"/>
  <c r="H5" i="5"/>
  <c r="H6" i="5"/>
  <c r="H7" i="5"/>
  <c r="H8" i="5"/>
  <c r="H9" i="5"/>
  <c r="H10" i="5"/>
  <c r="H11" i="5"/>
  <c r="H12" i="5"/>
  <c r="H13" i="5"/>
  <c r="H3" i="5"/>
  <c r="G4" i="5"/>
  <c r="G5" i="5"/>
  <c r="G6" i="5"/>
  <c r="G7" i="5"/>
  <c r="G8" i="5"/>
  <c r="G9" i="5"/>
  <c r="G10" i="5"/>
  <c r="G11" i="5"/>
  <c r="G12" i="5"/>
  <c r="G13" i="5"/>
  <c r="G3" i="5"/>
  <c r="E4" i="5"/>
  <c r="E5" i="5"/>
  <c r="E6" i="5"/>
  <c r="E7" i="5"/>
  <c r="E8" i="5"/>
  <c r="E9" i="5"/>
  <c r="E10" i="5"/>
  <c r="E11" i="5"/>
  <c r="E12" i="5"/>
  <c r="E13" i="5"/>
  <c r="E3" i="5"/>
  <c r="A4" i="5"/>
  <c r="A5" i="5" s="1"/>
  <c r="A6" i="5" s="1"/>
  <c r="A7" i="5" s="1"/>
  <c r="A8" i="5" s="1"/>
  <c r="A9" i="5" s="1"/>
  <c r="A10" i="5" s="1"/>
  <c r="A11" i="5" s="1"/>
  <c r="A12" i="5" s="1"/>
  <c r="A13" i="5" s="1"/>
  <c r="I4" i="6"/>
  <c r="I5" i="6"/>
  <c r="I6" i="6"/>
  <c r="I7" i="6"/>
  <c r="I8" i="6"/>
  <c r="I9" i="6"/>
  <c r="I10" i="6"/>
  <c r="I11" i="6"/>
  <c r="I12" i="6"/>
  <c r="I13" i="6"/>
  <c r="I3" i="6"/>
  <c r="H4" i="6"/>
  <c r="H5" i="6"/>
  <c r="H6" i="6"/>
  <c r="H7" i="6"/>
  <c r="H8" i="6"/>
  <c r="H9" i="6"/>
  <c r="H10" i="6"/>
  <c r="H11" i="6"/>
  <c r="H12" i="6"/>
  <c r="H13" i="6"/>
  <c r="H3" i="6"/>
  <c r="G4" i="6"/>
  <c r="G5" i="6"/>
  <c r="G6" i="6"/>
  <c r="G7" i="6"/>
  <c r="G8" i="6"/>
  <c r="G9" i="6"/>
  <c r="G10" i="6"/>
  <c r="G11" i="6"/>
  <c r="G12" i="6"/>
  <c r="G13" i="6"/>
  <c r="G3" i="6"/>
  <c r="F4" i="6"/>
  <c r="F5" i="6"/>
  <c r="F6" i="6"/>
  <c r="F7" i="6"/>
  <c r="F8" i="6"/>
  <c r="F9" i="6"/>
  <c r="F10" i="6"/>
  <c r="F11" i="6"/>
  <c r="F12" i="6"/>
  <c r="F13" i="6"/>
  <c r="F3" i="6"/>
  <c r="E4" i="6"/>
  <c r="E5" i="6"/>
  <c r="E6" i="6"/>
  <c r="E7" i="6"/>
  <c r="E8" i="6"/>
  <c r="E9" i="6"/>
  <c r="E10" i="6"/>
  <c r="E11" i="6"/>
  <c r="E12" i="6"/>
  <c r="E13" i="6"/>
  <c r="E3" i="6"/>
  <c r="A4" i="6"/>
  <c r="A5" i="6" s="1"/>
  <c r="A6" i="6" s="1"/>
  <c r="A7" i="6" s="1"/>
  <c r="A8" i="6" s="1"/>
  <c r="A9" i="6" s="1"/>
  <c r="A10" i="6" s="1"/>
  <c r="A11" i="6" s="1"/>
  <c r="A12" i="6" s="1"/>
  <c r="A13" i="6" s="1"/>
  <c r="H4" i="4"/>
  <c r="H5" i="4"/>
  <c r="H6" i="4"/>
  <c r="H7" i="4"/>
  <c r="H8" i="4"/>
  <c r="H9" i="4"/>
  <c r="H10" i="4"/>
  <c r="H11" i="4"/>
  <c r="H12" i="4"/>
  <c r="H13" i="4"/>
  <c r="H3" i="4"/>
  <c r="G4" i="4"/>
  <c r="G5" i="4"/>
  <c r="G6" i="4"/>
  <c r="G7" i="4"/>
  <c r="G8" i="4"/>
  <c r="G9" i="4"/>
  <c r="G10" i="4"/>
  <c r="G11" i="4"/>
  <c r="G12" i="4"/>
  <c r="G13" i="4"/>
  <c r="G3" i="4"/>
  <c r="F4" i="4"/>
  <c r="F5" i="4"/>
  <c r="F6" i="4"/>
  <c r="F7" i="4"/>
  <c r="F8" i="4"/>
  <c r="F9" i="4"/>
  <c r="F10" i="4"/>
  <c r="F11" i="4"/>
  <c r="F12" i="4"/>
  <c r="F13" i="4"/>
  <c r="F3" i="4"/>
  <c r="C4" i="4"/>
  <c r="C5" i="4"/>
  <c r="C6" i="4"/>
  <c r="C7" i="4"/>
  <c r="C8" i="4"/>
  <c r="C9" i="4"/>
  <c r="C10" i="4"/>
  <c r="C11" i="4"/>
  <c r="C12" i="4"/>
  <c r="C13" i="4"/>
  <c r="C3" i="4"/>
  <c r="A4" i="4"/>
  <c r="A5" i="4" s="1"/>
  <c r="A6" i="4" s="1"/>
  <c r="A7" i="4" s="1"/>
  <c r="A8" i="4" s="1"/>
  <c r="A9" i="4" s="1"/>
  <c r="A10" i="4" s="1"/>
  <c r="A11" i="4" s="1"/>
  <c r="A12" i="4" s="1"/>
  <c r="A13" i="4" s="1"/>
  <c r="N4" i="3"/>
  <c r="N5" i="3"/>
  <c r="N6" i="3"/>
  <c r="N7" i="3"/>
  <c r="N8" i="3"/>
  <c r="N9" i="3"/>
  <c r="N10" i="3"/>
  <c r="N11" i="3"/>
  <c r="N12" i="3"/>
  <c r="N13" i="3"/>
  <c r="N3" i="3"/>
  <c r="M4" i="3"/>
  <c r="M5" i="3"/>
  <c r="M6" i="3"/>
  <c r="M7" i="3"/>
  <c r="M8" i="3"/>
  <c r="M9" i="3"/>
  <c r="M10" i="3"/>
  <c r="M11" i="3"/>
  <c r="M12" i="3"/>
  <c r="M13" i="3"/>
  <c r="M3" i="3"/>
  <c r="L4" i="3"/>
  <c r="L5" i="3"/>
  <c r="L6" i="3"/>
  <c r="L7" i="3"/>
  <c r="L8" i="3"/>
  <c r="L9" i="3"/>
  <c r="L10" i="3"/>
  <c r="L11" i="3"/>
  <c r="L12" i="3"/>
  <c r="L13" i="3"/>
  <c r="L3" i="3"/>
  <c r="J4" i="3"/>
  <c r="J5" i="3"/>
  <c r="J6" i="3"/>
  <c r="J7" i="3"/>
  <c r="J8" i="3"/>
  <c r="J9" i="3"/>
  <c r="J10" i="3"/>
  <c r="J11" i="3"/>
  <c r="J12" i="3"/>
  <c r="J13" i="3"/>
  <c r="K4" i="3"/>
  <c r="K5" i="3"/>
  <c r="K6" i="3"/>
  <c r="K7" i="3"/>
  <c r="K8" i="3"/>
  <c r="K9" i="3"/>
  <c r="K10" i="3"/>
  <c r="K11" i="3"/>
  <c r="K12" i="3"/>
  <c r="K13" i="3"/>
  <c r="K3" i="3"/>
  <c r="J3" i="3"/>
  <c r="D4" i="3"/>
  <c r="D5" i="3"/>
  <c r="D6" i="3"/>
  <c r="D7" i="3"/>
  <c r="D8" i="3"/>
  <c r="D9" i="3"/>
  <c r="D10" i="3"/>
  <c r="D11" i="3"/>
  <c r="D12" i="3"/>
  <c r="D13" i="3"/>
  <c r="D3" i="3"/>
  <c r="A4" i="3"/>
  <c r="A5" i="3" s="1"/>
  <c r="A6" i="3" s="1"/>
  <c r="A7" i="3" s="1"/>
  <c r="A8" i="3" s="1"/>
  <c r="A9" i="3" s="1"/>
  <c r="A10" i="3" s="1"/>
  <c r="A11" i="3" s="1"/>
  <c r="A12" i="3" s="1"/>
  <c r="A13" i="3" s="1"/>
  <c r="F4" i="2"/>
  <c r="F5" i="2"/>
  <c r="F6" i="2"/>
  <c r="F7" i="2"/>
  <c r="F8" i="2"/>
  <c r="F9" i="2"/>
  <c r="F10" i="2"/>
  <c r="F11" i="2"/>
  <c r="F12" i="2"/>
  <c r="F13" i="2"/>
  <c r="F3" i="2"/>
  <c r="E4" i="2"/>
  <c r="E5" i="2"/>
  <c r="E6" i="2"/>
  <c r="E7" i="2"/>
  <c r="E8" i="2"/>
  <c r="E9" i="2"/>
  <c r="E10" i="2"/>
  <c r="E11" i="2"/>
  <c r="E12" i="2"/>
  <c r="E13" i="2"/>
  <c r="E3" i="2"/>
  <c r="A4" i="2"/>
  <c r="A5" i="2" s="1"/>
  <c r="A6" i="2" s="1"/>
  <c r="A7" i="2" s="1"/>
  <c r="A8" i="2" s="1"/>
  <c r="A9" i="2" s="1"/>
  <c r="A10" i="2" s="1"/>
  <c r="A11" i="2" s="1"/>
  <c r="A12" i="2" s="1"/>
  <c r="A13" i="2" s="1"/>
</calcChain>
</file>

<file path=xl/sharedStrings.xml><?xml version="1.0" encoding="utf-8"?>
<sst xmlns="http://schemas.openxmlformats.org/spreadsheetml/2006/main" count="88" uniqueCount="75">
  <si>
    <t>LIQUIDITY RATIOS</t>
  </si>
  <si>
    <t>CURRENT RATIO=CURRENT ASSETS/CURRENT LIABILITIES</t>
  </si>
  <si>
    <t>QUICK RATIO=(CURRENT ASSETS-INVENTORIES)/CURRENT LIABILITIES</t>
  </si>
  <si>
    <t>PROFITABILITY RATIOS</t>
  </si>
  <si>
    <t>RETURN ON CAPITAL EMPLOYED=PROFIT BEFORE TAX/(SHARE CAPITAL+RESERVES)</t>
  </si>
  <si>
    <t>RETURN ON CAPITAL EMPLOYED=PROFIT BEFORE TAX AND INTEREST/(SHARE CAPITAL+RESERVES+LONG TERM DEBT)</t>
  </si>
  <si>
    <t>ASSET UTILIZATION RATIO=REVENUE/SHARE CAPITAL+RESERVES+LONG TERM DEBT</t>
  </si>
  <si>
    <t>PROFIT MARGIN=PROFIT BEFORE TAX AND INTEREST/REVENUE</t>
  </si>
  <si>
    <t>RETURN ON EQUITY=PROFIT AFTER  INTEREST AND TAX/SHARE CAPITAL+RESERVES</t>
  </si>
  <si>
    <t>GEARING RATIO</t>
  </si>
  <si>
    <t>ASSET GEARING=BORROWINGS/EQUITY</t>
  </si>
  <si>
    <t>ASSET GEARING=BORROWINGS/(EQUITY+BORROWINGS)</t>
  </si>
  <si>
    <t>INCOME GEARING=INTEREST ON BORROWINGS/PROFIT ON ORDINARY ACTIVITIES BEFORE INTEREST AND TAX</t>
  </si>
  <si>
    <t>INVESTORS RATIO</t>
  </si>
  <si>
    <t>EARNINGS PER SHARE=PROFIT AFTER TAX,INTEREST,PREFERENCE SHARE DIVIDEND/NO. OF ORDINARY SHARES</t>
  </si>
  <si>
    <t>DILUTED EPS=PROFIT AFTER TAX,INTEREST,PREFERENCE SHARE DIVIDEND/NO. OF ORDINARY SHARES+DILUTIVE SHARES</t>
  </si>
  <si>
    <t>PRICE EARNINGS RATIO=MARKET PRICE OF ORDINARY SHARE/EARNING PER SHARE</t>
  </si>
  <si>
    <t>DIVIDEND YIELD=DIVIDEND PER SHARE/MARKET PRICE OF ORDINARY SHARE</t>
  </si>
  <si>
    <t>DIVIDEND COVER=EARNING PER SHARE/DIVIDEND PER SHARE</t>
  </si>
  <si>
    <t>NET ASSET VALUE PER SHARE=(ORDINARY SHAREHOLDER'S EQUITY-INTANGIBLE ASSETS)/NO. OF ISSUED ORDINARY SHARES</t>
  </si>
  <si>
    <t>YEAR</t>
  </si>
  <si>
    <t>CIPLA</t>
  </si>
  <si>
    <t>CURRENT ASSETS</t>
  </si>
  <si>
    <t>CURRENT LIABILITY</t>
  </si>
  <si>
    <t>INTANGIBLE ASSETS</t>
  </si>
  <si>
    <t>CURRENT RATIO</t>
  </si>
  <si>
    <t>QUICK RATIO</t>
  </si>
  <si>
    <t>COMPANY</t>
  </si>
  <si>
    <t>PROFIT BEFORE TAX</t>
  </si>
  <si>
    <t>PROFIT BEFORE TAX,INTEREST</t>
  </si>
  <si>
    <t>PROFIT AFTER TAX,INTEREST</t>
  </si>
  <si>
    <t>SHARE CAPITAL</t>
  </si>
  <si>
    <t>RESERVES</t>
  </si>
  <si>
    <t>LONG TERM DEBT</t>
  </si>
  <si>
    <t>REVENUE</t>
  </si>
  <si>
    <t>RETURN ON CAPITAL EMPLOYED</t>
  </si>
  <si>
    <t>ASSET UTILIZATION RATIO</t>
  </si>
  <si>
    <t>PROFIT MARGIN</t>
  </si>
  <si>
    <t>RETURN ON EQUITY</t>
  </si>
  <si>
    <t>BORROWINGS</t>
  </si>
  <si>
    <t>EQUITY</t>
  </si>
  <si>
    <t>ASSET GEARING</t>
  </si>
  <si>
    <t>INTEREST ON BORROWINGS</t>
  </si>
  <si>
    <t>PROFIT ON ORDINARY ACTIVITIES BEFORE INTEREST AND TAX</t>
  </si>
  <si>
    <t xml:space="preserve">INTEREST </t>
  </si>
  <si>
    <t>INCOME GEARING</t>
  </si>
  <si>
    <t>ASSET GEARING2</t>
  </si>
  <si>
    <t>RETURN ON CAPITAL EMPLOYED2</t>
  </si>
  <si>
    <t xml:space="preserve">COMPANY </t>
  </si>
  <si>
    <t>NET INCOME</t>
  </si>
  <si>
    <t>TOTAL ASSETS</t>
  </si>
  <si>
    <t>SHAREHOLDER'S EQUITY</t>
  </si>
  <si>
    <t>DUPONT ANALYSIS</t>
  </si>
  <si>
    <t>RETURN ON EQUITY=(NET INCOME/REVENUE)*(REVENUE/TOTAL ASSETS)*(TOTAL ASSETS/SHAREHOLDER'S EQUITY)</t>
  </si>
  <si>
    <t>ASSET TUROVER</t>
  </si>
  <si>
    <t>FINANCIAL LEVERAGE</t>
  </si>
  <si>
    <t xml:space="preserve">YEAR </t>
  </si>
  <si>
    <t>EARNINGS PER SHARE</t>
  </si>
  <si>
    <t>DILUTED EPS</t>
  </si>
  <si>
    <t>PRICE EARNINGS RATIO</t>
  </si>
  <si>
    <t>DIVIDEND PER SHARE</t>
  </si>
  <si>
    <t>DIVIDEND YIELD</t>
  </si>
  <si>
    <t>DIVIDEND COVER</t>
  </si>
  <si>
    <t>NO. OF ISSUED ORDINARY SHARES</t>
  </si>
  <si>
    <t>NET ASSET VALUE PER SHARE</t>
  </si>
  <si>
    <t>MARKET PRICE OF SHARE(in cr.)</t>
  </si>
  <si>
    <t>DIVIDEND(in cr.)</t>
  </si>
  <si>
    <t xml:space="preserve"> SHAREHOLDER'S EQUITY(in cr.)</t>
  </si>
  <si>
    <t>INTANGIBLE ASSETS(in cr.)</t>
  </si>
  <si>
    <t>POORVA RAJENDRA SHINDE</t>
  </si>
  <si>
    <t>B</t>
  </si>
  <si>
    <t>FYBSc</t>
  </si>
  <si>
    <t>ASQF</t>
  </si>
  <si>
    <t>BF2</t>
  </si>
  <si>
    <t>IN THE GRAPHS THE TIME DECREASES ALONG Y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</si>
</sst>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EEEEE"/>
      </left>
      <right/>
      <top/>
      <bottom style="medium">
        <color rgb="FFEEEEE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166" fontId="0" fillId="0" borderId="0" xfId="0" applyNumberFormat="1"/>
    <xf numFmtId="164" fontId="0" fillId="0" borderId="0" xfId="1" applyNumberFormat="1" applyFont="1"/>
    <xf numFmtId="0" fontId="0" fillId="0" borderId="0" xfId="0" applyFont="1"/>
    <xf numFmtId="0" fontId="3" fillId="0" borderId="0" xfId="0" applyFont="1"/>
    <xf numFmtId="0" fontId="0" fillId="2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numFmt numFmtId="166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0.0000"/>
    </dxf>
    <dxf>
      <alignment horizontal="general" vertical="bottom" textRotation="0" wrapText="1" indent="0" justifyLastLine="0" shrinkToFit="0" readingOrder="0"/>
    </dxf>
    <dxf>
      <numFmt numFmtId="165" formatCode="0.000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ROE</a:t>
            </a:r>
          </a:p>
        </c:rich>
      </c:tx>
      <c:layout>
        <c:manualLayout>
          <c:xMode val="edge"/>
          <c:yMode val="edge"/>
          <c:x val="0.4261596675415573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'PROFITABILITY RATIOS'!$N$3:$N$13</c:f>
              <c:numCache>
                <c:formatCode>0.00%</c:formatCode>
                <c:ptCount val="11"/>
                <c:pt idx="0">
                  <c:v>0.11945650508249477</c:v>
                </c:pt>
                <c:pt idx="1">
                  <c:v>0.12408486482165829</c:v>
                </c:pt>
                <c:pt idx="2">
                  <c:v>0.13346755876488806</c:v>
                </c:pt>
                <c:pt idx="3">
                  <c:v>0.11998124429370979</c:v>
                </c:pt>
                <c:pt idx="4">
                  <c:v>0.10405058412075796</c:v>
                </c:pt>
                <c:pt idx="5">
                  <c:v>7.6164152834535495E-2</c:v>
                </c:pt>
                <c:pt idx="6">
                  <c:v>0.12200188888925968</c:v>
                </c:pt>
                <c:pt idx="7">
                  <c:v>0.10649901038308769</c:v>
                </c:pt>
                <c:pt idx="8">
                  <c:v>0.13757327847604553</c:v>
                </c:pt>
                <c:pt idx="9">
                  <c:v>0.16992013096537353</c:v>
                </c:pt>
                <c:pt idx="10">
                  <c:v>0.14886335341205889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3B-47B3-B69E-E02702B6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1381520"/>
        <c:axId val="1471381936"/>
      </c:scatterChart>
      <c:valAx>
        <c:axId val="147138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381936"/>
        <c:crosses val="autoZero"/>
        <c:crossBetween val="midCat"/>
      </c:valAx>
      <c:valAx>
        <c:axId val="147138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381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ROCE</a:t>
            </a:r>
          </a:p>
        </c:rich>
      </c:tx>
      <c:layout>
        <c:manualLayout>
          <c:xMode val="edge"/>
          <c:yMode val="edge"/>
          <c:x val="0.41504855643044625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'PROFITABILITY RATIOS'!$K$3:$K$13</c:f>
              <c:numCache>
                <c:formatCode>0.00%</c:formatCode>
                <c:ptCount val="11"/>
                <c:pt idx="0">
                  <c:v>0.15871153149991893</c:v>
                </c:pt>
                <c:pt idx="1">
                  <c:v>0.17070944059055279</c:v>
                </c:pt>
                <c:pt idx="2">
                  <c:v>0.17274433049164623</c:v>
                </c:pt>
                <c:pt idx="3">
                  <c:v>0.15946162482106788</c:v>
                </c:pt>
                <c:pt idx="4">
                  <c:v>0.13627358731202421</c:v>
                </c:pt>
                <c:pt idx="5">
                  <c:v>9.5787847113177699E-2</c:v>
                </c:pt>
                <c:pt idx="6">
                  <c:v>0.15777060089220682</c:v>
                </c:pt>
                <c:pt idx="7">
                  <c:v>0.15112131398234174</c:v>
                </c:pt>
                <c:pt idx="8">
                  <c:v>0.1928444808646789</c:v>
                </c:pt>
                <c:pt idx="9">
                  <c:v>0.23057766173209457</c:v>
                </c:pt>
                <c:pt idx="10">
                  <c:v>0.19173701883354874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D8-43E4-A50F-572A92C31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568384"/>
        <c:axId val="1472570880"/>
      </c:scatterChart>
      <c:valAx>
        <c:axId val="147256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570880"/>
        <c:crosses val="autoZero"/>
        <c:crossBetween val="midCat"/>
      </c:valAx>
      <c:valAx>
        <c:axId val="147257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568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PE RATIO</a:t>
            </a:r>
          </a:p>
        </c:rich>
      </c:tx>
      <c:layout>
        <c:manualLayout>
          <c:xMode val="edge"/>
          <c:yMode val="edge"/>
          <c:x val="0.45076377952755903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'INVESTOR''S RATIO'!$E$3:$E$13</c:f>
              <c:numCache>
                <c:formatCode>0.0000</c:formatCode>
                <c:ptCount val="11"/>
                <c:pt idx="0">
                  <c:v>5.4614014373468737E-2</c:v>
                </c:pt>
                <c:pt idx="1">
                  <c:v>6.5337048956432039E-2</c:v>
                </c:pt>
                <c:pt idx="2">
                  <c:v>6.9542294639796193E-2</c:v>
                </c:pt>
                <c:pt idx="3">
                  <c:v>8.5287712468913701E-2</c:v>
                </c:pt>
                <c:pt idx="4">
                  <c:v>0.10958643258217286</c:v>
                </c:pt>
                <c:pt idx="5">
                  <c:v>0.16487839704755261</c:v>
                </c:pt>
                <c:pt idx="6">
                  <c:v>0.10983191265615347</c:v>
                </c:pt>
                <c:pt idx="7">
                  <c:v>0.13596016289791008</c:v>
                </c:pt>
                <c:pt idx="8">
                  <c:v>0.11567072306326201</c:v>
                </c:pt>
                <c:pt idx="9">
                  <c:v>0.1065501759064358</c:v>
                </c:pt>
                <c:pt idx="10">
                  <c:v>0.14285334298312857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07-46DC-B401-97CD1417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276880"/>
        <c:axId val="1423278544"/>
      </c:scatterChart>
      <c:valAx>
        <c:axId val="142327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278544"/>
        <c:crosses val="autoZero"/>
        <c:crossBetween val="midCat"/>
      </c:valAx>
      <c:valAx>
        <c:axId val="14232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327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DIVIDEND</a:t>
            </a:r>
            <a:r>
              <a:rPr lang="en-IN" baseline="0"/>
              <a:t> YIELD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'INVESTOR''S RATIO'!$H$3:$H$13</c:f>
              <c:numCache>
                <c:formatCode>0.0000</c:formatCode>
                <c:ptCount val="11"/>
                <c:pt idx="0">
                  <c:v>0.22694595934556269</c:v>
                </c:pt>
                <c:pt idx="1">
                  <c:v>0.18978237956475913</c:v>
                </c:pt>
                <c:pt idx="2">
                  <c:v>0.17835658914728683</c:v>
                </c:pt>
                <c:pt idx="3">
                  <c:v>0.14552562988705475</c:v>
                </c:pt>
                <c:pt idx="4">
                  <c:v>0.11333995776922121</c:v>
                </c:pt>
                <c:pt idx="5">
                  <c:v>7.538844002486017E-2</c:v>
                </c:pt>
                <c:pt idx="6">
                  <c:v>0.11333084391336819</c:v>
                </c:pt>
                <c:pt idx="7">
                  <c:v>9.159972601033689E-2</c:v>
                </c:pt>
                <c:pt idx="8">
                  <c:v>0.10767218831734959</c:v>
                </c:pt>
                <c:pt idx="9">
                  <c:v>0.11688877817910075</c:v>
                </c:pt>
                <c:pt idx="10">
                  <c:v>8.7183958151700075E-2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4D-4774-88C9-12EBB6291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5866576"/>
        <c:axId val="1475866160"/>
      </c:scatterChart>
      <c:valAx>
        <c:axId val="147586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866160"/>
        <c:crosses val="autoZero"/>
        <c:crossBetween val="midCat"/>
      </c:valAx>
      <c:valAx>
        <c:axId val="14758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866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232834</xdr:colOff>
      <xdr:row>15</xdr:row>
      <xdr:rowOff>4233</xdr:rowOff>
    </xdr:from>
    <xdr:to>
      <xdr:col>10</xdr:col>
      <xdr:colOff>878417</xdr:colOff>
      <xdr:row>30</xdr:row>
      <xdr:rowOff>48683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6FE386-7663-DF94-A74B-4BB7EEE2D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1322917</xdr:colOff>
      <xdr:row>15</xdr:row>
      <xdr:rowOff>14816</xdr:rowOff>
    </xdr:from>
    <xdr:to>
      <xdr:col>13</xdr:col>
      <xdr:colOff>719667</xdr:colOff>
      <xdr:row>30</xdr:row>
      <xdr:rowOff>59266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7C8087-595F-9464-9C90-BE46E342E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174171</xdr:colOff>
      <xdr:row>14</xdr:row>
      <xdr:rowOff>54429</xdr:rowOff>
    </xdr:from>
    <xdr:to>
      <xdr:col>6</xdr:col>
      <xdr:colOff>337457</xdr:colOff>
      <xdr:row>29</xdr:row>
      <xdr:rowOff>21772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CF4AED-47B5-31D0-F762-A30BB508C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402771</xdr:colOff>
      <xdr:row>14</xdr:row>
      <xdr:rowOff>43544</xdr:rowOff>
    </xdr:from>
    <xdr:to>
      <xdr:col>12</xdr:col>
      <xdr:colOff>174171</xdr:colOff>
      <xdr:row>29</xdr:row>
      <xdr:rowOff>10887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24EB92-59FA-5A34-B5DA-D4A2020EC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C79A60-79F5-48F4-87B3-01658791D02E}" name="Table3" displayName="Table3" ref="E2:F13" totalsRowShown="0">
  <autoFilter ref="E2:F13" xr:uid="{C1C79A60-79F5-48F4-87B3-01658791D02E}">
    <filterColumn colId="0" hiddenButton="1"/>
    <filterColumn colId="1" hiddenButton="1"/>
  </autoFilter>
  <tableColumns count="2">
    <tableColumn id="1" xr3:uid="{5DB42836-82C7-4B9D-8C53-8BB80AC0EFAF}" name="CURRENT RATIO">
      <calculatedColumnFormula>B3/C3</calculatedColumnFormula>
    </tableColumn>
    <tableColumn id="2" xr3:uid="{B33D8F58-FEB1-4611-8E7F-12E341AEF81D}" name="QUICK RATIO">
      <calculatedColumnFormula>(B3-D3)/C3</calculatedColumnFormula>
    </tableColumn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7107C9-4D13-468A-AF95-E91905539A79}" name="Table2" displayName="Table2" ref="J2:N13" totalsRowShown="0" headerRowDxfId="6" dataDxfId="5" dataCellStyle="Percent">
  <autoFilter ref="J2:N13" xr:uid="{E37107C9-4D13-468A-AF95-E91905539A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4F3036-F9F6-4EDD-9FA2-4CAAD166C5F0}" name="RETURN ON CAPITAL EMPLOYED" dataDxfId="4" dataCellStyle="Percent">
      <calculatedColumnFormula>B3/(F3+G3)</calculatedColumnFormula>
    </tableColumn>
    <tableColumn id="2" xr3:uid="{87DDB296-2CEC-48B7-B99B-FDFE0516243A}" name="RETURN ON CAPITAL EMPLOYED2" dataDxfId="3" dataCellStyle="Percent">
      <calculatedColumnFormula>D3/(F3+G3+H3)</calculatedColumnFormula>
    </tableColumn>
    <tableColumn id="3" xr3:uid="{F32B6D91-31D1-40DA-AB3E-E9E8FA5A3A62}" name="ASSET UTILIZATION RATIO" dataDxfId="2" dataCellStyle="Percent">
      <calculatedColumnFormula>I3/(F3+G3+H3)</calculatedColumnFormula>
    </tableColumn>
    <tableColumn id="4" xr3:uid="{91C4078A-697A-4B72-8ED9-FD3F59FC80AB}" name="PROFIT MARGIN" dataDxfId="1" dataCellStyle="Percent">
      <calculatedColumnFormula>D3/I3</calculatedColumnFormula>
    </tableColumn>
    <tableColumn id="5" xr3:uid="{2E24F810-2E39-4CD3-A89E-D520866E4B54}" name="RETURN ON EQUITY" dataDxfId="0" dataCellStyle="Percent">
      <calculatedColumnFormula>E3/(F3+G3)</calculatedColumnFormula>
    </tableColumn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F400B0-DA4E-473C-BADF-FA0A529EAC27}" name="Table1" displayName="Table1" ref="F2:H13" totalsRowShown="0">
  <autoFilter ref="F2:H13" xr:uid="{05F400B0-DA4E-473C-BADF-FA0A529EAC27}">
    <filterColumn colId="0" hiddenButton="1"/>
    <filterColumn colId="1" hiddenButton="1"/>
    <filterColumn colId="2" hiddenButton="1"/>
  </autoFilter>
  <tableColumns count="3">
    <tableColumn id="1" xr3:uid="{D054C232-9D10-478C-AC55-1F0FA2F69A08}" name="ASSET GEARING">
      <calculatedColumnFormula>B3/(B3+C3)</calculatedColumnFormula>
    </tableColumn>
    <tableColumn id="2" xr3:uid="{6EA189DE-D5B0-4571-B4D9-AF2A6ADDF01A}" name="ASSET GEARING2">
      <calculatedColumnFormula>B3/C3</calculatedColumnFormula>
    </tableColumn>
    <tableColumn id="3" xr3:uid="{5B24A8D8-033C-400D-9B82-3E0068085493}" name="INCOME GEARING" dataDxfId="7">
      <calculatedColumnFormula>D3/E3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C89CA2-1EC1-4EA3-B609-7ED44A6EF449}" name="Table5" displayName="Table5" ref="E2:E13" totalsRowShown="0" headerRowDxfId="15">
  <autoFilter ref="E2:E13" xr:uid="{5CC89CA2-1EC1-4EA3-B609-7ED44A6EF449}">
    <filterColumn colId="0" hiddenButton="1"/>
  </autoFilter>
  <tableColumns count="1">
    <tableColumn id="1" xr3:uid="{E937286E-BC5E-4EA7-982C-F7681B5070DF}" name="PRICE EARNINGS RATIO" dataDxfId="14">
      <calculatedColumnFormula>(D3*(10^7)/L3)/B3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7A572B-D14A-4F0A-BECE-20598BAE95F2}" name="Table6" displayName="Table6" ref="H2:I13" totalsRowShown="0" headerRowDxfId="13">
  <autoFilter ref="H2:I13" xr:uid="{C27A572B-D14A-4F0A-BECE-20598BAE95F2}">
    <filterColumn colId="0" hiddenButton="1"/>
    <filterColumn colId="1" hiddenButton="1"/>
  </autoFilter>
  <tableColumns count="2">
    <tableColumn id="1" xr3:uid="{604EFD36-77A2-4F3A-B2BE-4E7E713A1F3B}" name="DIVIDEND YIELD" dataDxfId="12">
      <calculatedColumnFormula>'INVESTOR''S RATIO'!B3/'INVESTOR''S RATIO'!D3</calculatedColumnFormula>
    </tableColumn>
    <tableColumn id="2" xr3:uid="{8840CDA0-EF0D-47B8-A7E8-775D921382F0}" name="DIVIDEND COVER">
      <calculatedColumnFormula>B3/G3</calculatedColumnFormula>
    </tableColumn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5D2551-B89E-42F4-A750-9241727EAF4B}" name="Table7" displayName="Table7" ref="M2:M13" totalsRowShown="0" headerRowDxfId="11">
  <autoFilter ref="M2:M13" xr:uid="{EF5D2551-B89E-42F4-A750-9241727EAF4B}">
    <filterColumn colId="0" hiddenButton="1"/>
  </autoFilter>
  <tableColumns count="1">
    <tableColumn id="1" xr3:uid="{92E9459A-8BE5-4229-A0F7-D94817B0CB71}" name="NET ASSET VALUE PER SHARE">
      <calculatedColumnFormula>((J3-K3)*(10^7))/L3</calculatedColumnFormula>
    </tableColumn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F39B23-7907-4489-87F9-2FE431B02B72}" name="Table4" displayName="Table4" ref="I2:I13" totalsRowShown="0" headerRowDxfId="10" dataDxfId="9" dataCellStyle="Percent">
  <autoFilter ref="I2:I13" xr:uid="{7FF39B23-7907-4489-87F9-2FE431B02B72}">
    <filterColumn colId="0" hiddenButton="1"/>
  </autoFilter>
  <tableColumns count="1">
    <tableColumn id="1" xr3:uid="{C8188952-660D-4169-8426-424F2D539327}" name="RETURN ON EQUITY" dataDxfId="8" dataCellStyle="Percent">
      <calculatedColumnFormula>F3*G3*H3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FD02-0641-42D5-9AFB-A72A07C85556}">
  <dimension ref="A1:B12"/>
  <sheetViews>
    <sheetView tabSelected="1" workbookViewId="0">
      <selection activeCell="B15" sqref="B15"/>
    </sheetView>
  </sheetViews>
  <sheetFormatPr defaultRowHeight="14.4" x14ac:dyDescent="0.3"/>
  <sheetData>
    <row r="1" spans="1:2" x14ac:dyDescent="0.3">
      <c r="A1" t="s">
        <v>69</v>
      </c>
    </row>
    <row r="2" spans="1:2" x14ac:dyDescent="0.3">
      <c r="A2">
        <v>71</v>
      </c>
      <c r="B2" t="s">
        <v>70</v>
      </c>
    </row>
    <row r="3" spans="1:2" x14ac:dyDescent="0.3">
      <c r="A3" t="s">
        <v>71</v>
      </c>
      <c r="B3" t="s">
        <v>72</v>
      </c>
    </row>
    <row r="4" spans="1:2" x14ac:dyDescent="0.3">
      <c r="A4" t="s">
        <v>73</v>
      </c>
    </row>
    <row r="12" spans="1:2" x14ac:dyDescent="0.3">
      <c r="A1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B5AD-FFFE-41F4-8475-FFB287FD383C}">
  <dimension ref="A1:A26"/>
  <sheetViews>
    <sheetView topLeftCell="A10" zoomScale="110" zoomScaleNormal="110" workbookViewId="0">
      <selection activeCell="A23" sqref="A23"/>
    </sheetView>
  </sheetViews>
  <sheetFormatPr defaultRowHeight="14.4" x14ac:dyDescent="0.3"/>
  <sheetData>
    <row r="1" spans="1:1" x14ac:dyDescent="0.3">
      <c r="A1" s="7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5" spans="1:1" x14ac:dyDescent="0.3">
      <c r="A5" s="7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2" spans="1:1" x14ac:dyDescent="0.3">
      <c r="A12" s="7" t="s">
        <v>9</v>
      </c>
    </row>
    <row r="13" spans="1:1" x14ac:dyDescent="0.3">
      <c r="A13" t="s">
        <v>10</v>
      </c>
    </row>
    <row r="14" spans="1:1" x14ac:dyDescent="0.3">
      <c r="A14" t="s">
        <v>11</v>
      </c>
    </row>
    <row r="15" spans="1:1" x14ac:dyDescent="0.3">
      <c r="A15" t="s">
        <v>12</v>
      </c>
    </row>
    <row r="17" spans="1:1" x14ac:dyDescent="0.3">
      <c r="A17" s="7" t="s">
        <v>13</v>
      </c>
    </row>
    <row r="18" spans="1:1" x14ac:dyDescent="0.3">
      <c r="A18" t="s">
        <v>14</v>
      </c>
    </row>
    <row r="19" spans="1:1" x14ac:dyDescent="0.3">
      <c r="A19" t="s">
        <v>15</v>
      </c>
    </row>
    <row r="20" spans="1:1" x14ac:dyDescent="0.3">
      <c r="A20" t="s">
        <v>16</v>
      </c>
    </row>
    <row r="21" spans="1:1" x14ac:dyDescent="0.3">
      <c r="A21" t="s">
        <v>17</v>
      </c>
    </row>
    <row r="22" spans="1:1" x14ac:dyDescent="0.3">
      <c r="A22" t="s">
        <v>18</v>
      </c>
    </row>
    <row r="23" spans="1:1" x14ac:dyDescent="0.3">
      <c r="A23" t="s">
        <v>19</v>
      </c>
    </row>
    <row r="25" spans="1:1" x14ac:dyDescent="0.3">
      <c r="A25" s="7" t="s">
        <v>52</v>
      </c>
    </row>
    <row r="26" spans="1:1" x14ac:dyDescent="0.3">
      <c r="A2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2EF9-4E76-4C6A-832B-31614AACED04}">
  <dimension ref="A1:F15"/>
  <sheetViews>
    <sheetView zoomScale="80" zoomScaleNormal="80" workbookViewId="0">
      <selection activeCell="D3" sqref="D3:D13"/>
    </sheetView>
  </sheetViews>
  <sheetFormatPr defaultRowHeight="14.4" x14ac:dyDescent="0.3"/>
  <cols>
    <col min="1" max="1" width="14.5546875" customWidth="1"/>
    <col min="2" max="2" width="15.33203125" bestFit="1" customWidth="1"/>
    <col min="3" max="3" width="17.33203125" bestFit="1" customWidth="1"/>
    <col min="4" max="4" width="17.5546875" bestFit="1" customWidth="1"/>
    <col min="5" max="5" width="16.44140625" customWidth="1"/>
    <col min="6" max="6" width="13.77734375" customWidth="1"/>
  </cols>
  <sheetData>
    <row r="1" spans="1:6" x14ac:dyDescent="0.3">
      <c r="A1" t="s">
        <v>27</v>
      </c>
      <c r="B1" t="s">
        <v>21</v>
      </c>
    </row>
    <row r="2" spans="1:6" x14ac:dyDescent="0.3">
      <c r="A2" t="s">
        <v>20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</row>
    <row r="3" spans="1:6" x14ac:dyDescent="0.3">
      <c r="A3">
        <v>2022</v>
      </c>
      <c r="B3" s="1">
        <v>12024.63</v>
      </c>
      <c r="C3" s="1">
        <v>2728.56</v>
      </c>
      <c r="D3">
        <v>0</v>
      </c>
      <c r="E3">
        <f>B3/C3</f>
        <v>4.4069509191661531</v>
      </c>
      <c r="F3">
        <f>(B3-D3)/C3</f>
        <v>4.4069509191661531</v>
      </c>
    </row>
    <row r="4" spans="1:6" x14ac:dyDescent="0.3">
      <c r="A4">
        <f>A3-1</f>
        <v>2021</v>
      </c>
      <c r="B4" s="1">
        <v>10192.18</v>
      </c>
      <c r="C4" s="1">
        <v>2691.94</v>
      </c>
      <c r="D4">
        <v>269.51</v>
      </c>
      <c r="E4">
        <f t="shared" ref="E4:E13" si="0">B4/C4</f>
        <v>3.7861839416926082</v>
      </c>
      <c r="F4">
        <f t="shared" ref="F4:F13" si="1">(B4-D4)/C4</f>
        <v>3.6860665542322635</v>
      </c>
    </row>
    <row r="5" spans="1:6" x14ac:dyDescent="0.3">
      <c r="A5">
        <f t="shared" ref="A5:A13" si="2">A4-1</f>
        <v>2020</v>
      </c>
      <c r="B5" s="1">
        <v>9027.06</v>
      </c>
      <c r="C5" s="1">
        <v>2619.29</v>
      </c>
      <c r="D5">
        <v>205.87</v>
      </c>
      <c r="E5">
        <f t="shared" si="0"/>
        <v>3.4463766898663377</v>
      </c>
      <c r="F5">
        <f t="shared" si="1"/>
        <v>3.3677790546293074</v>
      </c>
    </row>
    <row r="6" spans="1:6" x14ac:dyDescent="0.3">
      <c r="A6">
        <f t="shared" si="2"/>
        <v>2019</v>
      </c>
      <c r="B6" s="1">
        <v>9478.65</v>
      </c>
      <c r="C6" s="1">
        <v>2368.08</v>
      </c>
      <c r="D6">
        <v>135.33000000000001</v>
      </c>
      <c r="E6">
        <f t="shared" si="0"/>
        <v>4.0026730515860951</v>
      </c>
      <c r="F6">
        <f t="shared" si="1"/>
        <v>3.9455254890037499</v>
      </c>
    </row>
    <row r="7" spans="1:6" x14ac:dyDescent="0.3">
      <c r="A7">
        <f t="shared" si="2"/>
        <v>2018</v>
      </c>
      <c r="B7" s="1">
        <v>7938.17</v>
      </c>
      <c r="C7" s="1">
        <v>2731.7</v>
      </c>
      <c r="D7">
        <v>161.66</v>
      </c>
      <c r="E7">
        <f t="shared" si="0"/>
        <v>2.90594501592415</v>
      </c>
      <c r="F7">
        <f t="shared" si="1"/>
        <v>2.8467657502654027</v>
      </c>
    </row>
    <row r="8" spans="1:6" x14ac:dyDescent="0.3">
      <c r="A8">
        <f t="shared" si="2"/>
        <v>2017</v>
      </c>
      <c r="B8" s="1">
        <v>6345.34</v>
      </c>
      <c r="C8" s="1">
        <v>2555.83</v>
      </c>
      <c r="D8">
        <v>140.1</v>
      </c>
      <c r="E8">
        <f t="shared" si="0"/>
        <v>2.4826925108477482</v>
      </c>
      <c r="F8">
        <f t="shared" si="1"/>
        <v>2.4278766584631999</v>
      </c>
    </row>
    <row r="9" spans="1:6" x14ac:dyDescent="0.3">
      <c r="A9">
        <f t="shared" si="2"/>
        <v>2016</v>
      </c>
      <c r="B9" s="1">
        <v>6467.37</v>
      </c>
      <c r="C9" s="1">
        <v>2954.47</v>
      </c>
      <c r="D9">
        <v>123.83</v>
      </c>
      <c r="E9">
        <f t="shared" si="0"/>
        <v>2.1890119039963176</v>
      </c>
      <c r="F9">
        <f t="shared" si="1"/>
        <v>2.1470991413011471</v>
      </c>
    </row>
    <row r="10" spans="1:6" x14ac:dyDescent="0.3">
      <c r="A10">
        <f t="shared" si="2"/>
        <v>2015</v>
      </c>
      <c r="B10" s="1">
        <v>6558.66</v>
      </c>
      <c r="C10" s="1">
        <v>3578.74</v>
      </c>
      <c r="D10">
        <v>125.29</v>
      </c>
      <c r="E10">
        <f t="shared" si="0"/>
        <v>1.8326729519328033</v>
      </c>
      <c r="F10">
        <f t="shared" si="1"/>
        <v>1.7976634234395346</v>
      </c>
    </row>
    <row r="11" spans="1:6" x14ac:dyDescent="0.3">
      <c r="A11">
        <f t="shared" si="2"/>
        <v>2014</v>
      </c>
      <c r="B11" s="1">
        <v>5097.97</v>
      </c>
      <c r="C11" s="1">
        <v>2416.7399999999998</v>
      </c>
      <c r="D11">
        <v>4.5999999999999996</v>
      </c>
      <c r="E11">
        <f t="shared" si="0"/>
        <v>2.1094408169683128</v>
      </c>
      <c r="F11">
        <f t="shared" si="1"/>
        <v>2.107537426450508</v>
      </c>
    </row>
    <row r="12" spans="1:6" x14ac:dyDescent="0.3">
      <c r="A12">
        <f t="shared" si="2"/>
        <v>2013</v>
      </c>
      <c r="B12" s="1">
        <v>6836.19</v>
      </c>
      <c r="C12" s="1">
        <v>2264.6</v>
      </c>
      <c r="D12">
        <v>0</v>
      </c>
      <c r="E12">
        <f t="shared" si="0"/>
        <v>3.0187185374900642</v>
      </c>
      <c r="F12">
        <f t="shared" si="1"/>
        <v>3.0187185374900642</v>
      </c>
    </row>
    <row r="13" spans="1:6" x14ac:dyDescent="0.3">
      <c r="A13">
        <f t="shared" si="2"/>
        <v>2012</v>
      </c>
      <c r="B13" s="1">
        <v>4799.96</v>
      </c>
      <c r="C13" s="1">
        <v>1179.74</v>
      </c>
      <c r="D13">
        <v>0</v>
      </c>
      <c r="E13">
        <f t="shared" si="0"/>
        <v>4.068659196094055</v>
      </c>
      <c r="F13">
        <f t="shared" si="1"/>
        <v>4.068659196094055</v>
      </c>
    </row>
    <row r="15" spans="1:6" x14ac:dyDescent="0.3">
      <c r="A15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4E6D-CE4F-49D3-A70D-8DA44D451155}">
  <dimension ref="A1:N13"/>
  <sheetViews>
    <sheetView topLeftCell="F1" zoomScale="72" zoomScaleNormal="72" workbookViewId="0">
      <selection activeCell="P22" sqref="P22"/>
    </sheetView>
  </sheetViews>
  <sheetFormatPr defaultRowHeight="14.4" x14ac:dyDescent="0.3"/>
  <cols>
    <col min="1" max="1" width="9.88671875" bestFit="1" customWidth="1"/>
    <col min="2" max="2" width="16" customWidth="1"/>
    <col min="3" max="3" width="10.88671875" customWidth="1"/>
    <col min="4" max="4" width="16.5546875" customWidth="1"/>
    <col min="5" max="5" width="24.6640625" bestFit="1" customWidth="1"/>
    <col min="6" max="6" width="14.109375" bestFit="1" customWidth="1"/>
    <col min="7" max="7" width="11.77734375" bestFit="1" customWidth="1"/>
    <col min="8" max="8" width="15.88671875" bestFit="1" customWidth="1"/>
    <col min="9" max="9" width="10.44140625" bestFit="1" customWidth="1"/>
    <col min="10" max="10" width="30.88671875" customWidth="1"/>
    <col min="11" max="11" width="32" customWidth="1"/>
    <col min="12" max="12" width="26.109375" customWidth="1"/>
    <col min="13" max="13" width="17.44140625" customWidth="1"/>
    <col min="14" max="14" width="20.5546875" customWidth="1"/>
  </cols>
  <sheetData>
    <row r="1" spans="1:14" x14ac:dyDescent="0.3">
      <c r="A1" t="s">
        <v>27</v>
      </c>
      <c r="B1" t="s">
        <v>21</v>
      </c>
    </row>
    <row r="2" spans="1:14" s="6" customFormat="1" ht="43.2" x14ac:dyDescent="0.3">
      <c r="A2" s="6" t="s">
        <v>20</v>
      </c>
      <c r="B2" s="6" t="s">
        <v>28</v>
      </c>
      <c r="C2" s="6" t="s">
        <v>44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47</v>
      </c>
      <c r="L2" s="6" t="s">
        <v>36</v>
      </c>
      <c r="M2" s="6" t="s">
        <v>37</v>
      </c>
      <c r="N2" s="6" t="s">
        <v>38</v>
      </c>
    </row>
    <row r="3" spans="1:14" x14ac:dyDescent="0.3">
      <c r="A3">
        <v>2022</v>
      </c>
      <c r="B3" s="1">
        <v>3546.23</v>
      </c>
      <c r="C3">
        <v>26.93</v>
      </c>
      <c r="D3" s="1">
        <f>B3+C3</f>
        <v>3573.16</v>
      </c>
      <c r="E3" s="1">
        <v>2689.39</v>
      </c>
      <c r="F3">
        <v>161.36000000000001</v>
      </c>
      <c r="G3" s="1">
        <v>22352.19</v>
      </c>
      <c r="H3">
        <v>0</v>
      </c>
      <c r="I3" s="1">
        <v>12827.29</v>
      </c>
      <c r="J3" s="2">
        <f>B3/(F3+G3)</f>
        <v>0.15751536297030011</v>
      </c>
      <c r="K3" s="2">
        <f>D3/(F3+G3+H3)</f>
        <v>0.15871153149991893</v>
      </c>
      <c r="L3" s="2">
        <f>I3/(F3+G3+H3)</f>
        <v>0.56975865645355805</v>
      </c>
      <c r="M3" s="2">
        <f>D3/I3</f>
        <v>0.27855922802088356</v>
      </c>
      <c r="N3" s="2">
        <f>E3/(F3+G3)</f>
        <v>0.11945650508249477</v>
      </c>
    </row>
    <row r="4" spans="1:14" x14ac:dyDescent="0.3">
      <c r="A4">
        <f>A3-1</f>
        <v>2021</v>
      </c>
      <c r="B4" s="1">
        <v>3350.66</v>
      </c>
      <c r="C4">
        <v>45.07</v>
      </c>
      <c r="D4" s="1">
        <f t="shared" ref="D4:D13" si="0">B4+C4</f>
        <v>3395.73</v>
      </c>
      <c r="E4" s="1">
        <v>2468.2800000000002</v>
      </c>
      <c r="F4">
        <v>161.29</v>
      </c>
      <c r="G4" s="1">
        <v>19730.580000000002</v>
      </c>
      <c r="H4">
        <v>0</v>
      </c>
      <c r="I4" s="1">
        <v>13610.02</v>
      </c>
      <c r="J4" s="2">
        <f t="shared" ref="J4:J13" si="1">B4/(F4+G4)</f>
        <v>0.16844369081438795</v>
      </c>
      <c r="K4" s="2">
        <f t="shared" ref="K4:K13" si="2">D4/(F4+G4+H4)</f>
        <v>0.17070944059055279</v>
      </c>
      <c r="L4" s="2">
        <f t="shared" ref="L4:L13" si="3">I4/(F4+G4+H4)</f>
        <v>0.68420012799198859</v>
      </c>
      <c r="M4" s="2">
        <f t="shared" ref="M4:M13" si="4">D4/I4</f>
        <v>0.24950220499308598</v>
      </c>
      <c r="N4" s="2">
        <f t="shared" ref="N4:N13" si="5">E4/(F4+G4)</f>
        <v>0.12408486482165829</v>
      </c>
    </row>
    <row r="5" spans="1:14" x14ac:dyDescent="0.3">
      <c r="A5">
        <f t="shared" ref="A5:A13" si="6">A4-1</f>
        <v>2020</v>
      </c>
      <c r="B5" s="1">
        <v>2964.31</v>
      </c>
      <c r="C5">
        <v>36.049999999999997</v>
      </c>
      <c r="D5" s="1">
        <f t="shared" si="0"/>
        <v>3000.36</v>
      </c>
      <c r="E5" s="1">
        <v>2318.17</v>
      </c>
      <c r="F5">
        <v>161.25</v>
      </c>
      <c r="G5" s="1">
        <v>17207.54</v>
      </c>
      <c r="H5">
        <v>0</v>
      </c>
      <c r="I5" s="1">
        <v>12220.22</v>
      </c>
      <c r="J5" s="2">
        <f t="shared" si="1"/>
        <v>0.17066876852100807</v>
      </c>
      <c r="K5" s="2">
        <f t="shared" si="2"/>
        <v>0.17274433049164623</v>
      </c>
      <c r="L5" s="2">
        <f t="shared" si="3"/>
        <v>0.70357347863610531</v>
      </c>
      <c r="M5" s="2">
        <f t="shared" si="4"/>
        <v>0.24552422133153087</v>
      </c>
      <c r="N5" s="2">
        <f t="shared" si="5"/>
        <v>0.13346755876488806</v>
      </c>
    </row>
    <row r="6" spans="1:14" x14ac:dyDescent="0.3">
      <c r="A6">
        <f t="shared" si="6"/>
        <v>2019</v>
      </c>
      <c r="B6" s="1">
        <v>2492.83</v>
      </c>
      <c r="C6">
        <v>16.97</v>
      </c>
      <c r="D6" s="1">
        <f t="shared" si="0"/>
        <v>2509.7999999999997</v>
      </c>
      <c r="E6" s="1">
        <v>1888.41</v>
      </c>
      <c r="F6">
        <v>161.13999999999999</v>
      </c>
      <c r="G6" s="1">
        <v>15578.07</v>
      </c>
      <c r="H6">
        <v>0</v>
      </c>
      <c r="I6" s="1">
        <v>11968.44</v>
      </c>
      <c r="J6" s="2">
        <f t="shared" si="1"/>
        <v>0.15838342585174225</v>
      </c>
      <c r="K6" s="2">
        <f t="shared" si="2"/>
        <v>0.15946162482106788</v>
      </c>
      <c r="L6" s="2">
        <f t="shared" si="3"/>
        <v>0.76042190173458524</v>
      </c>
      <c r="M6" s="2">
        <f t="shared" si="4"/>
        <v>0.20970151498440898</v>
      </c>
      <c r="N6" s="2">
        <f t="shared" si="5"/>
        <v>0.11998124429370979</v>
      </c>
    </row>
    <row r="7" spans="1:14" x14ac:dyDescent="0.3">
      <c r="A7">
        <f t="shared" si="6"/>
        <v>2018</v>
      </c>
      <c r="B7" s="1">
        <v>1911.4</v>
      </c>
      <c r="C7">
        <v>11.9</v>
      </c>
      <c r="D7" s="1">
        <f t="shared" si="0"/>
        <v>1923.3000000000002</v>
      </c>
      <c r="E7" s="1">
        <v>1468.52</v>
      </c>
      <c r="F7">
        <v>161.02000000000001</v>
      </c>
      <c r="G7" s="1">
        <v>13952.5</v>
      </c>
      <c r="H7">
        <v>0</v>
      </c>
      <c r="I7" s="1">
        <v>11004.44</v>
      </c>
      <c r="J7" s="2">
        <f t="shared" si="1"/>
        <v>0.13543042416066298</v>
      </c>
      <c r="K7" s="2">
        <f t="shared" si="2"/>
        <v>0.13627358731202421</v>
      </c>
      <c r="L7" s="2">
        <f t="shared" si="3"/>
        <v>0.77970910162737572</v>
      </c>
      <c r="M7" s="2">
        <f t="shared" si="4"/>
        <v>0.17477490903671611</v>
      </c>
      <c r="N7" s="2">
        <f t="shared" si="5"/>
        <v>0.10405058412075796</v>
      </c>
    </row>
    <row r="8" spans="1:14" x14ac:dyDescent="0.3">
      <c r="A8">
        <f t="shared" si="6"/>
        <v>2017</v>
      </c>
      <c r="B8" s="1">
        <v>1186.94</v>
      </c>
      <c r="C8">
        <v>39.200000000000003</v>
      </c>
      <c r="D8" s="1">
        <f t="shared" si="0"/>
        <v>1226.1400000000001</v>
      </c>
      <c r="E8">
        <v>974.94</v>
      </c>
      <c r="F8">
        <v>160.9</v>
      </c>
      <c r="G8" s="1">
        <v>12639.61</v>
      </c>
      <c r="H8">
        <v>7.0000000000000007E-2</v>
      </c>
      <c r="I8" s="1">
        <v>10637.08</v>
      </c>
      <c r="J8" s="2">
        <f t="shared" si="1"/>
        <v>9.2725992948718458E-2</v>
      </c>
      <c r="K8" s="2">
        <f t="shared" si="2"/>
        <v>9.5787847113177699E-2</v>
      </c>
      <c r="L8" s="2">
        <f t="shared" si="3"/>
        <v>0.8309842210274847</v>
      </c>
      <c r="M8" s="2">
        <f t="shared" si="4"/>
        <v>0.11527035615037211</v>
      </c>
      <c r="N8" s="2">
        <f t="shared" si="5"/>
        <v>7.6164152834535495E-2</v>
      </c>
    </row>
    <row r="9" spans="1:14" x14ac:dyDescent="0.3">
      <c r="A9">
        <f t="shared" si="6"/>
        <v>2016</v>
      </c>
      <c r="B9" s="1">
        <v>1743.97</v>
      </c>
      <c r="C9">
        <v>147.07</v>
      </c>
      <c r="D9" s="1">
        <f t="shared" si="0"/>
        <v>1891.04</v>
      </c>
      <c r="E9" s="1">
        <v>1462.3</v>
      </c>
      <c r="F9">
        <v>160.68</v>
      </c>
      <c r="G9" s="1">
        <v>11825.2</v>
      </c>
      <c r="H9">
        <v>0.13</v>
      </c>
      <c r="I9" s="1">
        <v>11873.46</v>
      </c>
      <c r="J9" s="2">
        <f t="shared" si="1"/>
        <v>0.14550204073459769</v>
      </c>
      <c r="K9" s="2">
        <f t="shared" si="2"/>
        <v>0.15777060089220682</v>
      </c>
      <c r="L9" s="2">
        <f t="shared" si="3"/>
        <v>0.99060988602545796</v>
      </c>
      <c r="M9" s="2">
        <f t="shared" si="4"/>
        <v>0.15926612798628201</v>
      </c>
      <c r="N9" s="2">
        <f t="shared" si="5"/>
        <v>0.12200188888925968</v>
      </c>
    </row>
    <row r="10" spans="1:14" x14ac:dyDescent="0.3">
      <c r="A10">
        <f t="shared" si="6"/>
        <v>2015</v>
      </c>
      <c r="B10" s="1">
        <v>1539.97</v>
      </c>
      <c r="C10">
        <v>136.05000000000001</v>
      </c>
      <c r="D10" s="1">
        <f t="shared" si="0"/>
        <v>1676.02</v>
      </c>
      <c r="E10" s="1">
        <v>1181.0899999999999</v>
      </c>
      <c r="F10">
        <v>160.59</v>
      </c>
      <c r="G10" s="1">
        <v>10929.56</v>
      </c>
      <c r="H10">
        <v>0.41</v>
      </c>
      <c r="I10" s="1">
        <v>9831.8799999999992</v>
      </c>
      <c r="J10" s="2">
        <f t="shared" si="1"/>
        <v>0.13885925799019852</v>
      </c>
      <c r="K10" s="2">
        <f t="shared" si="2"/>
        <v>0.15112131398234174</v>
      </c>
      <c r="L10" s="2">
        <f t="shared" si="3"/>
        <v>0.88650888683709383</v>
      </c>
      <c r="M10" s="2">
        <f t="shared" si="4"/>
        <v>0.17046790644312176</v>
      </c>
      <c r="N10" s="2">
        <f t="shared" si="5"/>
        <v>0.10649901038308769</v>
      </c>
    </row>
    <row r="11" spans="1:14" x14ac:dyDescent="0.3">
      <c r="A11">
        <f t="shared" si="6"/>
        <v>2014</v>
      </c>
      <c r="B11" s="1">
        <v>1818.34</v>
      </c>
      <c r="C11">
        <v>127.86</v>
      </c>
      <c r="D11" s="1">
        <f t="shared" si="0"/>
        <v>1946.1999999999998</v>
      </c>
      <c r="E11" s="1">
        <v>1388.34</v>
      </c>
      <c r="F11">
        <v>160.58000000000001</v>
      </c>
      <c r="G11" s="1">
        <v>9931.06</v>
      </c>
      <c r="H11">
        <v>0.43</v>
      </c>
      <c r="I11" s="1">
        <v>9174.9599999999991</v>
      </c>
      <c r="J11" s="2">
        <f t="shared" si="1"/>
        <v>0.18018280477702336</v>
      </c>
      <c r="K11" s="2">
        <f t="shared" si="2"/>
        <v>0.1928444808646789</v>
      </c>
      <c r="L11" s="2">
        <f t="shared" si="3"/>
        <v>0.90912567986547843</v>
      </c>
      <c r="M11" s="2">
        <f t="shared" si="4"/>
        <v>0.2121208157855729</v>
      </c>
      <c r="N11" s="2">
        <f t="shared" si="5"/>
        <v>0.13757327847604553</v>
      </c>
    </row>
    <row r="12" spans="1:14" x14ac:dyDescent="0.3">
      <c r="A12">
        <f t="shared" si="6"/>
        <v>2013</v>
      </c>
      <c r="B12" s="1">
        <v>2011.86</v>
      </c>
      <c r="C12">
        <v>33.380000000000003</v>
      </c>
      <c r="D12" s="1">
        <f t="shared" si="0"/>
        <v>2045.24</v>
      </c>
      <c r="E12" s="1">
        <v>1507.11</v>
      </c>
      <c r="F12">
        <v>160.58000000000001</v>
      </c>
      <c r="G12" s="1">
        <v>8708.94</v>
      </c>
      <c r="H12">
        <v>0.55000000000000004</v>
      </c>
      <c r="I12" s="1">
        <v>8134.56</v>
      </c>
      <c r="J12" s="2">
        <f t="shared" si="1"/>
        <v>0.2268285093218122</v>
      </c>
      <c r="K12" s="2">
        <f t="shared" si="2"/>
        <v>0.23057766173209457</v>
      </c>
      <c r="L12" s="2">
        <f t="shared" si="3"/>
        <v>0.9170795720890591</v>
      </c>
      <c r="M12" s="2">
        <f t="shared" si="4"/>
        <v>0.25142601443716683</v>
      </c>
      <c r="N12" s="2">
        <f t="shared" si="5"/>
        <v>0.16992013096537353</v>
      </c>
    </row>
    <row r="13" spans="1:14" x14ac:dyDescent="0.3">
      <c r="A13">
        <f t="shared" si="6"/>
        <v>2012</v>
      </c>
      <c r="B13" s="1">
        <v>1421.46</v>
      </c>
      <c r="C13" s="1">
        <v>26.63</v>
      </c>
      <c r="D13" s="1">
        <f t="shared" si="0"/>
        <v>1448.0900000000001</v>
      </c>
      <c r="E13" s="1">
        <v>1123.96</v>
      </c>
      <c r="F13">
        <v>160.58000000000001</v>
      </c>
      <c r="G13" s="1">
        <v>7389.7</v>
      </c>
      <c r="H13">
        <v>2.2000000000000002</v>
      </c>
      <c r="I13" s="1">
        <v>6931.92</v>
      </c>
      <c r="J13" s="2">
        <f t="shared" si="1"/>
        <v>0.18826586563677108</v>
      </c>
      <c r="K13" s="2">
        <f t="shared" si="2"/>
        <v>0.19173701883354874</v>
      </c>
      <c r="L13" s="2">
        <f t="shared" si="3"/>
        <v>0.91783361227040661</v>
      </c>
      <c r="M13" s="2">
        <f t="shared" si="4"/>
        <v>0.20890171842721789</v>
      </c>
      <c r="N13" s="2">
        <f t="shared" si="5"/>
        <v>0.14886335341205889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F9D0-01B5-42F2-9B8A-C88B827950ED}">
  <dimension ref="A1:H13"/>
  <sheetViews>
    <sheetView zoomScale="90" zoomScaleNormal="90" workbookViewId="0">
      <selection activeCell="C4" sqref="C4"/>
    </sheetView>
  </sheetViews>
  <sheetFormatPr defaultRowHeight="14.4" x14ac:dyDescent="0.3"/>
  <cols>
    <col min="1" max="1" width="9.77734375" bestFit="1" customWidth="1"/>
    <col min="2" max="2" width="12.77734375" bestFit="1" customWidth="1"/>
    <col min="3" max="3" width="9.88671875" bestFit="1" customWidth="1"/>
    <col min="4" max="4" width="17.77734375" customWidth="1"/>
    <col min="5" max="5" width="20.33203125" customWidth="1"/>
    <col min="6" max="6" width="16.109375" customWidth="1"/>
    <col min="7" max="7" width="17.109375" customWidth="1"/>
    <col min="8" max="8" width="18.21875" customWidth="1"/>
  </cols>
  <sheetData>
    <row r="1" spans="1:8" x14ac:dyDescent="0.3">
      <c r="A1" t="s">
        <v>27</v>
      </c>
      <c r="B1" t="s">
        <v>21</v>
      </c>
    </row>
    <row r="2" spans="1:8" ht="43.2" x14ac:dyDescent="0.3">
      <c r="A2" t="s">
        <v>20</v>
      </c>
      <c r="B2" t="s">
        <v>39</v>
      </c>
      <c r="C2" t="s">
        <v>40</v>
      </c>
      <c r="D2" s="6" t="s">
        <v>42</v>
      </c>
      <c r="E2" s="6" t="s">
        <v>43</v>
      </c>
      <c r="F2" t="s">
        <v>41</v>
      </c>
      <c r="G2" t="s">
        <v>46</v>
      </c>
      <c r="H2" t="s">
        <v>45</v>
      </c>
    </row>
    <row r="3" spans="1:8" x14ac:dyDescent="0.3">
      <c r="A3">
        <v>2022</v>
      </c>
      <c r="B3" s="4">
        <v>0</v>
      </c>
      <c r="C3" s="1">
        <f>'PROFITABILITY RATIOS'!F3+'PROFITABILITY RATIOS'!G3</f>
        <v>22513.55</v>
      </c>
      <c r="D3" s="4">
        <v>26.93</v>
      </c>
      <c r="E3" s="4">
        <v>3573.16</v>
      </c>
      <c r="F3">
        <f>B3/(B3+C3)</f>
        <v>0</v>
      </c>
      <c r="G3">
        <f>B3/C3</f>
        <v>0</v>
      </c>
      <c r="H3" s="8">
        <f>D3/E3</f>
        <v>7.5367461854492944E-3</v>
      </c>
    </row>
    <row r="4" spans="1:8" x14ac:dyDescent="0.3">
      <c r="A4">
        <f>A3-1</f>
        <v>2021</v>
      </c>
      <c r="B4" s="4">
        <v>0</v>
      </c>
      <c r="C4" s="1">
        <f>'PROFITABILITY RATIOS'!F4+'PROFITABILITY RATIOS'!G4</f>
        <v>19891.870000000003</v>
      </c>
      <c r="D4" s="4">
        <v>45.07</v>
      </c>
      <c r="E4" s="4">
        <v>3395.73</v>
      </c>
      <c r="F4">
        <f t="shared" ref="F4:F13" si="0">B4/(B4+C4)</f>
        <v>0</v>
      </c>
      <c r="G4">
        <f t="shared" ref="G4:G13" si="1">B4/C4</f>
        <v>0</v>
      </c>
      <c r="H4" s="8">
        <f t="shared" ref="H4:H13" si="2">D4/E4</f>
        <v>1.3272551115665851E-2</v>
      </c>
    </row>
    <row r="5" spans="1:8" x14ac:dyDescent="0.3">
      <c r="A5">
        <f t="shared" ref="A5:A13" si="3">A4-1</f>
        <v>2020</v>
      </c>
      <c r="B5" s="4">
        <v>0</v>
      </c>
      <c r="C5" s="1">
        <f>'PROFITABILITY RATIOS'!F5+'PROFITABILITY RATIOS'!G5</f>
        <v>17368.79</v>
      </c>
      <c r="D5" s="4">
        <v>36.049999999999997</v>
      </c>
      <c r="E5" s="4">
        <v>3000.36</v>
      </c>
      <c r="F5">
        <f t="shared" si="0"/>
        <v>0</v>
      </c>
      <c r="G5">
        <f t="shared" si="1"/>
        <v>0</v>
      </c>
      <c r="H5" s="8">
        <f t="shared" si="2"/>
        <v>1.2015224839685902E-2</v>
      </c>
    </row>
    <row r="6" spans="1:8" x14ac:dyDescent="0.3">
      <c r="A6">
        <f t="shared" si="3"/>
        <v>2019</v>
      </c>
      <c r="B6" s="4">
        <v>0</v>
      </c>
      <c r="C6" s="1">
        <f>'PROFITABILITY RATIOS'!F6+'PROFITABILITY RATIOS'!G6</f>
        <v>15739.21</v>
      </c>
      <c r="D6" s="4">
        <v>16.97</v>
      </c>
      <c r="E6" s="4">
        <v>2509.7999999999997</v>
      </c>
      <c r="F6">
        <f t="shared" si="0"/>
        <v>0</v>
      </c>
      <c r="G6">
        <f t="shared" si="1"/>
        <v>0</v>
      </c>
      <c r="H6" s="8">
        <f t="shared" si="2"/>
        <v>6.7614949398358435E-3</v>
      </c>
    </row>
    <row r="7" spans="1:8" x14ac:dyDescent="0.3">
      <c r="A7">
        <f t="shared" si="3"/>
        <v>2018</v>
      </c>
      <c r="B7" s="4">
        <v>0</v>
      </c>
      <c r="C7" s="1">
        <f>'PROFITABILITY RATIOS'!F7+'PROFITABILITY RATIOS'!G7</f>
        <v>14113.52</v>
      </c>
      <c r="D7" s="4">
        <v>11.9</v>
      </c>
      <c r="E7" s="4">
        <v>1923.3000000000002</v>
      </c>
      <c r="F7">
        <f t="shared" si="0"/>
        <v>0</v>
      </c>
      <c r="G7">
        <f t="shared" si="1"/>
        <v>0</v>
      </c>
      <c r="H7" s="8">
        <f t="shared" si="2"/>
        <v>6.1872822752560702E-3</v>
      </c>
    </row>
    <row r="8" spans="1:8" x14ac:dyDescent="0.3">
      <c r="A8">
        <f t="shared" si="3"/>
        <v>2017</v>
      </c>
      <c r="B8" s="4">
        <v>7.0000000000000007E-2</v>
      </c>
      <c r="C8" s="1">
        <f>'PROFITABILITY RATIOS'!F8+'PROFITABILITY RATIOS'!G8</f>
        <v>12800.51</v>
      </c>
      <c r="D8" s="4">
        <v>39.200000000000003</v>
      </c>
      <c r="E8" s="4">
        <v>1226.1400000000001</v>
      </c>
      <c r="F8">
        <f t="shared" si="0"/>
        <v>5.4685022084936785E-6</v>
      </c>
      <c r="G8">
        <f t="shared" si="1"/>
        <v>5.4685321131736165E-6</v>
      </c>
      <c r="H8" s="8">
        <f t="shared" si="2"/>
        <v>3.1970248095649766E-2</v>
      </c>
    </row>
    <row r="9" spans="1:8" x14ac:dyDescent="0.3">
      <c r="A9">
        <f t="shared" si="3"/>
        <v>2016</v>
      </c>
      <c r="B9" s="4">
        <v>0.13</v>
      </c>
      <c r="C9" s="1">
        <f>'PROFITABILITY RATIOS'!F9+'PROFITABILITY RATIOS'!G9</f>
        <v>11985.880000000001</v>
      </c>
      <c r="D9" s="4">
        <v>147.07</v>
      </c>
      <c r="E9" s="4">
        <v>1891.04</v>
      </c>
      <c r="F9">
        <f t="shared" si="0"/>
        <v>1.0845977935943654E-5</v>
      </c>
      <c r="G9">
        <f t="shared" si="1"/>
        <v>1.0846095572456923E-5</v>
      </c>
      <c r="H9" s="8">
        <f t="shared" si="2"/>
        <v>7.7772019629410272E-2</v>
      </c>
    </row>
    <row r="10" spans="1:8" x14ac:dyDescent="0.3">
      <c r="A10">
        <f t="shared" si="3"/>
        <v>2015</v>
      </c>
      <c r="B10" s="4">
        <v>0.41</v>
      </c>
      <c r="C10" s="1">
        <f>'PROFITABILITY RATIOS'!F10+'PROFITABILITY RATIOS'!G10</f>
        <v>11090.15</v>
      </c>
      <c r="D10" s="4">
        <v>136.05000000000001</v>
      </c>
      <c r="E10" s="4">
        <v>1676.02</v>
      </c>
      <c r="F10">
        <f t="shared" si="0"/>
        <v>3.6968376709562005E-5</v>
      </c>
      <c r="G10">
        <f t="shared" si="1"/>
        <v>3.6969743420963649E-5</v>
      </c>
      <c r="H10" s="8">
        <f t="shared" si="2"/>
        <v>8.1174448992255469E-2</v>
      </c>
    </row>
    <row r="11" spans="1:8" x14ac:dyDescent="0.3">
      <c r="A11">
        <f t="shared" si="3"/>
        <v>2014</v>
      </c>
      <c r="B11" s="4">
        <v>0.43</v>
      </c>
      <c r="C11" s="1">
        <f>'PROFITABILITY RATIOS'!F11+'PROFITABILITY RATIOS'!G11</f>
        <v>10091.64</v>
      </c>
      <c r="D11" s="4">
        <v>127.86</v>
      </c>
      <c r="E11" s="4">
        <v>1946.1999999999998</v>
      </c>
      <c r="F11">
        <f t="shared" si="0"/>
        <v>4.26077108066036E-5</v>
      </c>
      <c r="G11">
        <f t="shared" si="1"/>
        <v>4.260952630097784E-5</v>
      </c>
      <c r="H11" s="8">
        <f t="shared" si="2"/>
        <v>6.5697256191552769E-2</v>
      </c>
    </row>
    <row r="12" spans="1:8" x14ac:dyDescent="0.3">
      <c r="A12">
        <f t="shared" si="3"/>
        <v>2013</v>
      </c>
      <c r="B12" s="4">
        <v>0.55000000000000004</v>
      </c>
      <c r="C12" s="1">
        <f>'PROFITABILITY RATIOS'!F12+'PROFITABILITY RATIOS'!G12</f>
        <v>8869.52</v>
      </c>
      <c r="D12" s="4">
        <v>33.380000000000003</v>
      </c>
      <c r="E12" s="4">
        <v>2045.24</v>
      </c>
      <c r="F12">
        <f t="shared" si="0"/>
        <v>6.2006275035033555E-5</v>
      </c>
      <c r="G12">
        <f t="shared" si="1"/>
        <v>6.2010120051592417E-5</v>
      </c>
      <c r="H12" s="8">
        <f t="shared" si="2"/>
        <v>1.6320822984099665E-2</v>
      </c>
    </row>
    <row r="13" spans="1:8" x14ac:dyDescent="0.3">
      <c r="A13">
        <f t="shared" si="3"/>
        <v>2012</v>
      </c>
      <c r="B13" s="4">
        <v>2.2000000000000002</v>
      </c>
      <c r="C13" s="1">
        <f>'PROFITABILITY RATIOS'!F13+'PROFITABILITY RATIOS'!G13</f>
        <v>7550.28</v>
      </c>
      <c r="D13" s="4">
        <v>26.63</v>
      </c>
      <c r="E13" s="4">
        <v>1448.0900000000001</v>
      </c>
      <c r="F13">
        <f t="shared" si="0"/>
        <v>2.9129504480647419E-4</v>
      </c>
      <c r="G13">
        <f t="shared" si="1"/>
        <v>2.9137992233400618E-4</v>
      </c>
      <c r="H13" s="8">
        <f t="shared" si="2"/>
        <v>1.8389740969138656E-2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126D-517B-42E9-B220-1D687FCCE6BE}">
  <dimension ref="A1:M13"/>
  <sheetViews>
    <sheetView topLeftCell="A4" zoomScale="70" zoomScaleNormal="70" workbookViewId="0">
      <selection activeCell="N26" sqref="N26"/>
    </sheetView>
  </sheetViews>
  <sheetFormatPr defaultRowHeight="14.4" x14ac:dyDescent="0.3"/>
  <cols>
    <col min="2" max="2" width="11.88671875" customWidth="1"/>
    <col min="5" max="5" width="22.88671875" customWidth="1"/>
    <col min="6" max="6" width="11.77734375" customWidth="1"/>
    <col min="7" max="7" width="10.21875" customWidth="1"/>
    <col min="8" max="8" width="16.33203125" customWidth="1"/>
    <col min="9" max="9" width="17.5546875" customWidth="1"/>
    <col min="10" max="10" width="13.6640625" customWidth="1"/>
    <col min="11" max="11" width="11.33203125" customWidth="1"/>
    <col min="12" max="12" width="11.109375" bestFit="1" customWidth="1"/>
    <col min="13" max="13" width="28" customWidth="1"/>
  </cols>
  <sheetData>
    <row r="1" spans="1:13" x14ac:dyDescent="0.3">
      <c r="A1" t="s">
        <v>48</v>
      </c>
      <c r="B1" t="s">
        <v>21</v>
      </c>
    </row>
    <row r="2" spans="1:13" s="6" customFormat="1" ht="72" x14ac:dyDescent="0.3">
      <c r="A2" s="6" t="s">
        <v>56</v>
      </c>
      <c r="B2" s="6" t="s">
        <v>57</v>
      </c>
      <c r="C2" s="6" t="s">
        <v>58</v>
      </c>
      <c r="D2" s="6" t="s">
        <v>65</v>
      </c>
      <c r="E2" s="6" t="s">
        <v>59</v>
      </c>
      <c r="F2" s="6" t="s">
        <v>66</v>
      </c>
      <c r="G2" s="6" t="s">
        <v>60</v>
      </c>
      <c r="H2" s="6" t="s">
        <v>61</v>
      </c>
      <c r="I2" s="6" t="s">
        <v>62</v>
      </c>
      <c r="J2" s="6" t="s">
        <v>67</v>
      </c>
      <c r="K2" s="6" t="s">
        <v>68</v>
      </c>
      <c r="L2" s="6" t="s">
        <v>63</v>
      </c>
      <c r="M2" s="6" t="s">
        <v>64</v>
      </c>
    </row>
    <row r="3" spans="1:13" x14ac:dyDescent="0.3">
      <c r="A3">
        <v>2022</v>
      </c>
      <c r="B3">
        <v>36.619999999999997</v>
      </c>
      <c r="C3">
        <v>36.630000000000003</v>
      </c>
      <c r="D3">
        <v>161.36000000000001</v>
      </c>
      <c r="E3" s="5">
        <f>(D3*(10^7)/L3)/B3</f>
        <v>5.4614014373468737E-2</v>
      </c>
      <c r="F3" s="4">
        <v>0</v>
      </c>
      <c r="G3" s="3">
        <f>(F3*10^7)/L3</f>
        <v>0</v>
      </c>
      <c r="H3" s="5">
        <f>'INVESTOR''S RATIO'!B3/'INVESTOR''S RATIO'!D3</f>
        <v>0.22694595934556269</v>
      </c>
      <c r="I3">
        <v>0</v>
      </c>
      <c r="J3" s="1">
        <f>'PROFITABILITY RATIOS'!F3+'PROFITABILITY RATIOS'!G3</f>
        <v>22513.55</v>
      </c>
      <c r="K3">
        <v>0</v>
      </c>
      <c r="L3" s="10">
        <v>806814036</v>
      </c>
      <c r="M3">
        <f>((J3-K3)*(10^7))/L3</f>
        <v>279.04261695318348</v>
      </c>
    </row>
    <row r="4" spans="1:13" x14ac:dyDescent="0.3">
      <c r="A4">
        <f>A3-1</f>
        <v>2021</v>
      </c>
      <c r="B4">
        <v>30.61</v>
      </c>
      <c r="C4">
        <v>30.57</v>
      </c>
      <c r="D4">
        <v>161.29</v>
      </c>
      <c r="E4" s="5">
        <f t="shared" ref="E4:E13" si="0">(D4*(10^7)/L4)/B4</f>
        <v>6.5337048956432039E-2</v>
      </c>
      <c r="F4" s="4">
        <v>0</v>
      </c>
      <c r="G4" s="3">
        <f t="shared" ref="G4:G13" si="1">(F4*10^7)/L4</f>
        <v>0</v>
      </c>
      <c r="H4" s="5">
        <f>'INVESTOR''S RATIO'!B4/'INVESTOR''S RATIO'!D4</f>
        <v>0.18978237956475913</v>
      </c>
      <c r="I4">
        <v>0</v>
      </c>
      <c r="J4" s="1">
        <f>'PROFITABILITY RATIOS'!F4+'PROFITABILITY RATIOS'!G4</f>
        <v>19891.870000000003</v>
      </c>
      <c r="K4">
        <v>269.51</v>
      </c>
      <c r="L4" s="11">
        <v>806463279</v>
      </c>
      <c r="M4">
        <f t="shared" ref="M4:M13" si="2">((J4-K4)*(10^7))/L4</f>
        <v>243.31374423310851</v>
      </c>
    </row>
    <row r="5" spans="1:13" x14ac:dyDescent="0.3">
      <c r="A5">
        <f t="shared" ref="A5:A13" si="3">A4-1</f>
        <v>2020</v>
      </c>
      <c r="B5">
        <v>28.76</v>
      </c>
      <c r="C5">
        <v>28.72</v>
      </c>
      <c r="D5">
        <v>161.25</v>
      </c>
      <c r="E5" s="5">
        <f t="shared" si="0"/>
        <v>6.9542294639796193E-2</v>
      </c>
      <c r="F5" s="4">
        <v>564.26</v>
      </c>
      <c r="G5" s="3">
        <f t="shared" si="1"/>
        <v>6.9987009958974395</v>
      </c>
      <c r="H5" s="5">
        <f>'INVESTOR''S RATIO'!B5/'INVESTOR''S RATIO'!D5</f>
        <v>0.17835658914728683</v>
      </c>
      <c r="I5">
        <f t="shared" ref="I5:I13" si="4">B5/G5</f>
        <v>4.1093340059617907</v>
      </c>
      <c r="J5" s="1">
        <f>'PROFITABILITY RATIOS'!F5+'PROFITABILITY RATIOS'!G5</f>
        <v>17368.79</v>
      </c>
      <c r="K5">
        <v>205.87</v>
      </c>
      <c r="L5" s="11">
        <v>806235329</v>
      </c>
      <c r="M5">
        <f t="shared" si="2"/>
        <v>212.87729999735603</v>
      </c>
    </row>
    <row r="6" spans="1:13" ht="15" thickBot="1" x14ac:dyDescent="0.35">
      <c r="A6">
        <f t="shared" si="3"/>
        <v>2019</v>
      </c>
      <c r="B6">
        <v>23.45</v>
      </c>
      <c r="C6">
        <v>23.41</v>
      </c>
      <c r="D6">
        <v>161.13999999999999</v>
      </c>
      <c r="E6" s="5">
        <f t="shared" si="0"/>
        <v>8.5287712468913701E-2</v>
      </c>
      <c r="F6" s="4">
        <v>241.57</v>
      </c>
      <c r="G6" s="3">
        <f t="shared" si="1"/>
        <v>2.9982576693630265</v>
      </c>
      <c r="H6" s="5">
        <f>'INVESTOR''S RATIO'!B6/'INVESTOR''S RATIO'!D6</f>
        <v>0.14552562988705475</v>
      </c>
      <c r="I6">
        <f t="shared" si="4"/>
        <v>7.8212090440452045</v>
      </c>
      <c r="J6" s="1">
        <f>'PROFITABILITY RATIOS'!F6+'PROFITABILITY RATIOS'!G6</f>
        <v>15739.21</v>
      </c>
      <c r="K6">
        <v>135.33000000000001</v>
      </c>
      <c r="L6" s="12">
        <v>805701266</v>
      </c>
      <c r="M6">
        <f t="shared" si="2"/>
        <v>193.66830683371421</v>
      </c>
    </row>
    <row r="7" spans="1:13" x14ac:dyDescent="0.3">
      <c r="A7">
        <f t="shared" si="3"/>
        <v>2018</v>
      </c>
      <c r="B7">
        <v>18.25</v>
      </c>
      <c r="C7">
        <v>18.22</v>
      </c>
      <c r="D7">
        <v>161.02000000000001</v>
      </c>
      <c r="E7" s="5">
        <f t="shared" si="0"/>
        <v>0.10958643258217286</v>
      </c>
      <c r="F7" s="4">
        <v>160.94</v>
      </c>
      <c r="G7" s="3">
        <f t="shared" si="1"/>
        <v>1.9989587528933792</v>
      </c>
      <c r="H7" s="5">
        <f>'INVESTOR''S RATIO'!B7/'INVESTOR''S RATIO'!D7</f>
        <v>0.11333995776922121</v>
      </c>
      <c r="I7">
        <f t="shared" si="4"/>
        <v>9.1297531645333656</v>
      </c>
      <c r="J7" s="1">
        <f>'PROFITABILITY RATIOS'!F7+'PROFITABILITY RATIOS'!G7</f>
        <v>14113.52</v>
      </c>
      <c r="K7">
        <v>161.66</v>
      </c>
      <c r="L7" s="11">
        <v>805119164</v>
      </c>
      <c r="M7">
        <f t="shared" si="2"/>
        <v>173.28937906140811</v>
      </c>
    </row>
    <row r="8" spans="1:13" x14ac:dyDescent="0.3">
      <c r="A8">
        <f t="shared" si="3"/>
        <v>2017</v>
      </c>
      <c r="B8">
        <v>12.13</v>
      </c>
      <c r="C8">
        <v>12.11</v>
      </c>
      <c r="D8">
        <v>160.9</v>
      </c>
      <c r="E8" s="5">
        <f t="shared" si="0"/>
        <v>0.16487839704755261</v>
      </c>
      <c r="F8" s="4">
        <v>160.87</v>
      </c>
      <c r="G8" s="3">
        <f t="shared" si="1"/>
        <v>1.999602058432397</v>
      </c>
      <c r="H8" s="5">
        <f>'INVESTOR''S RATIO'!B8/'INVESTOR''S RATIO'!D8</f>
        <v>7.538844002486017E-2</v>
      </c>
      <c r="I8">
        <f t="shared" si="4"/>
        <v>6.0662069979610864</v>
      </c>
      <c r="J8" s="1">
        <f>'PROFITABILITY RATIOS'!F8+'PROFITABILITY RATIOS'!G8</f>
        <v>12800.51</v>
      </c>
      <c r="K8">
        <v>140.1</v>
      </c>
      <c r="L8" s="11">
        <v>804510074</v>
      </c>
      <c r="M8">
        <f t="shared" si="2"/>
        <v>157.36794863304596</v>
      </c>
    </row>
    <row r="9" spans="1:13" ht="15" thickBot="1" x14ac:dyDescent="0.35">
      <c r="A9">
        <f t="shared" si="3"/>
        <v>2016</v>
      </c>
      <c r="B9">
        <v>18.21</v>
      </c>
      <c r="C9">
        <v>18.16</v>
      </c>
      <c r="D9">
        <v>160.68</v>
      </c>
      <c r="E9" s="5">
        <f t="shared" si="0"/>
        <v>0.10983191265615347</v>
      </c>
      <c r="F9" s="4">
        <v>180.92</v>
      </c>
      <c r="G9" s="3">
        <f t="shared" si="1"/>
        <v>2.2519733588713646</v>
      </c>
      <c r="H9" s="5">
        <f>'INVESTOR''S RATIO'!B9/'INVESTOR''S RATIO'!D9</f>
        <v>0.11333084391336819</v>
      </c>
      <c r="I9">
        <f t="shared" si="4"/>
        <v>8.0862413084346692</v>
      </c>
      <c r="J9" s="1">
        <f>'PROFITABILITY RATIOS'!F9+'PROFITABILITY RATIOS'!G9</f>
        <v>11985.880000000001</v>
      </c>
      <c r="K9">
        <v>123.83</v>
      </c>
      <c r="L9" s="12">
        <v>803384282</v>
      </c>
      <c r="M9">
        <f t="shared" si="2"/>
        <v>147.65100918417025</v>
      </c>
    </row>
    <row r="10" spans="1:13" ht="15" thickBot="1" x14ac:dyDescent="0.35">
      <c r="A10">
        <f t="shared" si="3"/>
        <v>2015</v>
      </c>
      <c r="B10">
        <v>14.71</v>
      </c>
      <c r="C10">
        <v>14.66</v>
      </c>
      <c r="D10">
        <v>160.59</v>
      </c>
      <c r="E10" s="5">
        <f t="shared" si="0"/>
        <v>0.13596016289791008</v>
      </c>
      <c r="F10" s="4">
        <v>160.59</v>
      </c>
      <c r="G10" s="3">
        <f t="shared" si="1"/>
        <v>1.9999739962282574</v>
      </c>
      <c r="H10" s="5">
        <f>'INVESTOR''S RATIO'!B10/'INVESTOR''S RATIO'!D10</f>
        <v>9.159972601033689E-2</v>
      </c>
      <c r="I10">
        <f t="shared" si="4"/>
        <v>7.3550956301139552</v>
      </c>
      <c r="J10" s="1">
        <f>'PROFITABILITY RATIOS'!F10+'PROFITABILITY RATIOS'!G10</f>
        <v>11090.15</v>
      </c>
      <c r="K10">
        <v>125.29</v>
      </c>
      <c r="L10" s="12">
        <v>802960440</v>
      </c>
      <c r="M10">
        <f t="shared" si="2"/>
        <v>136.55541984110698</v>
      </c>
    </row>
    <row r="11" spans="1:13" ht="15" thickBot="1" x14ac:dyDescent="0.35">
      <c r="A11">
        <f t="shared" si="3"/>
        <v>2014</v>
      </c>
      <c r="B11">
        <v>17.29</v>
      </c>
      <c r="C11">
        <v>17.29</v>
      </c>
      <c r="D11">
        <v>160.58000000000001</v>
      </c>
      <c r="E11" s="5">
        <f t="shared" si="0"/>
        <v>0.11567072306326201</v>
      </c>
      <c r="F11" s="4">
        <v>160.58000000000001</v>
      </c>
      <c r="G11" s="3">
        <f t="shared" si="1"/>
        <v>1.9999468017638</v>
      </c>
      <c r="H11" s="5">
        <f>'INVESTOR''S RATIO'!B11/'INVESTOR''S RATIO'!D11</f>
        <v>0.10767218831734959</v>
      </c>
      <c r="I11">
        <f t="shared" si="4"/>
        <v>8.6452299554925869</v>
      </c>
      <c r="J11" s="1">
        <f>'PROFITABILITY RATIOS'!F11+'PROFITABILITY RATIOS'!G11</f>
        <v>10091.64</v>
      </c>
      <c r="K11">
        <v>4.5999999999999996</v>
      </c>
      <c r="L11" s="12">
        <v>802921357</v>
      </c>
      <c r="M11">
        <f t="shared" si="2"/>
        <v>125.62924017476345</v>
      </c>
    </row>
    <row r="12" spans="1:13" ht="15" thickBot="1" x14ac:dyDescent="0.35">
      <c r="A12">
        <f t="shared" si="3"/>
        <v>2013</v>
      </c>
      <c r="B12">
        <v>18.77</v>
      </c>
      <c r="C12">
        <v>18.77</v>
      </c>
      <c r="D12">
        <v>160.58000000000001</v>
      </c>
      <c r="E12" s="5">
        <f t="shared" si="0"/>
        <v>0.1065501759064358</v>
      </c>
      <c r="F12" s="4">
        <v>160.58000000000001</v>
      </c>
      <c r="G12" s="3">
        <f t="shared" si="1"/>
        <v>1.9999468017638</v>
      </c>
      <c r="H12" s="5">
        <f>'INVESTOR''S RATIO'!B12/'INVESTOR''S RATIO'!D12</f>
        <v>0.11688877817910075</v>
      </c>
      <c r="I12">
        <f t="shared" si="4"/>
        <v>9.3852496393635558</v>
      </c>
      <c r="J12" s="1">
        <f>'PROFITABILITY RATIOS'!F12+'PROFITABILITY RATIOS'!G12</f>
        <v>8869.52</v>
      </c>
      <c r="K12">
        <v>0</v>
      </c>
      <c r="L12" s="12">
        <v>802921357</v>
      </c>
      <c r="M12">
        <f t="shared" si="2"/>
        <v>110.46561313476184</v>
      </c>
    </row>
    <row r="13" spans="1:13" ht="15" thickBot="1" x14ac:dyDescent="0.35">
      <c r="A13">
        <f t="shared" si="3"/>
        <v>2012</v>
      </c>
      <c r="B13">
        <v>14</v>
      </c>
      <c r="C13">
        <v>14</v>
      </c>
      <c r="D13">
        <v>160.58000000000001</v>
      </c>
      <c r="E13" s="5">
        <f t="shared" si="0"/>
        <v>0.14285334298312857</v>
      </c>
      <c r="F13" s="4">
        <v>160.58000000000001</v>
      </c>
      <c r="G13" s="3">
        <f t="shared" si="1"/>
        <v>1.9999468017638</v>
      </c>
      <c r="H13" s="5">
        <f>'INVESTOR''S RATIO'!B13/'INVESTOR''S RATIO'!D13</f>
        <v>8.7183958151700075E-2</v>
      </c>
      <c r="I13">
        <f t="shared" si="4"/>
        <v>7.0001861987794234</v>
      </c>
      <c r="J13" s="1">
        <f>'PROFITABILITY RATIOS'!F13+'PROFITABILITY RATIOS'!G13</f>
        <v>7550.28</v>
      </c>
      <c r="K13">
        <v>0</v>
      </c>
      <c r="L13" s="12">
        <v>802921357</v>
      </c>
      <c r="M13">
        <f t="shared" si="2"/>
        <v>94.035112332925522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C4B3-DA07-42D9-911D-EE454D48BDD5}">
  <dimension ref="A1:I13"/>
  <sheetViews>
    <sheetView workbookViewId="0">
      <selection activeCell="K11" sqref="K11"/>
    </sheetView>
  </sheetViews>
  <sheetFormatPr defaultRowHeight="14.4" x14ac:dyDescent="0.3"/>
  <cols>
    <col min="1" max="1" width="10" bestFit="1" customWidth="1"/>
    <col min="2" max="2" width="11.77734375" bestFit="1" customWidth="1"/>
    <col min="3" max="3" width="9.5546875" bestFit="1" customWidth="1"/>
    <col min="4" max="4" width="12.5546875" bestFit="1" customWidth="1"/>
    <col min="5" max="5" width="15.88671875" customWidth="1"/>
    <col min="8" max="8" width="10.5546875" customWidth="1"/>
    <col min="9" max="9" width="19.5546875" customWidth="1"/>
  </cols>
  <sheetData>
    <row r="1" spans="1:9" x14ac:dyDescent="0.3">
      <c r="A1" t="s">
        <v>48</v>
      </c>
      <c r="B1" t="s">
        <v>21</v>
      </c>
    </row>
    <row r="2" spans="1:9" s="6" customFormat="1" ht="43.2" x14ac:dyDescent="0.3">
      <c r="A2" s="6" t="s">
        <v>20</v>
      </c>
      <c r="B2" s="6" t="s">
        <v>49</v>
      </c>
      <c r="C2" s="6" t="s">
        <v>34</v>
      </c>
      <c r="D2" s="6" t="s">
        <v>50</v>
      </c>
      <c r="E2" s="6" t="s">
        <v>51</v>
      </c>
      <c r="F2" s="6" t="s">
        <v>37</v>
      </c>
      <c r="G2" s="6" t="s">
        <v>54</v>
      </c>
      <c r="H2" s="6" t="s">
        <v>55</v>
      </c>
      <c r="I2" s="6" t="s">
        <v>38</v>
      </c>
    </row>
    <row r="3" spans="1:9" x14ac:dyDescent="0.3">
      <c r="A3">
        <v>2022</v>
      </c>
      <c r="B3" s="4">
        <v>2689.39</v>
      </c>
      <c r="C3" s="4">
        <v>12827.29</v>
      </c>
      <c r="D3" s="1">
        <v>25449.05</v>
      </c>
      <c r="E3" s="1">
        <f>'PROFITABILITY RATIOS'!F3+'PROFITABILITY RATIOS'!G3</f>
        <v>22513.55</v>
      </c>
      <c r="F3" s="9">
        <f>B3/E3</f>
        <v>0.11945650508249477</v>
      </c>
      <c r="G3">
        <f>C3/D3</f>
        <v>0.50403806821865649</v>
      </c>
      <c r="H3" s="5">
        <f>D3/E3</f>
        <v>1.1303881440288182</v>
      </c>
      <c r="I3" s="2">
        <f>F3*G3*H3</f>
        <v>6.8061377840439835E-2</v>
      </c>
    </row>
    <row r="4" spans="1:9" x14ac:dyDescent="0.3">
      <c r="A4">
        <f>A3-1</f>
        <v>2021</v>
      </c>
      <c r="B4" s="4">
        <v>2468.2800000000002</v>
      </c>
      <c r="C4" s="4">
        <v>13610.02</v>
      </c>
      <c r="D4" s="1">
        <v>22963.74</v>
      </c>
      <c r="E4" s="1">
        <f>'PROFITABILITY RATIOS'!F4+'PROFITABILITY RATIOS'!G4</f>
        <v>19891.870000000003</v>
      </c>
      <c r="F4" s="9">
        <f t="shared" ref="F4:F13" si="0">B4/E4</f>
        <v>0.12408486482165829</v>
      </c>
      <c r="G4">
        <f t="shared" ref="G4:G13" si="1">C4/D4</f>
        <v>0.59267436401910134</v>
      </c>
      <c r="H4" s="5">
        <f t="shared" ref="H4:H13" si="2">D4/E4</f>
        <v>1.1544284172377961</v>
      </c>
      <c r="I4" s="2">
        <f t="shared" ref="I4:I13" si="3">F4*G4*H4</f>
        <v>8.4898880392847195E-2</v>
      </c>
    </row>
    <row r="5" spans="1:9" x14ac:dyDescent="0.3">
      <c r="A5">
        <f t="shared" ref="A5:A13" si="4">A4-1</f>
        <v>2020</v>
      </c>
      <c r="B5" s="4">
        <v>2318.17</v>
      </c>
      <c r="C5" s="4">
        <v>12220.22</v>
      </c>
      <c r="D5" s="1">
        <v>20405.66</v>
      </c>
      <c r="E5" s="1">
        <f>'PROFITABILITY RATIOS'!F5+'PROFITABILITY RATIOS'!G5</f>
        <v>17368.79</v>
      </c>
      <c r="F5" s="9">
        <f t="shared" si="0"/>
        <v>0.13346755876488806</v>
      </c>
      <c r="G5">
        <f t="shared" si="1"/>
        <v>0.59886423668727207</v>
      </c>
      <c r="H5" s="5">
        <f t="shared" si="2"/>
        <v>1.1748463767481787</v>
      </c>
      <c r="I5" s="2">
        <f t="shared" si="3"/>
        <v>9.3904234605281092E-2</v>
      </c>
    </row>
    <row r="6" spans="1:9" x14ac:dyDescent="0.3">
      <c r="A6">
        <f t="shared" si="4"/>
        <v>2019</v>
      </c>
      <c r="B6" s="4">
        <v>1888.41</v>
      </c>
      <c r="C6" s="4">
        <v>11968.44</v>
      </c>
      <c r="D6" s="1">
        <v>18418.810000000001</v>
      </c>
      <c r="E6" s="1">
        <f>'PROFITABILITY RATIOS'!F6+'PROFITABILITY RATIOS'!G6</f>
        <v>15739.21</v>
      </c>
      <c r="F6" s="9">
        <f t="shared" si="0"/>
        <v>0.11998124429370979</v>
      </c>
      <c r="G6">
        <f t="shared" si="1"/>
        <v>0.6497944221152181</v>
      </c>
      <c r="H6" s="5">
        <f t="shared" si="2"/>
        <v>1.170249968073366</v>
      </c>
      <c r="I6" s="2">
        <f t="shared" si="3"/>
        <v>9.1236365958304658E-2</v>
      </c>
    </row>
    <row r="7" spans="1:9" x14ac:dyDescent="0.3">
      <c r="A7">
        <f t="shared" si="4"/>
        <v>2018</v>
      </c>
      <c r="B7" s="4">
        <v>1468.52</v>
      </c>
      <c r="C7" s="4">
        <v>11004.44</v>
      </c>
      <c r="D7" s="1">
        <v>17094.97</v>
      </c>
      <c r="E7" s="1">
        <f>'PROFITABILITY RATIOS'!F7+'PROFITABILITY RATIOS'!G7</f>
        <v>14113.52</v>
      </c>
      <c r="F7" s="9">
        <f t="shared" si="0"/>
        <v>0.10405058412075796</v>
      </c>
      <c r="G7">
        <f t="shared" si="1"/>
        <v>0.64372385561366885</v>
      </c>
      <c r="H7" s="5">
        <f t="shared" si="2"/>
        <v>1.211247796439159</v>
      </c>
      <c r="I7" s="2">
        <f t="shared" si="3"/>
        <v>8.1129187468599887E-2</v>
      </c>
    </row>
    <row r="8" spans="1:9" x14ac:dyDescent="0.3">
      <c r="A8">
        <f t="shared" si="4"/>
        <v>2017</v>
      </c>
      <c r="B8" s="4">
        <v>974.94</v>
      </c>
      <c r="C8" s="4">
        <v>10637.08</v>
      </c>
      <c r="D8" s="1">
        <v>15607.22</v>
      </c>
      <c r="E8" s="1">
        <f>'PROFITABILITY RATIOS'!F8+'PROFITABILITY RATIOS'!G8</f>
        <v>12800.51</v>
      </c>
      <c r="F8" s="9">
        <f t="shared" si="0"/>
        <v>7.6164152834535495E-2</v>
      </c>
      <c r="G8">
        <f t="shared" si="1"/>
        <v>0.68154866786013146</v>
      </c>
      <c r="H8" s="5">
        <f t="shared" si="2"/>
        <v>1.2192654823909359</v>
      </c>
      <c r="I8" s="2">
        <f t="shared" si="3"/>
        <v>6.3291555323434834E-2</v>
      </c>
    </row>
    <row r="9" spans="1:9" x14ac:dyDescent="0.3">
      <c r="A9">
        <f t="shared" si="4"/>
        <v>2016</v>
      </c>
      <c r="B9" s="4">
        <v>1462.3</v>
      </c>
      <c r="C9" s="4">
        <v>11873.46</v>
      </c>
      <c r="D9" s="1">
        <v>15239.05</v>
      </c>
      <c r="E9" s="1">
        <f>'PROFITABILITY RATIOS'!F9+'PROFITABILITY RATIOS'!G9</f>
        <v>11985.880000000001</v>
      </c>
      <c r="F9" s="9">
        <f t="shared" si="0"/>
        <v>0.12200188888925968</v>
      </c>
      <c r="G9">
        <f t="shared" si="1"/>
        <v>0.77914699407115273</v>
      </c>
      <c r="H9" s="5">
        <f t="shared" si="2"/>
        <v>1.271416867180382</v>
      </c>
      <c r="I9" s="2">
        <f t="shared" si="3"/>
        <v>0.12085758806621366</v>
      </c>
    </row>
    <row r="10" spans="1:9" x14ac:dyDescent="0.3">
      <c r="A10">
        <f t="shared" si="4"/>
        <v>2015</v>
      </c>
      <c r="B10" s="4">
        <v>1181.0899999999999</v>
      </c>
      <c r="C10" s="4">
        <v>9831.8799999999992</v>
      </c>
      <c r="D10" s="1">
        <v>15191.82</v>
      </c>
      <c r="E10" s="1">
        <f>'PROFITABILITY RATIOS'!F10+'PROFITABILITY RATIOS'!G10</f>
        <v>11090.15</v>
      </c>
      <c r="F10" s="9">
        <f t="shared" si="0"/>
        <v>0.10649901038308769</v>
      </c>
      <c r="G10">
        <f t="shared" si="1"/>
        <v>0.64718249689635599</v>
      </c>
      <c r="H10" s="5">
        <f t="shared" si="2"/>
        <v>1.3698480182864976</v>
      </c>
      <c r="I10" s="2">
        <f t="shared" si="3"/>
        <v>9.4415809543177701E-2</v>
      </c>
    </row>
    <row r="11" spans="1:9" x14ac:dyDescent="0.3">
      <c r="A11">
        <f t="shared" si="4"/>
        <v>2014</v>
      </c>
      <c r="B11" s="4">
        <v>1388.34</v>
      </c>
      <c r="C11" s="4">
        <v>9174.9599999999991</v>
      </c>
      <c r="D11" s="1">
        <v>12924</v>
      </c>
      <c r="E11" s="1">
        <f>'PROFITABILITY RATIOS'!F11+'PROFITABILITY RATIOS'!G11</f>
        <v>10091.64</v>
      </c>
      <c r="F11" s="9">
        <f t="shared" si="0"/>
        <v>0.13757327847604553</v>
      </c>
      <c r="G11">
        <f t="shared" si="1"/>
        <v>0.70991643454038988</v>
      </c>
      <c r="H11" s="5">
        <f t="shared" si="2"/>
        <v>1.2806639951484595</v>
      </c>
      <c r="I11" s="2">
        <f t="shared" si="3"/>
        <v>0.12507672955897936</v>
      </c>
    </row>
    <row r="12" spans="1:9" x14ac:dyDescent="0.3">
      <c r="A12">
        <f t="shared" si="4"/>
        <v>2013</v>
      </c>
      <c r="B12" s="4">
        <v>1507.11</v>
      </c>
      <c r="C12" s="4">
        <v>8134.56</v>
      </c>
      <c r="D12" s="1">
        <v>11493.21</v>
      </c>
      <c r="E12" s="1">
        <f>'PROFITABILITY RATIOS'!F12+'PROFITABILITY RATIOS'!G12</f>
        <v>8869.52</v>
      </c>
      <c r="F12" s="9">
        <f t="shared" si="0"/>
        <v>0.16992013096537353</v>
      </c>
      <c r="G12">
        <f t="shared" si="1"/>
        <v>0.70777093605702857</v>
      </c>
      <c r="H12" s="5">
        <f t="shared" si="2"/>
        <v>1.2958096943239317</v>
      </c>
      <c r="I12" s="2">
        <f t="shared" si="3"/>
        <v>0.15583994404947382</v>
      </c>
    </row>
    <row r="13" spans="1:9" x14ac:dyDescent="0.3">
      <c r="A13">
        <f t="shared" si="4"/>
        <v>2012</v>
      </c>
      <c r="B13" s="4">
        <v>1123.96</v>
      </c>
      <c r="C13" s="4">
        <v>6931.92</v>
      </c>
      <c r="D13" s="1">
        <v>8993.7900000000009</v>
      </c>
      <c r="E13" s="1">
        <f>'PROFITABILITY RATIOS'!F13+'PROFITABILITY RATIOS'!G13</f>
        <v>7550.28</v>
      </c>
      <c r="F13" s="9">
        <f t="shared" si="0"/>
        <v>0.14886335341205889</v>
      </c>
      <c r="G13">
        <f t="shared" si="1"/>
        <v>0.77074514748509804</v>
      </c>
      <c r="H13" s="5">
        <f t="shared" si="2"/>
        <v>1.1911862871310734</v>
      </c>
      <c r="I13" s="2">
        <f t="shared" si="3"/>
        <v>0.13667160115705901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RATIOS</vt:lpstr>
      <vt:lpstr>LIQUIDITY RATIO</vt:lpstr>
      <vt:lpstr>PROFITABILITY RATIOS</vt:lpstr>
      <vt:lpstr>GEARING RATIOS</vt:lpstr>
      <vt:lpstr>INVESTOR'S RATIO</vt:lpstr>
      <vt:lpstr>DUPONT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Khushi</dc:creator>
  <cp:lastModifiedBy>Khushi</cp:lastModifiedBy>
  <dcterms:created xsi:type="dcterms:W3CDTF">2022-05-29T11:46:10Z</dcterms:created>
  <dcterms:modified xsi:type="dcterms:W3CDTF">2022-05-29T18:40:17Z</dcterms:modified>
</cp:coreProperties>
</file>