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OneDrive\Documents\"/>
    </mc:Choice>
  </mc:AlternateContent>
  <xr:revisionPtr revIDLastSave="0" documentId="13_ncr:1_{A1A7FD79-018E-475D-A294-B7BC970BA7E6}" xr6:coauthVersionLast="47" xr6:coauthVersionMax="47" xr10:uidLastSave="{00000000-0000-0000-0000-000000000000}"/>
  <bookViews>
    <workbookView xWindow="-110" yWindow="-110" windowWidth="19420" windowHeight="10300" activeTab="2" xr2:uid="{5D2C1FD0-FE09-4508-952D-045589111D6B}"/>
  </bookViews>
  <sheets>
    <sheet name="TAX INCREMENTAL CASHFLOW" sheetId="1" r:id="rId1"/>
    <sheet name="Sheet1" sheetId="4" r:id="rId2"/>
    <sheet name="INCREASED LIFE" sheetId="2" r:id="rId3"/>
    <sheet name="IRR &amp; NPV" sheetId="3" r:id="rId4"/>
  </sheets>
  <calcPr calcId="191029" iterateDelta="1.0000000000000001E-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0" i="3" l="1"/>
  <c r="I67" i="3"/>
  <c r="K67" i="3" s="1"/>
  <c r="I66" i="3"/>
  <c r="K66" i="3" s="1"/>
  <c r="I64" i="3"/>
  <c r="K64" i="3" s="1"/>
  <c r="I63" i="3"/>
  <c r="K63" i="3" s="1"/>
  <c r="I62" i="3"/>
  <c r="K62" i="3" s="1"/>
  <c r="I60" i="3"/>
  <c r="K60" i="3" s="1"/>
  <c r="I59" i="3"/>
  <c r="K59" i="3" s="1"/>
  <c r="I58" i="3"/>
  <c r="E53" i="3"/>
  <c r="I65" i="3" s="1"/>
  <c r="K65" i="3" s="1"/>
  <c r="I44" i="3"/>
  <c r="E30" i="3"/>
  <c r="I43" i="3" s="1"/>
  <c r="K43" i="3" s="1"/>
  <c r="F28" i="3"/>
  <c r="D58" i="3" s="1"/>
  <c r="K58" i="3" s="1"/>
  <c r="H10" i="3"/>
  <c r="H8" i="3"/>
  <c r="H12" i="3" s="1"/>
  <c r="H16" i="3" s="1"/>
  <c r="K420" i="2"/>
  <c r="E393" i="2"/>
  <c r="H412" i="2" s="1"/>
  <c r="J412" i="2" s="1"/>
  <c r="E360" i="2"/>
  <c r="H380" i="2" s="1"/>
  <c r="J380" i="2" s="1"/>
  <c r="F358" i="2"/>
  <c r="D363" i="2" s="1"/>
  <c r="C256" i="2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K249" i="2"/>
  <c r="C199" i="2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H340" i="2" s="1"/>
  <c r="H193" i="2"/>
  <c r="H196" i="2" s="1"/>
  <c r="C168" i="2"/>
  <c r="I140" i="2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F134" i="2"/>
  <c r="F139" i="2" s="1"/>
  <c r="F104" i="2"/>
  <c r="F125" i="2" s="1"/>
  <c r="C49" i="2"/>
  <c r="C50" i="2" s="1"/>
  <c r="R21" i="2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G21" i="2"/>
  <c r="F48" i="2" s="1"/>
  <c r="C21" i="2"/>
  <c r="S20" i="2"/>
  <c r="S21" i="2" s="1"/>
  <c r="H20" i="2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G15" i="2"/>
  <c r="N20" i="2" s="1"/>
  <c r="U20" i="2" s="1"/>
  <c r="G10" i="2"/>
  <c r="C20" i="2" s="1"/>
  <c r="F210" i="1"/>
  <c r="G210" i="1" s="1"/>
  <c r="F211" i="1"/>
  <c r="G211" i="1" s="1"/>
  <c r="F218" i="1"/>
  <c r="G218" i="1" s="1"/>
  <c r="E209" i="1"/>
  <c r="E210" i="1"/>
  <c r="E211" i="1"/>
  <c r="E212" i="1"/>
  <c r="F212" i="1" s="1"/>
  <c r="G212" i="1" s="1"/>
  <c r="E213" i="1"/>
  <c r="F213" i="1" s="1"/>
  <c r="G213" i="1" s="1"/>
  <c r="E214" i="1"/>
  <c r="F214" i="1" s="1"/>
  <c r="G214" i="1" s="1"/>
  <c r="E215" i="1"/>
  <c r="E216" i="1"/>
  <c r="E217" i="1"/>
  <c r="E218" i="1"/>
  <c r="E208" i="1"/>
  <c r="F208" i="1" s="1"/>
  <c r="G208" i="1" s="1"/>
  <c r="C176" i="1"/>
  <c r="C177" i="1" s="1"/>
  <c r="C178" i="1" s="1"/>
  <c r="C179" i="1" s="1"/>
  <c r="C180" i="1" s="1"/>
  <c r="C181" i="1" s="1"/>
  <c r="C182" i="1" s="1"/>
  <c r="C183" i="1" s="1"/>
  <c r="C184" i="1" s="1"/>
  <c r="C185" i="1" s="1"/>
  <c r="D13" i="1"/>
  <c r="C24" i="1" s="1"/>
  <c r="D14" i="1"/>
  <c r="I24" i="1"/>
  <c r="I25" i="1" s="1"/>
  <c r="D101" i="1" s="1"/>
  <c r="D25" i="1"/>
  <c r="D26" i="1" s="1"/>
  <c r="D27" i="1" s="1"/>
  <c r="D28" i="1" s="1"/>
  <c r="D29" i="1" s="1"/>
  <c r="D30" i="1" s="1"/>
  <c r="D31" i="1" s="1"/>
  <c r="D32" i="1" s="1"/>
  <c r="D33" i="1" s="1"/>
  <c r="D34" i="1" s="1"/>
  <c r="E25" i="1"/>
  <c r="E26" i="1" s="1"/>
  <c r="E27" i="1" s="1"/>
  <c r="E28" i="1" s="1"/>
  <c r="E29" i="1" s="1"/>
  <c r="E30" i="1" s="1"/>
  <c r="E31" i="1" s="1"/>
  <c r="E32" i="1" s="1"/>
  <c r="E33" i="1" s="1"/>
  <c r="E34" i="1" s="1"/>
  <c r="J25" i="1"/>
  <c r="J26" i="1" s="1"/>
  <c r="J27" i="1" s="1"/>
  <c r="J28" i="1" s="1"/>
  <c r="J29" i="1" s="1"/>
  <c r="J30" i="1" s="1"/>
  <c r="J31" i="1" s="1"/>
  <c r="J32" i="1" s="1"/>
  <c r="J33" i="1" s="1"/>
  <c r="J34" i="1" s="1"/>
  <c r="K25" i="1"/>
  <c r="E42" i="1" s="1"/>
  <c r="F41" i="1"/>
  <c r="C43" i="1"/>
  <c r="C44" i="1" s="1"/>
  <c r="C139" i="1"/>
  <c r="D139" i="1" s="1"/>
  <c r="C101" i="1"/>
  <c r="C102" i="1" s="1"/>
  <c r="C103" i="1" s="1"/>
  <c r="C104" i="1" s="1"/>
  <c r="C105" i="1" s="1"/>
  <c r="C106" i="1" s="1"/>
  <c r="C107" i="1" s="1"/>
  <c r="C108" i="1" s="1"/>
  <c r="C109" i="1" s="1"/>
  <c r="C110" i="1" s="1"/>
  <c r="C120" i="1"/>
  <c r="C121" i="1" s="1"/>
  <c r="D120" i="1"/>
  <c r="E121" i="1"/>
  <c r="H17" i="3" l="1"/>
  <c r="H18" i="3"/>
  <c r="I36" i="3"/>
  <c r="K36" i="3" s="1"/>
  <c r="I40" i="3"/>
  <c r="K40" i="3" s="1"/>
  <c r="I41" i="3"/>
  <c r="K41" i="3" s="1"/>
  <c r="D34" i="3"/>
  <c r="I68" i="3"/>
  <c r="I61" i="3"/>
  <c r="K61" i="3" s="1"/>
  <c r="I37" i="3"/>
  <c r="K37" i="3" s="1"/>
  <c r="I34" i="3"/>
  <c r="I38" i="3"/>
  <c r="K38" i="3" s="1"/>
  <c r="I42" i="3"/>
  <c r="K42" i="3" s="1"/>
  <c r="I35" i="3"/>
  <c r="K35" i="3" s="1"/>
  <c r="I39" i="3"/>
  <c r="K39" i="3" s="1"/>
  <c r="H381" i="2"/>
  <c r="J381" i="2" s="1"/>
  <c r="F119" i="2"/>
  <c r="F120" i="2"/>
  <c r="J21" i="2"/>
  <c r="F126" i="2"/>
  <c r="J20" i="2"/>
  <c r="C72" i="2" s="1"/>
  <c r="G48" i="2"/>
  <c r="H48" i="2" s="1"/>
  <c r="S22" i="2"/>
  <c r="G49" i="2" s="1"/>
  <c r="H400" i="2"/>
  <c r="J400" i="2" s="1"/>
  <c r="F127" i="2"/>
  <c r="H365" i="2"/>
  <c r="J365" i="2" s="1"/>
  <c r="H408" i="2"/>
  <c r="J408" i="2" s="1"/>
  <c r="F110" i="2"/>
  <c r="F128" i="2"/>
  <c r="H369" i="2"/>
  <c r="J369" i="2" s="1"/>
  <c r="F111" i="2"/>
  <c r="H373" i="2"/>
  <c r="J373" i="2" s="1"/>
  <c r="F112" i="2"/>
  <c r="H377" i="2"/>
  <c r="J377" i="2" s="1"/>
  <c r="F118" i="2"/>
  <c r="C51" i="2"/>
  <c r="F199" i="2"/>
  <c r="N21" i="2"/>
  <c r="C22" i="2"/>
  <c r="C169" i="2"/>
  <c r="F168" i="2"/>
  <c r="H415" i="2"/>
  <c r="J415" i="2" s="1"/>
  <c r="H411" i="2"/>
  <c r="J411" i="2" s="1"/>
  <c r="H407" i="2"/>
  <c r="J407" i="2" s="1"/>
  <c r="H403" i="2"/>
  <c r="J403" i="2" s="1"/>
  <c r="H399" i="2"/>
  <c r="J399" i="2" s="1"/>
  <c r="H418" i="2"/>
  <c r="H414" i="2"/>
  <c r="J414" i="2" s="1"/>
  <c r="H410" i="2"/>
  <c r="J410" i="2" s="1"/>
  <c r="H406" i="2"/>
  <c r="J406" i="2" s="1"/>
  <c r="H402" i="2"/>
  <c r="J402" i="2" s="1"/>
  <c r="H398" i="2"/>
  <c r="H417" i="2"/>
  <c r="J417" i="2" s="1"/>
  <c r="H413" i="2"/>
  <c r="J413" i="2" s="1"/>
  <c r="H409" i="2"/>
  <c r="J409" i="2" s="1"/>
  <c r="H405" i="2"/>
  <c r="J405" i="2" s="1"/>
  <c r="H401" i="2"/>
  <c r="J401" i="2" s="1"/>
  <c r="G22" i="2"/>
  <c r="H416" i="2"/>
  <c r="J416" i="2" s="1"/>
  <c r="H404" i="2"/>
  <c r="J404" i="2" s="1"/>
  <c r="F113" i="2"/>
  <c r="F121" i="2"/>
  <c r="F129" i="2"/>
  <c r="H366" i="2"/>
  <c r="J366" i="2" s="1"/>
  <c r="H370" i="2"/>
  <c r="J370" i="2" s="1"/>
  <c r="H374" i="2"/>
  <c r="J374" i="2" s="1"/>
  <c r="H378" i="2"/>
  <c r="J378" i="2" s="1"/>
  <c r="H382" i="2"/>
  <c r="J382" i="2" s="1"/>
  <c r="D398" i="2"/>
  <c r="F114" i="2"/>
  <c r="F122" i="2"/>
  <c r="F115" i="2"/>
  <c r="F123" i="2"/>
  <c r="C139" i="2"/>
  <c r="H363" i="2"/>
  <c r="J363" i="2" s="1"/>
  <c r="H367" i="2"/>
  <c r="J367" i="2" s="1"/>
  <c r="H371" i="2"/>
  <c r="J371" i="2" s="1"/>
  <c r="H375" i="2"/>
  <c r="J375" i="2" s="1"/>
  <c r="H379" i="2"/>
  <c r="J379" i="2" s="1"/>
  <c r="F116" i="2"/>
  <c r="F124" i="2"/>
  <c r="H383" i="2"/>
  <c r="F117" i="2"/>
  <c r="H364" i="2"/>
  <c r="J364" i="2" s="1"/>
  <c r="H368" i="2"/>
  <c r="J368" i="2" s="1"/>
  <c r="H372" i="2"/>
  <c r="J372" i="2" s="1"/>
  <c r="H376" i="2"/>
  <c r="J376" i="2" s="1"/>
  <c r="G216" i="1"/>
  <c r="G215" i="1"/>
  <c r="F217" i="1"/>
  <c r="G217" i="1" s="1"/>
  <c r="F209" i="1"/>
  <c r="G209" i="1" s="1"/>
  <c r="F216" i="1"/>
  <c r="F215" i="1"/>
  <c r="D100" i="1"/>
  <c r="D42" i="1"/>
  <c r="F42" i="1" s="1"/>
  <c r="C25" i="1"/>
  <c r="C26" i="1" s="1"/>
  <c r="F24" i="1"/>
  <c r="K26" i="1"/>
  <c r="K27" i="1" s="1"/>
  <c r="E44" i="1" s="1"/>
  <c r="L24" i="1"/>
  <c r="I26" i="1"/>
  <c r="D102" i="1" s="1"/>
  <c r="L25" i="1"/>
  <c r="C45" i="1"/>
  <c r="D43" i="1"/>
  <c r="C140" i="1"/>
  <c r="F120" i="1"/>
  <c r="D121" i="1"/>
  <c r="F121" i="1" s="1"/>
  <c r="C122" i="1"/>
  <c r="D122" i="1"/>
  <c r="E122" i="1"/>
  <c r="K34" i="3" l="1"/>
  <c r="D68" i="3"/>
  <c r="K68" i="3" s="1"/>
  <c r="E54" i="3" s="1"/>
  <c r="D44" i="3"/>
  <c r="K44" i="3" s="1"/>
  <c r="F229" i="2"/>
  <c r="C229" i="2"/>
  <c r="H229" i="2"/>
  <c r="C309" i="2"/>
  <c r="S23" i="2"/>
  <c r="S24" i="2" s="1"/>
  <c r="F49" i="2"/>
  <c r="H49" i="2" s="1"/>
  <c r="G23" i="2"/>
  <c r="J398" i="2"/>
  <c r="F200" i="2"/>
  <c r="N22" i="2"/>
  <c r="U21" i="2"/>
  <c r="C73" i="2" s="1"/>
  <c r="C170" i="2"/>
  <c r="F169" i="2"/>
  <c r="L139" i="2"/>
  <c r="F140" i="2"/>
  <c r="C140" i="2"/>
  <c r="C52" i="2"/>
  <c r="J22" i="2"/>
  <c r="C23" i="2"/>
  <c r="C57" i="1"/>
  <c r="E158" i="1" s="1"/>
  <c r="K28" i="1"/>
  <c r="D158" i="1"/>
  <c r="F25" i="1"/>
  <c r="C58" i="1" s="1"/>
  <c r="E43" i="1"/>
  <c r="F43" i="1" s="1"/>
  <c r="D44" i="1"/>
  <c r="C46" i="1"/>
  <c r="F26" i="1"/>
  <c r="C27" i="1"/>
  <c r="E45" i="1"/>
  <c r="K29" i="1"/>
  <c r="I27" i="1"/>
  <c r="D103" i="1" s="1"/>
  <c r="L26" i="1"/>
  <c r="D140" i="1"/>
  <c r="C141" i="1"/>
  <c r="C123" i="1"/>
  <c r="D123" i="1"/>
  <c r="F122" i="1"/>
  <c r="E123" i="1"/>
  <c r="K46" i="3" l="1"/>
  <c r="K229" i="2"/>
  <c r="C281" i="2" s="1"/>
  <c r="E309" i="2" s="1"/>
  <c r="G309" i="2" s="1"/>
  <c r="J309" i="2" s="1"/>
  <c r="L309" i="2" s="1"/>
  <c r="G50" i="2"/>
  <c r="F141" i="2"/>
  <c r="C141" i="2"/>
  <c r="L140" i="2"/>
  <c r="C171" i="2"/>
  <c r="F170" i="2"/>
  <c r="F50" i="2"/>
  <c r="G24" i="2"/>
  <c r="S25" i="2"/>
  <c r="G51" i="2"/>
  <c r="J23" i="2"/>
  <c r="C24" i="2"/>
  <c r="C310" i="2"/>
  <c r="H230" i="2"/>
  <c r="F230" i="2"/>
  <c r="C230" i="2"/>
  <c r="C53" i="2"/>
  <c r="F201" i="2"/>
  <c r="N23" i="2"/>
  <c r="U22" i="2"/>
  <c r="C74" i="2" s="1"/>
  <c r="C158" i="1"/>
  <c r="F158" i="1"/>
  <c r="C191" i="1" s="1"/>
  <c r="D159" i="1"/>
  <c r="C159" i="1"/>
  <c r="E159" i="1"/>
  <c r="C59" i="1"/>
  <c r="F27" i="1"/>
  <c r="C28" i="1"/>
  <c r="C47" i="1"/>
  <c r="I28" i="1"/>
  <c r="D104" i="1" s="1"/>
  <c r="L27" i="1"/>
  <c r="E46" i="1"/>
  <c r="K30" i="1"/>
  <c r="D45" i="1"/>
  <c r="F44" i="1"/>
  <c r="C142" i="1"/>
  <c r="D141" i="1"/>
  <c r="F123" i="1"/>
  <c r="E124" i="1"/>
  <c r="C124" i="1"/>
  <c r="D124" i="1"/>
  <c r="H50" i="2" l="1"/>
  <c r="K230" i="2"/>
  <c r="C282" i="2"/>
  <c r="E310" i="2" s="1"/>
  <c r="G310" i="2" s="1"/>
  <c r="F231" i="2"/>
  <c r="C231" i="2"/>
  <c r="C311" i="2"/>
  <c r="H231" i="2"/>
  <c r="G52" i="2"/>
  <c r="S26" i="2"/>
  <c r="F202" i="2"/>
  <c r="N24" i="2"/>
  <c r="U23" i="2"/>
  <c r="C75" i="2" s="1"/>
  <c r="J24" i="2"/>
  <c r="C25" i="2"/>
  <c r="F171" i="2"/>
  <c r="C172" i="2"/>
  <c r="C54" i="2"/>
  <c r="L141" i="2"/>
  <c r="F142" i="2"/>
  <c r="C142" i="2"/>
  <c r="F51" i="2"/>
  <c r="H51" i="2" s="1"/>
  <c r="G25" i="2"/>
  <c r="F159" i="1"/>
  <c r="C192" i="1" s="1"/>
  <c r="E160" i="1"/>
  <c r="D160" i="1"/>
  <c r="C160" i="1"/>
  <c r="E47" i="1"/>
  <c r="K31" i="1"/>
  <c r="C48" i="1"/>
  <c r="F28" i="1"/>
  <c r="C29" i="1"/>
  <c r="I29" i="1"/>
  <c r="D105" i="1" s="1"/>
  <c r="L28" i="1"/>
  <c r="D46" i="1"/>
  <c r="F45" i="1"/>
  <c r="C60" i="1"/>
  <c r="C143" i="1"/>
  <c r="D142" i="1"/>
  <c r="D125" i="1"/>
  <c r="C125" i="1"/>
  <c r="F124" i="1"/>
  <c r="E125" i="1"/>
  <c r="J310" i="2" l="1"/>
  <c r="L310" i="2" s="1"/>
  <c r="G53" i="2"/>
  <c r="S27" i="2"/>
  <c r="J25" i="2"/>
  <c r="C26" i="2"/>
  <c r="F172" i="2"/>
  <c r="C173" i="2"/>
  <c r="F143" i="2"/>
  <c r="C143" i="2"/>
  <c r="L142" i="2"/>
  <c r="F203" i="2"/>
  <c r="N25" i="2"/>
  <c r="U24" i="2"/>
  <c r="C76" i="2" s="1"/>
  <c r="K231" i="2"/>
  <c r="C283" i="2" s="1"/>
  <c r="E311" i="2" s="1"/>
  <c r="G311" i="2" s="1"/>
  <c r="F52" i="2"/>
  <c r="H52" i="2" s="1"/>
  <c r="G26" i="2"/>
  <c r="C312" i="2"/>
  <c r="H232" i="2"/>
  <c r="F232" i="2"/>
  <c r="C232" i="2"/>
  <c r="C55" i="2"/>
  <c r="C161" i="1"/>
  <c r="E161" i="1"/>
  <c r="D161" i="1"/>
  <c r="F160" i="1"/>
  <c r="C193" i="1" s="1"/>
  <c r="I30" i="1"/>
  <c r="D106" i="1" s="1"/>
  <c r="L29" i="1"/>
  <c r="C61" i="1"/>
  <c r="C49" i="1"/>
  <c r="E48" i="1"/>
  <c r="K32" i="1"/>
  <c r="F29" i="1"/>
  <c r="C30" i="1"/>
  <c r="D47" i="1"/>
  <c r="F46" i="1"/>
  <c r="C144" i="1"/>
  <c r="D143" i="1"/>
  <c r="C126" i="1"/>
  <c r="D126" i="1"/>
  <c r="F125" i="1"/>
  <c r="E126" i="1"/>
  <c r="K232" i="2" l="1"/>
  <c r="J311" i="2"/>
  <c r="L311" i="2" s="1"/>
  <c r="F233" i="2"/>
  <c r="C233" i="2"/>
  <c r="C313" i="2"/>
  <c r="H233" i="2"/>
  <c r="C174" i="2"/>
  <c r="F173" i="2"/>
  <c r="F204" i="2"/>
  <c r="N26" i="2"/>
  <c r="U25" i="2"/>
  <c r="C77" i="2"/>
  <c r="C56" i="2"/>
  <c r="J26" i="2"/>
  <c r="C27" i="2"/>
  <c r="C284" i="2"/>
  <c r="E312" i="2" s="1"/>
  <c r="G312" i="2" s="1"/>
  <c r="L143" i="2"/>
  <c r="F144" i="2"/>
  <c r="C144" i="2"/>
  <c r="G54" i="2"/>
  <c r="S28" i="2"/>
  <c r="F53" i="2"/>
  <c r="H53" i="2" s="1"/>
  <c r="G27" i="2"/>
  <c r="E162" i="1"/>
  <c r="D162" i="1"/>
  <c r="C162" i="1"/>
  <c r="F162" i="1" s="1"/>
  <c r="C195" i="1" s="1"/>
  <c r="F161" i="1"/>
  <c r="C194" i="1" s="1"/>
  <c r="C62" i="1"/>
  <c r="I31" i="1"/>
  <c r="D107" i="1" s="1"/>
  <c r="L30" i="1"/>
  <c r="F30" i="1"/>
  <c r="C31" i="1"/>
  <c r="K33" i="1"/>
  <c r="E49" i="1"/>
  <c r="C50" i="1"/>
  <c r="D48" i="1"/>
  <c r="F47" i="1"/>
  <c r="C145" i="1"/>
  <c r="D144" i="1"/>
  <c r="F126" i="1"/>
  <c r="E127" i="1"/>
  <c r="D127" i="1"/>
  <c r="C127" i="1"/>
  <c r="J312" i="2" l="1"/>
  <c r="L312" i="2" s="1"/>
  <c r="J27" i="2"/>
  <c r="C28" i="2"/>
  <c r="G55" i="2"/>
  <c r="S29" i="2"/>
  <c r="C175" i="2"/>
  <c r="F174" i="2"/>
  <c r="F145" i="2"/>
  <c r="C145" i="2"/>
  <c r="L144" i="2"/>
  <c r="H234" i="2"/>
  <c r="F234" i="2"/>
  <c r="C234" i="2"/>
  <c r="K234" i="2" s="1"/>
  <c r="C314" i="2"/>
  <c r="K233" i="2"/>
  <c r="C285" i="2" s="1"/>
  <c r="E313" i="2" s="1"/>
  <c r="G313" i="2" s="1"/>
  <c r="N27" i="2"/>
  <c r="U26" i="2"/>
  <c r="F205" i="2"/>
  <c r="C78" i="2"/>
  <c r="C57" i="2"/>
  <c r="F54" i="2"/>
  <c r="H54" i="2" s="1"/>
  <c r="G28" i="2"/>
  <c r="E163" i="1"/>
  <c r="D163" i="1"/>
  <c r="C163" i="1"/>
  <c r="F163" i="1" s="1"/>
  <c r="C196" i="1" s="1"/>
  <c r="C63" i="1"/>
  <c r="D49" i="1"/>
  <c r="F48" i="1"/>
  <c r="I32" i="1"/>
  <c r="D108" i="1" s="1"/>
  <c r="L31" i="1"/>
  <c r="C51" i="1"/>
  <c r="E50" i="1"/>
  <c r="K34" i="1"/>
  <c r="E51" i="1" s="1"/>
  <c r="F31" i="1"/>
  <c r="C32" i="1"/>
  <c r="C146" i="1"/>
  <c r="D145" i="1"/>
  <c r="F127" i="1"/>
  <c r="E128" i="1"/>
  <c r="C128" i="1"/>
  <c r="D128" i="1"/>
  <c r="J313" i="2" l="1"/>
  <c r="L313" i="2" s="1"/>
  <c r="C58" i="2"/>
  <c r="F235" i="2"/>
  <c r="C315" i="2"/>
  <c r="C235" i="2"/>
  <c r="H235" i="2"/>
  <c r="C286" i="2"/>
  <c r="E314" i="2" s="1"/>
  <c r="G314" i="2" s="1"/>
  <c r="L145" i="2"/>
  <c r="F146" i="2"/>
  <c r="C146" i="2"/>
  <c r="F175" i="2"/>
  <c r="C176" i="2"/>
  <c r="G56" i="2"/>
  <c r="S30" i="2"/>
  <c r="J28" i="2"/>
  <c r="C29" i="2"/>
  <c r="F55" i="2"/>
  <c r="H55" i="2" s="1"/>
  <c r="G29" i="2"/>
  <c r="F206" i="2"/>
  <c r="N28" i="2"/>
  <c r="U27" i="2"/>
  <c r="C79" i="2" s="1"/>
  <c r="C164" i="1"/>
  <c r="E164" i="1"/>
  <c r="D164" i="1"/>
  <c r="F32" i="1"/>
  <c r="C33" i="1"/>
  <c r="I33" i="1"/>
  <c r="D109" i="1" s="1"/>
  <c r="L32" i="1"/>
  <c r="C64" i="1"/>
  <c r="D50" i="1"/>
  <c r="F49" i="1"/>
  <c r="C147" i="1"/>
  <c r="D146" i="1"/>
  <c r="D129" i="1"/>
  <c r="C129" i="1"/>
  <c r="F128" i="1"/>
  <c r="E129" i="1"/>
  <c r="K235" i="2" l="1"/>
  <c r="C287" i="2" s="1"/>
  <c r="E315" i="2" s="1"/>
  <c r="G315" i="2" s="1"/>
  <c r="J314" i="2"/>
  <c r="L314" i="2" s="1"/>
  <c r="C177" i="2"/>
  <c r="F176" i="2"/>
  <c r="F147" i="2"/>
  <c r="C147" i="2"/>
  <c r="L146" i="2"/>
  <c r="J29" i="2"/>
  <c r="C30" i="2"/>
  <c r="C59" i="2"/>
  <c r="F207" i="2"/>
  <c r="N29" i="2"/>
  <c r="U28" i="2"/>
  <c r="C80" i="2" s="1"/>
  <c r="F56" i="2"/>
  <c r="H56" i="2" s="1"/>
  <c r="G30" i="2"/>
  <c r="H236" i="2"/>
  <c r="C316" i="2"/>
  <c r="F236" i="2"/>
  <c r="C236" i="2"/>
  <c r="G57" i="2"/>
  <c r="S31" i="2"/>
  <c r="E165" i="1"/>
  <c r="D165" i="1"/>
  <c r="C165" i="1"/>
  <c r="F164" i="1"/>
  <c r="C197" i="1" s="1"/>
  <c r="D51" i="1"/>
  <c r="F51" i="1" s="1"/>
  <c r="F50" i="1"/>
  <c r="F33" i="1"/>
  <c r="C34" i="1"/>
  <c r="F34" i="1" s="1"/>
  <c r="I34" i="1"/>
  <c r="L33" i="1"/>
  <c r="C65" i="1"/>
  <c r="C148" i="1"/>
  <c r="D147" i="1"/>
  <c r="C130" i="1"/>
  <c r="D130" i="1"/>
  <c r="F129" i="1"/>
  <c r="E130" i="1"/>
  <c r="K236" i="2" l="1"/>
  <c r="C288" i="2" s="1"/>
  <c r="E316" i="2" s="1"/>
  <c r="G316" i="2" s="1"/>
  <c r="F237" i="2"/>
  <c r="C237" i="2"/>
  <c r="C317" i="2"/>
  <c r="H237" i="2"/>
  <c r="L147" i="2"/>
  <c r="F148" i="2"/>
  <c r="C148" i="2"/>
  <c r="J315" i="2"/>
  <c r="L315" i="2" s="1"/>
  <c r="C60" i="2"/>
  <c r="C178" i="2"/>
  <c r="F177" i="2"/>
  <c r="F57" i="2"/>
  <c r="H57" i="2" s="1"/>
  <c r="G31" i="2"/>
  <c r="J30" i="2"/>
  <c r="C31" i="2"/>
  <c r="F208" i="2"/>
  <c r="N30" i="2"/>
  <c r="U29" i="2"/>
  <c r="C81" i="2" s="1"/>
  <c r="G58" i="2"/>
  <c r="S32" i="2"/>
  <c r="F165" i="1"/>
  <c r="C198" i="1" s="1"/>
  <c r="L34" i="1"/>
  <c r="C67" i="1" s="1"/>
  <c r="D110" i="1"/>
  <c r="D166" i="1"/>
  <c r="C166" i="1"/>
  <c r="E166" i="1"/>
  <c r="C66" i="1"/>
  <c r="C149" i="1"/>
  <c r="D149" i="1" s="1"/>
  <c r="D148" i="1"/>
  <c r="F130" i="1"/>
  <c r="J316" i="2" l="1"/>
  <c r="L316" i="2" s="1"/>
  <c r="K237" i="2"/>
  <c r="C289" i="2" s="1"/>
  <c r="E317" i="2" s="1"/>
  <c r="G317" i="2" s="1"/>
  <c r="C318" i="2"/>
  <c r="H238" i="2"/>
  <c r="F238" i="2"/>
  <c r="C238" i="2"/>
  <c r="F58" i="2"/>
  <c r="H58" i="2" s="1"/>
  <c r="G32" i="2"/>
  <c r="G59" i="2"/>
  <c r="S33" i="2"/>
  <c r="F149" i="2"/>
  <c r="C149" i="2"/>
  <c r="L148" i="2"/>
  <c r="C179" i="2"/>
  <c r="F178" i="2"/>
  <c r="N31" i="2"/>
  <c r="F209" i="2"/>
  <c r="U30" i="2"/>
  <c r="C82" i="2" s="1"/>
  <c r="C61" i="2"/>
  <c r="J31" i="2"/>
  <c r="C32" i="2"/>
  <c r="C201" i="1"/>
  <c r="F166" i="1"/>
  <c r="C199" i="1" s="1"/>
  <c r="C167" i="1"/>
  <c r="E167" i="1"/>
  <c r="D167" i="1"/>
  <c r="K238" i="2" l="1"/>
  <c r="F239" i="2"/>
  <c r="C239" i="2"/>
  <c r="C319" i="2"/>
  <c r="H239" i="2"/>
  <c r="J317" i="2"/>
  <c r="L317" i="2" s="1"/>
  <c r="C62" i="2"/>
  <c r="F179" i="2"/>
  <c r="C180" i="2"/>
  <c r="F59" i="2"/>
  <c r="H59" i="2" s="1"/>
  <c r="G33" i="2"/>
  <c r="C290" i="2"/>
  <c r="E318" i="2" s="1"/>
  <c r="G318" i="2" s="1"/>
  <c r="L149" i="2"/>
  <c r="F150" i="2"/>
  <c r="C150" i="2"/>
  <c r="G60" i="2"/>
  <c r="S34" i="2"/>
  <c r="N32" i="2"/>
  <c r="F210" i="2"/>
  <c r="U31" i="2"/>
  <c r="C83" i="2" s="1"/>
  <c r="C33" i="2"/>
  <c r="J32" i="2"/>
  <c r="F167" i="1"/>
  <c r="C200" i="1" s="1"/>
  <c r="C320" i="2" l="1"/>
  <c r="H240" i="2"/>
  <c r="F240" i="2"/>
  <c r="C240" i="2"/>
  <c r="K240" i="2" s="1"/>
  <c r="J318" i="2"/>
  <c r="L318" i="2" s="1"/>
  <c r="C34" i="2"/>
  <c r="J33" i="2"/>
  <c r="S35" i="2"/>
  <c r="G61" i="2"/>
  <c r="C181" i="2"/>
  <c r="F180" i="2"/>
  <c r="C63" i="2"/>
  <c r="F60" i="2"/>
  <c r="H60" i="2" s="1"/>
  <c r="G34" i="2"/>
  <c r="N33" i="2"/>
  <c r="F211" i="2"/>
  <c r="U32" i="2"/>
  <c r="C84" i="2" s="1"/>
  <c r="F151" i="2"/>
  <c r="C151" i="2"/>
  <c r="L150" i="2"/>
  <c r="C292" i="2" s="1"/>
  <c r="E320" i="2" s="1"/>
  <c r="K239" i="2"/>
  <c r="C291" i="2" s="1"/>
  <c r="E319" i="2" s="1"/>
  <c r="G319" i="2" s="1"/>
  <c r="J319" i="2" l="1"/>
  <c r="L319" i="2" s="1"/>
  <c r="F241" i="2"/>
  <c r="C241" i="2"/>
  <c r="C321" i="2"/>
  <c r="H241" i="2"/>
  <c r="J34" i="2"/>
  <c r="C35" i="2"/>
  <c r="C64" i="2"/>
  <c r="C182" i="2"/>
  <c r="F181" i="2"/>
  <c r="F212" i="2"/>
  <c r="N34" i="2"/>
  <c r="U33" i="2"/>
  <c r="C85" i="2" s="1"/>
  <c r="L151" i="2"/>
  <c r="C152" i="2"/>
  <c r="F152" i="2"/>
  <c r="F61" i="2"/>
  <c r="H61" i="2" s="1"/>
  <c r="G35" i="2"/>
  <c r="G62" i="2"/>
  <c r="S36" i="2"/>
  <c r="G320" i="2"/>
  <c r="H242" i="2" l="1"/>
  <c r="F242" i="2"/>
  <c r="C242" i="2"/>
  <c r="C322" i="2"/>
  <c r="J320" i="2"/>
  <c r="L320" i="2" s="1"/>
  <c r="C183" i="2"/>
  <c r="F182" i="2"/>
  <c r="K241" i="2"/>
  <c r="C293" i="2" s="1"/>
  <c r="E321" i="2" s="1"/>
  <c r="G321" i="2" s="1"/>
  <c r="G63" i="2"/>
  <c r="S37" i="2"/>
  <c r="N35" i="2"/>
  <c r="F213" i="2"/>
  <c r="U34" i="2"/>
  <c r="C86" i="2" s="1"/>
  <c r="G36" i="2"/>
  <c r="F62" i="2"/>
  <c r="H62" i="2" s="1"/>
  <c r="F153" i="2"/>
  <c r="C153" i="2"/>
  <c r="L152" i="2"/>
  <c r="C65" i="2"/>
  <c r="J35" i="2"/>
  <c r="C36" i="2"/>
  <c r="K242" i="2" l="1"/>
  <c r="C294" i="2" s="1"/>
  <c r="E322" i="2" s="1"/>
  <c r="G322" i="2" s="1"/>
  <c r="F243" i="2"/>
  <c r="C323" i="2"/>
  <c r="C243" i="2"/>
  <c r="H243" i="2"/>
  <c r="J321" i="2"/>
  <c r="L321" i="2" s="1"/>
  <c r="N36" i="2"/>
  <c r="F214" i="2"/>
  <c r="U35" i="2"/>
  <c r="L153" i="2"/>
  <c r="C154" i="2"/>
  <c r="F154" i="2"/>
  <c r="C66" i="2"/>
  <c r="J36" i="2"/>
  <c r="C37" i="2"/>
  <c r="F183" i="2"/>
  <c r="C184" i="2"/>
  <c r="G64" i="2"/>
  <c r="S38" i="2"/>
  <c r="C87" i="2"/>
  <c r="F63" i="2"/>
  <c r="H63" i="2" s="1"/>
  <c r="G37" i="2"/>
  <c r="G38" i="2" l="1"/>
  <c r="F64" i="2"/>
  <c r="H64" i="2" s="1"/>
  <c r="C67" i="2"/>
  <c r="H244" i="2"/>
  <c r="C324" i="2"/>
  <c r="F244" i="2"/>
  <c r="C244" i="2"/>
  <c r="G65" i="2"/>
  <c r="S39" i="2"/>
  <c r="C185" i="2"/>
  <c r="F184" i="2"/>
  <c r="F155" i="2"/>
  <c r="C155" i="2"/>
  <c r="L154" i="2"/>
  <c r="K243" i="2"/>
  <c r="C295" i="2" s="1"/>
  <c r="E323" i="2" s="1"/>
  <c r="G323" i="2" s="1"/>
  <c r="N37" i="2"/>
  <c r="F215" i="2"/>
  <c r="U36" i="2"/>
  <c r="C88" i="2" s="1"/>
  <c r="J322" i="2"/>
  <c r="L322" i="2" s="1"/>
  <c r="J37" i="2"/>
  <c r="C38" i="2"/>
  <c r="K244" i="2" l="1"/>
  <c r="J323" i="2"/>
  <c r="L323" i="2" s="1"/>
  <c r="F245" i="2"/>
  <c r="C245" i="2"/>
  <c r="C325" i="2"/>
  <c r="H245" i="2"/>
  <c r="C296" i="2"/>
  <c r="E324" i="2" s="1"/>
  <c r="G324" i="2" s="1"/>
  <c r="C186" i="2"/>
  <c r="F185" i="2"/>
  <c r="F216" i="2"/>
  <c r="N38" i="2"/>
  <c r="U37" i="2"/>
  <c r="L155" i="2"/>
  <c r="F156" i="2"/>
  <c r="C156" i="2"/>
  <c r="J38" i="2"/>
  <c r="C39" i="2"/>
  <c r="G66" i="2"/>
  <c r="S40" i="2"/>
  <c r="G67" i="2" s="1"/>
  <c r="C89" i="2"/>
  <c r="F65" i="2"/>
  <c r="H65" i="2" s="1"/>
  <c r="G39" i="2"/>
  <c r="J324" i="2" l="1"/>
  <c r="L324" i="2" s="1"/>
  <c r="G40" i="2"/>
  <c r="F67" i="2" s="1"/>
  <c r="H67" i="2" s="1"/>
  <c r="F66" i="2"/>
  <c r="H66" i="2" s="1"/>
  <c r="J39" i="2"/>
  <c r="C40" i="2"/>
  <c r="C297" i="2"/>
  <c r="E325" i="2" s="1"/>
  <c r="G325" i="2" s="1"/>
  <c r="N39" i="2"/>
  <c r="U38" i="2"/>
  <c r="C90" i="2" s="1"/>
  <c r="F217" i="2"/>
  <c r="F157" i="2"/>
  <c r="C157" i="2"/>
  <c r="L156" i="2"/>
  <c r="C326" i="2"/>
  <c r="H246" i="2"/>
  <c r="F246" i="2"/>
  <c r="C246" i="2"/>
  <c r="K245" i="2"/>
  <c r="C187" i="2"/>
  <c r="F186" i="2"/>
  <c r="J40" i="2" l="1"/>
  <c r="L157" i="2"/>
  <c r="F158" i="2"/>
  <c r="C158" i="2"/>
  <c r="F187" i="2"/>
  <c r="C188" i="2"/>
  <c r="F188" i="2" s="1"/>
  <c r="F247" i="2"/>
  <c r="C247" i="2"/>
  <c r="C327" i="2"/>
  <c r="H247" i="2"/>
  <c r="J325" i="2"/>
  <c r="L325" i="2" s="1"/>
  <c r="K246" i="2"/>
  <c r="C298" i="2" s="1"/>
  <c r="E326" i="2" s="1"/>
  <c r="G326" i="2" s="1"/>
  <c r="N40" i="2"/>
  <c r="F218" i="2"/>
  <c r="U39" i="2"/>
  <c r="C91" i="2" s="1"/>
  <c r="K247" i="2" l="1"/>
  <c r="J326" i="2"/>
  <c r="L326" i="2" s="1"/>
  <c r="C328" i="2"/>
  <c r="H248" i="2"/>
  <c r="F248" i="2"/>
  <c r="C248" i="2"/>
  <c r="F159" i="2"/>
  <c r="C159" i="2"/>
  <c r="L158" i="2"/>
  <c r="F219" i="2"/>
  <c r="U40" i="2"/>
  <c r="C92" i="2" s="1"/>
  <c r="C329" i="2" s="1"/>
  <c r="C299" i="2"/>
  <c r="E327" i="2" s="1"/>
  <c r="G327" i="2" s="1"/>
  <c r="K248" i="2" l="1"/>
  <c r="H337" i="2" s="1"/>
  <c r="H338" i="2" s="1"/>
  <c r="H342" i="2" s="1"/>
  <c r="C300" i="2"/>
  <c r="E328" i="2" s="1"/>
  <c r="G328" i="2" s="1"/>
  <c r="L159" i="2"/>
  <c r="C301" i="2" s="1"/>
  <c r="E329" i="2" s="1"/>
  <c r="H345" i="2" s="1"/>
  <c r="J327" i="2"/>
  <c r="L327" i="2" s="1"/>
  <c r="H344" i="2"/>
  <c r="H346" i="2" l="1"/>
  <c r="H347" i="2" s="1"/>
  <c r="H348" i="2" s="1"/>
  <c r="G329" i="2"/>
  <c r="J329" i="2" s="1"/>
  <c r="J328" i="2"/>
  <c r="L328" i="2" s="1"/>
  <c r="L329" i="2" l="1"/>
  <c r="D383" i="2"/>
  <c r="J383" i="2" s="1"/>
  <c r="J386" i="2" s="1"/>
  <c r="D418" i="2"/>
  <c r="J418" i="2" s="1"/>
  <c r="E394" i="2" s="1"/>
</calcChain>
</file>

<file path=xl/sharedStrings.xml><?xml version="1.0" encoding="utf-8"?>
<sst xmlns="http://schemas.openxmlformats.org/spreadsheetml/2006/main" count="266" uniqueCount="193">
  <si>
    <t>Without Alternium</t>
  </si>
  <si>
    <t>With Alternium</t>
  </si>
  <si>
    <t>No. of Participants</t>
  </si>
  <si>
    <t>US and Russia</t>
  </si>
  <si>
    <t>International</t>
  </si>
  <si>
    <t>2022(in Millions)</t>
  </si>
  <si>
    <t>2020(in Millions)</t>
  </si>
  <si>
    <t>Inflation Rate</t>
  </si>
  <si>
    <t xml:space="preserve">Growth Rate of Participants </t>
  </si>
  <si>
    <t xml:space="preserve">US and Russian </t>
  </si>
  <si>
    <t>Year</t>
  </si>
  <si>
    <t>Flat Charges</t>
  </si>
  <si>
    <t>Participants( in Million)</t>
  </si>
  <si>
    <t>Total(in Million)</t>
  </si>
  <si>
    <t>Service Cost</t>
  </si>
  <si>
    <t>New Participants</t>
  </si>
  <si>
    <t>TOTAL REVENUE</t>
  </si>
  <si>
    <t>Total Revenue</t>
  </si>
  <si>
    <t>1)</t>
  </si>
  <si>
    <t>2)</t>
  </si>
  <si>
    <t>INTRODUCTORY COST</t>
  </si>
  <si>
    <t>3)</t>
  </si>
  <si>
    <t>Server Cost</t>
  </si>
  <si>
    <t>Cost (in million)</t>
  </si>
  <si>
    <t>4)</t>
  </si>
  <si>
    <t>General &amp; Administative Costs</t>
  </si>
  <si>
    <t>G&amp;A Costs in 2021</t>
  </si>
  <si>
    <t>Growth Rate of Company's G&amp;A Costs</t>
  </si>
  <si>
    <t>Rate of G&amp;A Allocated to Alternium</t>
  </si>
  <si>
    <t>Growth Rate of Alternium G&amp;A Costs</t>
  </si>
  <si>
    <t>G&amp;A Allocated to Alternium(in Million)</t>
  </si>
  <si>
    <t>Alternium's G&amp;A</t>
  </si>
  <si>
    <t>Company's G&amp;A(in Million)</t>
  </si>
  <si>
    <t>Total G&amp;A</t>
  </si>
  <si>
    <t>5)</t>
  </si>
  <si>
    <t>ADVERTISING COST</t>
  </si>
  <si>
    <t>Advertising Cost in 2021(in Million)</t>
  </si>
  <si>
    <t>With Alternium(in Million</t>
  </si>
  <si>
    <t>Without Alternium (in Million)</t>
  </si>
  <si>
    <t>Growth Rate of Company's Advertising Cost</t>
  </si>
  <si>
    <t>Percentage increase In Cost Due to Alternium</t>
  </si>
  <si>
    <t>6)</t>
  </si>
  <si>
    <t>Working Capital</t>
  </si>
  <si>
    <t>Conversion Charges of Total Revenue</t>
  </si>
  <si>
    <t>Inventory Charges of Total Revenue</t>
  </si>
  <si>
    <t>Accounts Payable of Total Revenue</t>
  </si>
  <si>
    <t>Conversion Charges(in Million)</t>
  </si>
  <si>
    <t>Inventory Charges(in Million)</t>
  </si>
  <si>
    <t>Accounts Payable(in Million)</t>
  </si>
  <si>
    <t>US &amp; Russia</t>
  </si>
  <si>
    <t>Growth Rate of New Participants</t>
  </si>
  <si>
    <t>expenses</t>
  </si>
  <si>
    <t>Research &amp; Development Cost (in Million)</t>
  </si>
  <si>
    <t>No. of Participants (in Million)</t>
  </si>
  <si>
    <t>Cost (in Million)</t>
  </si>
  <si>
    <t>Total Working Capital Need(in Million)</t>
  </si>
  <si>
    <t>7)</t>
  </si>
  <si>
    <t>Cost Saving in Current Pool</t>
  </si>
  <si>
    <t>Increase in Savings</t>
  </si>
  <si>
    <t>Cost Saving (in Million)</t>
  </si>
  <si>
    <t>TOTAL EXPENSES</t>
  </si>
  <si>
    <t>Expenses (in Million)</t>
  </si>
  <si>
    <t>Percentage of Used Facility</t>
  </si>
  <si>
    <t>Total Capacity of Server (in Million)</t>
  </si>
  <si>
    <t xml:space="preserve">We will require new server in 2025 and 2032 </t>
  </si>
  <si>
    <t>Total Revenue (in Million)</t>
  </si>
  <si>
    <t>Total Expenses (in Million)</t>
  </si>
  <si>
    <t>Taxable Income (in Million)</t>
  </si>
  <si>
    <t>Tax (in Million)</t>
  </si>
  <si>
    <t>After Tax</t>
  </si>
  <si>
    <t>Rate</t>
  </si>
  <si>
    <t>Revenues</t>
  </si>
  <si>
    <t>universal swap - liquidity pools</t>
  </si>
  <si>
    <t>Investment Analysis when life of Project is 20 years</t>
  </si>
  <si>
    <t>1. Pricing &amp; Unit Costs</t>
  </si>
  <si>
    <t>Growth Rate of US &amp; Russian participants without Alternium</t>
  </si>
  <si>
    <t>Growth Rate of US &amp; Russian participants with Alternium</t>
  </si>
  <si>
    <t>Growth Rate of International participants without Alternium</t>
  </si>
  <si>
    <t>Growth Rate of International participants with Alternium</t>
  </si>
  <si>
    <t>Inflation</t>
  </si>
  <si>
    <t>Flat Charge</t>
  </si>
  <si>
    <t>Cost of servicing</t>
  </si>
  <si>
    <t>2. New Participants on Alternium</t>
  </si>
  <si>
    <t>Service Charge</t>
  </si>
  <si>
    <t>Expenses</t>
  </si>
  <si>
    <t>2. Introductory Costs</t>
  </si>
  <si>
    <t>Expected life of the asset (In years)</t>
  </si>
  <si>
    <t>Depreciation Costs (In millons)</t>
  </si>
  <si>
    <t>3. General &amp; Administrative Costs</t>
  </si>
  <si>
    <t>G&amp;A costs in 2021</t>
  </si>
  <si>
    <t>Growth Rate of Company's G&amp;A</t>
  </si>
  <si>
    <t xml:space="preserve">Growth Rate of Alternium G&amp;A </t>
  </si>
  <si>
    <t>G&amp;A Allocated to Alternium (In milions)</t>
  </si>
  <si>
    <t>4. Advertising Expenses</t>
  </si>
  <si>
    <t>Growth Rate of costs</t>
  </si>
  <si>
    <t>Percentage increase due to alternium</t>
  </si>
  <si>
    <t>5. Server Cost</t>
  </si>
  <si>
    <t>Percentage of facility used</t>
  </si>
  <si>
    <t xml:space="preserve">Year </t>
  </si>
  <si>
    <t>We will require a new server in 2025, 2032, 2037, 2040 &amp; 2042 as the number of participants in these years exceed the capacity of the server.</t>
  </si>
  <si>
    <t>6. Working Capital</t>
  </si>
  <si>
    <t>Conversion Charges as percentage of Total Revenue</t>
  </si>
  <si>
    <t>Inventory Charges as percentage of Total Revenue</t>
  </si>
  <si>
    <t>Accounts Payable as percentage of Total Revenue</t>
  </si>
  <si>
    <t>7.  Cost Savings in Current Pool</t>
  </si>
  <si>
    <t>Total Expenses</t>
  </si>
  <si>
    <t>After-Tax Incremental Cashflows</t>
  </si>
  <si>
    <t>Tax</t>
  </si>
  <si>
    <t>Tax (In millions)</t>
  </si>
  <si>
    <t>After-Tax Incremental Cashflows (In millions)</t>
  </si>
  <si>
    <t>NET PRESENT VALUE PROFILE &amp; IRR</t>
  </si>
  <si>
    <t>At the end of the 20th year all the working capital &amp; investment in other assets can be sold at the book value</t>
  </si>
  <si>
    <t>Cost of Capital</t>
  </si>
  <si>
    <t>Total Cash obtained after selling all of the above (In millions)</t>
  </si>
  <si>
    <t>Net Profit obtained after selling the assets (In millions)</t>
  </si>
  <si>
    <t>Expenses in Year 2022</t>
  </si>
  <si>
    <t>Research &amp; Develpoment costs (In millions)</t>
  </si>
  <si>
    <t>Cost of Infrastructure (In milions)</t>
  </si>
  <si>
    <t>Advertising Costs (In millions)</t>
  </si>
  <si>
    <t>General &amp; Administrative costs (In millions)</t>
  </si>
  <si>
    <t>Working Capital (In  millions)</t>
  </si>
  <si>
    <t>Cost Saving due to the Pool (In millions)</t>
  </si>
  <si>
    <t>Total Expenses (In millions)</t>
  </si>
  <si>
    <t>Discounting factor (v)</t>
  </si>
  <si>
    <t>Time</t>
  </si>
  <si>
    <t>Discounting Factor</t>
  </si>
  <si>
    <t>Net Present Value (In Millions)</t>
  </si>
  <si>
    <t>IRR</t>
  </si>
  <si>
    <t>IRR is obtained when Net Present Value becomes 0.</t>
  </si>
  <si>
    <t>Discounting Factor(v)</t>
  </si>
  <si>
    <t>Net Present Value (In millions)</t>
  </si>
  <si>
    <t>NET PRESENT VALUE PROFILE &amp; INTERNAL RATE OF RETURN</t>
  </si>
  <si>
    <t>At the end of the 10th year all the working capital &amp; investment in other assets can be sold at the book value.</t>
  </si>
  <si>
    <t>Working capital at the beginning of 10th year (In millions)</t>
  </si>
  <si>
    <t>Working capital at the end of 10th year (In millions)</t>
  </si>
  <si>
    <t>Value of infrastructure at the end of 10th year (In millions)</t>
  </si>
  <si>
    <t>Value of 2 servers at the end of 10th year (In millions)</t>
  </si>
  <si>
    <t>Revenue at the end of 10th year (In millions)</t>
  </si>
  <si>
    <t>Expenses at the end of the 10th year (In millions)</t>
  </si>
  <si>
    <t>After Tax Incrementel Cashflow for the 10th Year (In millions)</t>
  </si>
  <si>
    <t>Discounting factor</t>
  </si>
  <si>
    <t>Present Value (In Millions)</t>
  </si>
  <si>
    <t>IRR is obtained when Net Present Value becomes 0</t>
  </si>
  <si>
    <t>No. of US &amp; Russia participants in 2020 (In Million)</t>
  </si>
  <si>
    <t>No. of US &amp; Russia participants in 2022 (In Million)</t>
  </si>
  <si>
    <t>No. of International participants in 2020 (In Million)</t>
  </si>
  <si>
    <t>No. of International participants in 2022 (In Million)</t>
  </si>
  <si>
    <t>US &amp; Russia Participants (In Million)</t>
  </si>
  <si>
    <t>Total (In Million)</t>
  </si>
  <si>
    <t>International Participants (In Million)</t>
  </si>
  <si>
    <t>Participants (In Million)</t>
  </si>
  <si>
    <t>Revenue (In Million)</t>
  </si>
  <si>
    <t>1. Research &amp; Development Costs (In Million)</t>
  </si>
  <si>
    <t>Cost of infrastructure (In Million)</t>
  </si>
  <si>
    <t>Salvage Value (In Million)</t>
  </si>
  <si>
    <t>Depreciated value each year (In Million)</t>
  </si>
  <si>
    <t>Introductory Costs (In Million)</t>
  </si>
  <si>
    <t>Gross Company G&amp;A (In Million)</t>
  </si>
  <si>
    <t>Alternium G&amp;A (In Million)</t>
  </si>
  <si>
    <t>Total G&amp;A (In Million)</t>
  </si>
  <si>
    <t>Advertising expenses in 2021 (In Million)</t>
  </si>
  <si>
    <t>Without Alternium (In Million)</t>
  </si>
  <si>
    <t>With Alternium (In Million)</t>
  </si>
  <si>
    <t>No. of International Participants in 2021 (In Million)</t>
  </si>
  <si>
    <t>Total capacity of the Server (In Million)</t>
  </si>
  <si>
    <t>Cost of Server (In Million)</t>
  </si>
  <si>
    <t>No. of Participants (In Million)</t>
  </si>
  <si>
    <t>Conversion Charges (In Million)</t>
  </si>
  <si>
    <t>Inventory Charges (In Million)</t>
  </si>
  <si>
    <t>Accounts Payable (In Million)</t>
  </si>
  <si>
    <t>Total Working Capital Needs (In Million)</t>
  </si>
  <si>
    <t>Cost Savings (In Million)</t>
  </si>
  <si>
    <t>Expenses (In Million)</t>
  </si>
  <si>
    <t>Taxable Income (In Million)</t>
  </si>
  <si>
    <t>Tax (In Million)</t>
  </si>
  <si>
    <t>After-Tax Incremental Cashflows (In Million)</t>
  </si>
  <si>
    <t>Working capital at the beginning of 20th year (In Million)</t>
  </si>
  <si>
    <t>Working capital at the end of 20th year (In Million)</t>
  </si>
  <si>
    <t>Value of infrastructure at the end of 20th year (In Million)</t>
  </si>
  <si>
    <t>Value of 5 servers at the end of 20th year (In Million)</t>
  </si>
  <si>
    <t>Total Cash obtained after selling all of the above (In Million)</t>
  </si>
  <si>
    <t>Revenue at the end of 20th year (In Million)</t>
  </si>
  <si>
    <t>Expenses at the end of the 20th year (In Million)</t>
  </si>
  <si>
    <t>Net Profit obtained after selling the assets (In Million)</t>
  </si>
  <si>
    <t>After Tax Incrementel Cashflow for the 20th Year  (In Million)</t>
  </si>
  <si>
    <t>Research &amp; Develpoment costs (In Million)</t>
  </si>
  <si>
    <t>Advertising Costs (In Million)</t>
  </si>
  <si>
    <t>General &amp; Administrative costs (In Million)</t>
  </si>
  <si>
    <t>Working Capital (In  Million)</t>
  </si>
  <si>
    <t>Cost Saving due to the Pool (In Million)</t>
  </si>
  <si>
    <t>Total Expenses (In Million)</t>
  </si>
  <si>
    <t>Present Value (In Million)</t>
  </si>
  <si>
    <t>Net Present Value (In Million)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</si>
</sst>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00%"/>
    <numFmt numFmtId="166" formatCode="0.000000000"/>
    <numFmt numFmtId="167" formatCode="0.0000"/>
    <numFmt numFmtId="168" formatCode="&quot;₹&quot;\ #,##0.00;[Red]&quot;₹&quot;\ \-#,##0.00"/>
  </numFmts>
  <fonts count="32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Agency FB"/>
      <family val="2"/>
    </font>
    <font>
      <sz val="24"/>
      <color theme="1"/>
      <name val="Algerian"/>
      <family val="5"/>
    </font>
    <font>
      <b/>
      <sz val="18"/>
      <color theme="1"/>
      <name val="Agency FB"/>
      <family val="2"/>
    </font>
    <font>
      <sz val="16"/>
      <color theme="1"/>
      <name val="Algerian"/>
      <family val="5"/>
    </font>
    <font>
      <sz val="36"/>
      <color theme="1"/>
      <name val="Algerian"/>
      <family val="5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rgb="FF7030A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4"/>
      <color theme="1"/>
      <name val="Algerian"/>
      <family val="5"/>
    </font>
    <font>
      <sz val="12"/>
      <color theme="1"/>
      <name val="Agency FB"/>
      <family val="2"/>
    </font>
    <font>
      <b/>
      <sz val="14"/>
      <color theme="1"/>
      <name val="Agency FB"/>
      <family val="2"/>
    </font>
    <font>
      <b/>
      <sz val="24"/>
      <color theme="1"/>
      <name val="Algerian"/>
      <family val="5"/>
    </font>
    <font>
      <sz val="14"/>
      <color theme="1"/>
      <name val="Agency FB"/>
      <family val="2"/>
    </font>
    <font>
      <b/>
      <sz val="18"/>
      <color theme="1"/>
      <name val="Algerian"/>
      <family val="5"/>
    </font>
    <font>
      <b/>
      <sz val="22"/>
      <color theme="1"/>
      <name val="Algerian"/>
      <family val="5"/>
    </font>
    <font>
      <b/>
      <sz val="14"/>
      <name val="Agency FB"/>
      <family val="2"/>
    </font>
    <font>
      <b/>
      <sz val="22"/>
      <color rgb="FF002060"/>
      <name val="Algerian"/>
      <family val="5"/>
    </font>
    <font>
      <b/>
      <sz val="11"/>
      <color theme="1"/>
      <name val="Agency FB"/>
      <family val="2"/>
    </font>
    <font>
      <b/>
      <sz val="22"/>
      <color theme="1"/>
      <name val="Agency FB"/>
      <family val="2"/>
    </font>
    <font>
      <b/>
      <sz val="24"/>
      <color theme="5" tint="-0.249977111117893"/>
      <name val="Algerian\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1">
    <xf numFmtId="0" fontId="0" fillId="0" borderId="0" xfId="0"/>
    <xf numFmtId="0" fontId="1" fillId="0" borderId="0" xfId="0" applyFont="1"/>
    <xf numFmtId="0" fontId="1" fillId="0" borderId="0" xfId="0" applyNumberFormat="1" applyFont="1"/>
    <xf numFmtId="0" fontId="1" fillId="0" borderId="1" xfId="0" applyFont="1" applyBorder="1"/>
    <xf numFmtId="9" fontId="1" fillId="0" borderId="1" xfId="0" applyNumberFormat="1" applyFont="1" applyBorder="1"/>
    <xf numFmtId="2" fontId="1" fillId="0" borderId="1" xfId="0" applyNumberFormat="1" applyFont="1" applyBorder="1"/>
    <xf numFmtId="10" fontId="1" fillId="0" borderId="1" xfId="0" applyNumberFormat="1" applyFont="1" applyBorder="1"/>
    <xf numFmtId="0" fontId="1" fillId="0" borderId="0" xfId="0" applyFont="1" applyFill="1" applyBorder="1"/>
    <xf numFmtId="10" fontId="1" fillId="0" borderId="0" xfId="0" applyNumberFormat="1" applyFont="1" applyBorder="1"/>
    <xf numFmtId="0" fontId="1" fillId="0" borderId="0" xfId="0" applyFont="1" applyFill="1"/>
    <xf numFmtId="0" fontId="1" fillId="0" borderId="1" xfId="0" applyNumberFormat="1" applyFont="1" applyBorder="1"/>
    <xf numFmtId="0" fontId="2" fillId="0" borderId="0" xfId="0" applyFont="1"/>
    <xf numFmtId="0" fontId="3" fillId="0" borderId="0" xfId="0" applyFont="1"/>
    <xf numFmtId="0" fontId="1" fillId="3" borderId="1" xfId="0" applyFont="1" applyFill="1" applyBorder="1"/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0" borderId="9" xfId="0" applyFont="1" applyBorder="1"/>
    <xf numFmtId="9" fontId="1" fillId="0" borderId="10" xfId="0" applyNumberFormat="1" applyFont="1" applyBorder="1"/>
    <xf numFmtId="0" fontId="1" fillId="0" borderId="11" xfId="0" applyFont="1" applyBorder="1"/>
    <xf numFmtId="9" fontId="1" fillId="0" borderId="12" xfId="0" applyNumberFormat="1" applyFont="1" applyBorder="1"/>
    <xf numFmtId="9" fontId="1" fillId="0" borderId="13" xfId="0" applyNumberFormat="1" applyFont="1" applyBorder="1"/>
    <xf numFmtId="2" fontId="1" fillId="0" borderId="10" xfId="0" applyNumberFormat="1" applyFont="1" applyBorder="1"/>
    <xf numFmtId="2" fontId="1" fillId="0" borderId="12" xfId="0" applyNumberFormat="1" applyFont="1" applyBorder="1"/>
    <xf numFmtId="2" fontId="1" fillId="0" borderId="13" xfId="0" applyNumberFormat="1" applyFont="1" applyBorder="1"/>
    <xf numFmtId="0" fontId="1" fillId="0" borderId="14" xfId="0" applyFont="1" applyBorder="1" applyAlignment="1">
      <alignment horizontal="center" vertical="center" wrapText="1"/>
    </xf>
    <xf numFmtId="9" fontId="1" fillId="0" borderId="14" xfId="0" applyNumberFormat="1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10" xfId="0" applyFont="1" applyBorder="1"/>
    <xf numFmtId="0" fontId="1" fillId="0" borderId="13" xfId="0" applyFont="1" applyBorder="1"/>
    <xf numFmtId="0" fontId="3" fillId="0" borderId="2" xfId="0" applyFont="1" applyBorder="1"/>
    <xf numFmtId="0" fontId="1" fillId="0" borderId="19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2" fontId="1" fillId="2" borderId="10" xfId="0" applyNumberFormat="1" applyFont="1" applyFill="1" applyBorder="1"/>
    <xf numFmtId="0" fontId="1" fillId="0" borderId="12" xfId="0" applyFont="1" applyBorder="1"/>
    <xf numFmtId="2" fontId="1" fillId="2" borderId="13" xfId="0" applyNumberFormat="1" applyFont="1" applyFill="1" applyBorder="1"/>
    <xf numFmtId="0" fontId="1" fillId="3" borderId="7" xfId="0" applyNumberFormat="1" applyFont="1" applyFill="1" applyBorder="1" applyAlignment="1">
      <alignment horizontal="center" vertical="center"/>
    </xf>
    <xf numFmtId="0" fontId="1" fillId="3" borderId="8" xfId="0" applyNumberFormat="1" applyFont="1" applyFill="1" applyBorder="1" applyAlignment="1">
      <alignment horizontal="center" vertical="center"/>
    </xf>
    <xf numFmtId="0" fontId="1" fillId="0" borderId="12" xfId="0" applyNumberFormat="1" applyFont="1" applyBorder="1"/>
    <xf numFmtId="0" fontId="1" fillId="3" borderId="6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1" fillId="3" borderId="7" xfId="0" applyFont="1" applyFill="1" applyBorder="1" applyAlignment="1">
      <alignment horizontal="center" vertical="center"/>
    </xf>
    <xf numFmtId="0" fontId="1" fillId="3" borderId="7" xfId="0" applyNumberFormat="1" applyFont="1" applyFill="1" applyBorder="1" applyAlignment="1">
      <alignment horizontal="center" vertical="center" wrapText="1"/>
    </xf>
    <xf numFmtId="0" fontId="1" fillId="3" borderId="8" xfId="0" applyNumberFormat="1" applyFont="1" applyFill="1" applyBorder="1" applyAlignment="1">
      <alignment horizontal="center" vertical="center" wrapText="1"/>
    </xf>
    <xf numFmtId="0" fontId="1" fillId="3" borderId="7" xfId="0" applyNumberFormat="1" applyFont="1" applyFill="1" applyBorder="1"/>
    <xf numFmtId="0" fontId="10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/>
    </xf>
    <xf numFmtId="0" fontId="9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left"/>
    </xf>
    <xf numFmtId="0" fontId="0" fillId="4" borderId="1" xfId="0" applyFill="1" applyBorder="1" applyAlignment="1">
      <alignment horizontal="center"/>
    </xf>
    <xf numFmtId="0" fontId="14" fillId="0" borderId="0" xfId="0" applyFont="1"/>
    <xf numFmtId="0" fontId="0" fillId="0" borderId="0" xfId="0" applyFont="1"/>
    <xf numFmtId="0" fontId="15" fillId="0" borderId="0" xfId="0" applyFont="1" applyAlignment="1">
      <alignment horizontal="center" vertical="center"/>
    </xf>
    <xf numFmtId="9" fontId="0" fillId="0" borderId="0" xfId="0" applyNumberFormat="1" applyFont="1" applyAlignment="1">
      <alignment horizontal="center"/>
    </xf>
    <xf numFmtId="10" fontId="0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vertical="center"/>
    </xf>
    <xf numFmtId="164" fontId="0" fillId="0" borderId="1" xfId="0" applyNumberFormat="1" applyFont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9" fontId="0" fillId="0" borderId="1" xfId="0" applyNumberFormat="1" applyFont="1" applyBorder="1" applyAlignment="1">
      <alignment horizontal="center"/>
    </xf>
    <xf numFmtId="9" fontId="0" fillId="0" borderId="8" xfId="0" applyNumberFormat="1" applyFont="1" applyBorder="1" applyAlignment="1">
      <alignment horizontal="center"/>
    </xf>
    <xf numFmtId="9" fontId="0" fillId="0" borderId="10" xfId="0" applyNumberFormat="1" applyFont="1" applyBorder="1" applyAlignment="1">
      <alignment horizontal="center"/>
    </xf>
    <xf numFmtId="2" fontId="0" fillId="0" borderId="10" xfId="0" applyNumberFormat="1" applyFont="1" applyBorder="1" applyAlignment="1">
      <alignment horizontal="center"/>
    </xf>
    <xf numFmtId="2" fontId="0" fillId="0" borderId="13" xfId="0" applyNumberFormat="1" applyFont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164" fontId="0" fillId="0" borderId="12" xfId="0" applyNumberFormat="1" applyFont="1" applyBorder="1" applyAlignment="1">
      <alignment horizontal="center" vertical="center"/>
    </xf>
    <xf numFmtId="0" fontId="0" fillId="3" borderId="7" xfId="0" applyFont="1" applyFill="1" applyBorder="1"/>
    <xf numFmtId="164" fontId="0" fillId="0" borderId="12" xfId="0" applyNumberFormat="1" applyFont="1" applyBorder="1" applyAlignment="1">
      <alignment horizontal="center"/>
    </xf>
    <xf numFmtId="0" fontId="20" fillId="0" borderId="0" xfId="0" applyFont="1" applyAlignment="1">
      <alignment horizontal="left"/>
    </xf>
    <xf numFmtId="0" fontId="20" fillId="0" borderId="1" xfId="0" applyFont="1" applyBorder="1" applyAlignment="1">
      <alignment horizontal="left"/>
    </xf>
    <xf numFmtId="0" fontId="0" fillId="0" borderId="8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3" borderId="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10" fontId="0" fillId="0" borderId="1" xfId="0" applyNumberFormat="1" applyFont="1" applyBorder="1" applyAlignment="1">
      <alignment horizontal="center"/>
    </xf>
    <xf numFmtId="0" fontId="20" fillId="0" borderId="0" xfId="0" applyFont="1"/>
    <xf numFmtId="0" fontId="22" fillId="0" borderId="0" xfId="0" applyFont="1"/>
    <xf numFmtId="0" fontId="11" fillId="3" borderId="6" xfId="0" applyFont="1" applyFill="1" applyBorder="1" applyAlignment="1">
      <alignment horizontal="center"/>
    </xf>
    <xf numFmtId="0" fontId="23" fillId="0" borderId="0" xfId="0" applyFont="1"/>
    <xf numFmtId="0" fontId="25" fillId="0" borderId="1" xfId="0" applyFont="1" applyBorder="1" applyAlignment="1">
      <alignment horizontal="center"/>
    </xf>
    <xf numFmtId="9" fontId="13" fillId="0" borderId="1" xfId="0" applyNumberFormat="1" applyFont="1" applyBorder="1" applyAlignment="1">
      <alignment horizontal="center"/>
    </xf>
    <xf numFmtId="164" fontId="0" fillId="0" borderId="10" xfId="0" applyNumberFormat="1" applyFont="1" applyBorder="1" applyAlignment="1">
      <alignment horizontal="center"/>
    </xf>
    <xf numFmtId="9" fontId="0" fillId="3" borderId="8" xfId="0" applyNumberFormat="1" applyFont="1" applyFill="1" applyBorder="1" applyAlignment="1">
      <alignment horizontal="center"/>
    </xf>
    <xf numFmtId="0" fontId="0" fillId="0" borderId="41" xfId="0" applyFont="1" applyBorder="1"/>
    <xf numFmtId="0" fontId="0" fillId="0" borderId="16" xfId="0" applyFont="1" applyFill="1" applyBorder="1"/>
    <xf numFmtId="164" fontId="0" fillId="0" borderId="8" xfId="0" applyNumberFormat="1" applyFont="1" applyBorder="1"/>
    <xf numFmtId="164" fontId="0" fillId="0" borderId="10" xfId="0" applyNumberFormat="1" applyFont="1" applyBorder="1"/>
    <xf numFmtId="0" fontId="0" fillId="0" borderId="10" xfId="0" applyFont="1" applyBorder="1"/>
    <xf numFmtId="0" fontId="0" fillId="2" borderId="13" xfId="0" applyFont="1" applyFill="1" applyBorder="1"/>
    <xf numFmtId="164" fontId="0" fillId="2" borderId="13" xfId="0" applyNumberFormat="1" applyFont="1" applyFill="1" applyBorder="1" applyAlignment="1">
      <alignment horizontal="center"/>
    </xf>
    <xf numFmtId="0" fontId="0" fillId="0" borderId="16" xfId="0" applyFont="1" applyBorder="1"/>
    <xf numFmtId="0" fontId="0" fillId="4" borderId="6" xfId="0" applyFont="1" applyFill="1" applyBorder="1" applyAlignment="1">
      <alignment horizontal="center"/>
    </xf>
    <xf numFmtId="0" fontId="0" fillId="4" borderId="7" xfId="0" applyFont="1" applyFill="1" applyBorder="1" applyAlignment="1">
      <alignment horizontal="center"/>
    </xf>
    <xf numFmtId="0" fontId="0" fillId="0" borderId="12" xfId="0" applyFont="1" applyBorder="1" applyAlignment="1">
      <alignment horizontal="center"/>
    </xf>
    <xf numFmtId="165" fontId="0" fillId="0" borderId="8" xfId="0" applyNumberFormat="1" applyFont="1" applyBorder="1" applyAlignment="1">
      <alignment horizontal="center"/>
    </xf>
    <xf numFmtId="164" fontId="0" fillId="0" borderId="13" xfId="0" applyNumberFormat="1" applyFont="1" applyBorder="1" applyAlignment="1">
      <alignment horizontal="center"/>
    </xf>
    <xf numFmtId="0" fontId="27" fillId="0" borderId="0" xfId="0" applyFont="1" applyAlignment="1"/>
    <xf numFmtId="0" fontId="27" fillId="0" borderId="15" xfId="0" applyFont="1" applyBorder="1" applyAlignment="1"/>
    <xf numFmtId="0" fontId="27" fillId="0" borderId="25" xfId="0" applyFont="1" applyBorder="1" applyAlignment="1"/>
    <xf numFmtId="0" fontId="27" fillId="0" borderId="16" xfId="0" applyFont="1" applyBorder="1" applyAlignment="1"/>
    <xf numFmtId="0" fontId="0" fillId="4" borderId="1" xfId="0" applyFill="1" applyBorder="1"/>
    <xf numFmtId="9" fontId="0" fillId="0" borderId="0" xfId="0" applyNumberFormat="1"/>
    <xf numFmtId="168" fontId="0" fillId="0" borderId="0" xfId="0" applyNumberFormat="1"/>
    <xf numFmtId="167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0" fillId="3" borderId="8" xfId="0" applyNumberFormat="1" applyFill="1" applyBorder="1" applyAlignment="1">
      <alignment horizontal="center"/>
    </xf>
    <xf numFmtId="0" fontId="0" fillId="0" borderId="41" xfId="0" applyBorder="1" applyAlignment="1">
      <alignment horizontal="center" vertical="center"/>
    </xf>
    <xf numFmtId="164" fontId="0" fillId="0" borderId="19" xfId="0" applyNumberFormat="1" applyFill="1" applyBorder="1" applyAlignment="1">
      <alignment horizontal="center" vertical="center"/>
    </xf>
    <xf numFmtId="164" fontId="0" fillId="0" borderId="4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2" borderId="13" xfId="0" applyNumberFormat="1" applyFill="1" applyBorder="1" applyAlignment="1">
      <alignment horizontal="center" vertical="center"/>
    </xf>
    <xf numFmtId="0" fontId="18" fillId="0" borderId="0" xfId="0" applyFont="1" applyAlignment="1">
      <alignment horizontal="left"/>
    </xf>
    <xf numFmtId="164" fontId="0" fillId="2" borderId="1" xfId="0" applyNumberFormat="1" applyFill="1" applyBorder="1" applyAlignment="1">
      <alignment horizontal="left"/>
    </xf>
    <xf numFmtId="0" fontId="30" fillId="2" borderId="19" xfId="0" applyFont="1" applyFill="1" applyBorder="1" applyAlignment="1">
      <alignment horizontal="center"/>
    </xf>
    <xf numFmtId="165" fontId="0" fillId="0" borderId="8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64" fontId="0" fillId="0" borderId="13" xfId="0" applyNumberFormat="1" applyFill="1" applyBorder="1" applyAlignment="1">
      <alignment horizontal="center"/>
    </xf>
    <xf numFmtId="0" fontId="27" fillId="0" borderId="0" xfId="0" applyFont="1" applyBorder="1" applyAlignment="1"/>
    <xf numFmtId="165" fontId="31" fillId="2" borderId="19" xfId="0" applyNumberFormat="1" applyFont="1" applyFill="1" applyBorder="1" applyAlignment="1">
      <alignment horizontal="center"/>
    </xf>
    <xf numFmtId="10" fontId="5" fillId="0" borderId="1" xfId="0" applyNumberFormat="1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7" fillId="5" borderId="0" xfId="0" applyFont="1" applyFill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0" fillId="0" borderId="26" xfId="0" applyFont="1" applyBorder="1" applyAlignment="1">
      <alignment horizontal="center" wrapText="1"/>
    </xf>
    <xf numFmtId="0" fontId="0" fillId="0" borderId="27" xfId="0" applyFont="1" applyBorder="1" applyAlignment="1">
      <alignment horizontal="center" wrapText="1"/>
    </xf>
    <xf numFmtId="0" fontId="0" fillId="0" borderId="28" xfId="0" applyFont="1" applyBorder="1" applyAlignment="1">
      <alignment horizontal="center" wrapText="1"/>
    </xf>
    <xf numFmtId="0" fontId="0" fillId="0" borderId="29" xfId="0" applyFont="1" applyBorder="1" applyAlignment="1">
      <alignment horizontal="center" wrapText="1"/>
    </xf>
    <xf numFmtId="0" fontId="0" fillId="0" borderId="0" xfId="0" applyFont="1" applyBorder="1" applyAlignment="1">
      <alignment horizontal="center" wrapText="1"/>
    </xf>
    <xf numFmtId="0" fontId="0" fillId="0" borderId="30" xfId="0" applyFont="1" applyBorder="1" applyAlignment="1">
      <alignment horizontal="center" wrapText="1"/>
    </xf>
    <xf numFmtId="0" fontId="0" fillId="0" borderId="31" xfId="0" applyFont="1" applyBorder="1" applyAlignment="1">
      <alignment horizontal="center" wrapText="1"/>
    </xf>
    <xf numFmtId="0" fontId="0" fillId="0" borderId="32" xfId="0" applyFont="1" applyBorder="1" applyAlignment="1">
      <alignment horizontal="center" wrapText="1"/>
    </xf>
    <xf numFmtId="0" fontId="0" fillId="0" borderId="33" xfId="0" applyFont="1" applyBorder="1" applyAlignment="1">
      <alignment horizontal="center" wrapText="1"/>
    </xf>
    <xf numFmtId="0" fontId="11" fillId="0" borderId="2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166" fontId="0" fillId="0" borderId="12" xfId="0" applyNumberFormat="1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16" fillId="0" borderId="17" xfId="0" applyFont="1" applyFill="1" applyBorder="1" applyAlignment="1">
      <alignment horizontal="center"/>
    </xf>
    <xf numFmtId="0" fontId="16" fillId="0" borderId="18" xfId="0" applyFont="1" applyFill="1" applyBorder="1" applyAlignment="1">
      <alignment horizontal="center"/>
    </xf>
    <xf numFmtId="165" fontId="17" fillId="2" borderId="18" xfId="0" applyNumberFormat="1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/>
    </xf>
    <xf numFmtId="0" fontId="0" fillId="0" borderId="23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6" fontId="0" fillId="0" borderId="1" xfId="0" applyNumberFormat="1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4" borderId="7" xfId="0" applyFont="1" applyFill="1" applyBorder="1" applyAlignment="1">
      <alignment horizontal="center"/>
    </xf>
    <xf numFmtId="0" fontId="0" fillId="4" borderId="8" xfId="0" applyFont="1" applyFill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1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2" fontId="0" fillId="0" borderId="12" xfId="0" applyNumberFormat="1" applyFont="1" applyBorder="1" applyAlignment="1">
      <alignment horizontal="center"/>
    </xf>
    <xf numFmtId="2" fontId="0" fillId="0" borderId="13" xfId="0" applyNumberFormat="1" applyFont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2" fontId="0" fillId="0" borderId="10" xfId="0" applyNumberFormat="1" applyFont="1" applyBorder="1" applyAlignment="1">
      <alignment horizontal="center"/>
    </xf>
    <xf numFmtId="0" fontId="0" fillId="0" borderId="9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8" fillId="0" borderId="11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/>
    </xf>
    <xf numFmtId="0" fontId="27" fillId="0" borderId="15" xfId="0" applyFont="1" applyBorder="1" applyAlignment="1">
      <alignment horizontal="left"/>
    </xf>
    <xf numFmtId="0" fontId="27" fillId="0" borderId="25" xfId="0" applyFont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0" fontId="0" fillId="0" borderId="12" xfId="0" applyFont="1" applyFill="1" applyBorder="1" applyAlignment="1">
      <alignment horizontal="left"/>
    </xf>
    <xf numFmtId="0" fontId="0" fillId="0" borderId="6" xfId="0" applyFont="1" applyBorder="1" applyAlignment="1">
      <alignment horizontal="left"/>
    </xf>
    <xf numFmtId="0" fontId="0" fillId="0" borderId="7" xfId="0" applyFont="1" applyBorder="1" applyAlignment="1">
      <alignment horizontal="left"/>
    </xf>
    <xf numFmtId="0" fontId="0" fillId="0" borderId="11" xfId="0" applyFont="1" applyBorder="1" applyAlignment="1">
      <alignment horizontal="left"/>
    </xf>
    <xf numFmtId="0" fontId="0" fillId="0" borderId="12" xfId="0" applyFont="1" applyBorder="1" applyAlignment="1">
      <alignment horizontal="left"/>
    </xf>
    <xf numFmtId="0" fontId="0" fillId="0" borderId="39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15" xfId="0" applyFont="1" applyFill="1" applyBorder="1" applyAlignment="1">
      <alignment horizontal="left"/>
    </xf>
    <xf numFmtId="0" fontId="0" fillId="0" borderId="25" xfId="0" applyFont="1" applyFill="1" applyBorder="1" applyAlignment="1">
      <alignment horizontal="left"/>
    </xf>
    <xf numFmtId="0" fontId="2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0" fillId="3" borderId="6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164" fontId="0" fillId="0" borderId="12" xfId="0" applyNumberFormat="1" applyFont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164" fontId="0" fillId="0" borderId="20" xfId="0" applyNumberFormat="1" applyFont="1" applyBorder="1" applyAlignment="1">
      <alignment horizontal="center"/>
    </xf>
    <xf numFmtId="164" fontId="0" fillId="0" borderId="24" xfId="0" applyNumberFormat="1" applyFont="1" applyBorder="1" applyAlignment="1">
      <alignment horizontal="center"/>
    </xf>
    <xf numFmtId="164" fontId="0" fillId="0" borderId="37" xfId="0" applyNumberFormat="1" applyFont="1" applyBorder="1" applyAlignment="1">
      <alignment horizontal="center"/>
    </xf>
    <xf numFmtId="164" fontId="0" fillId="0" borderId="38" xfId="0" applyNumberFormat="1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4" fillId="0" borderId="16" xfId="0" applyFont="1" applyBorder="1" applyAlignment="1">
      <alignment horizontal="center"/>
    </xf>
    <xf numFmtId="164" fontId="0" fillId="0" borderId="10" xfId="0" applyNumberFormat="1" applyFont="1" applyBorder="1" applyAlignment="1">
      <alignment horizontal="center"/>
    </xf>
    <xf numFmtId="164" fontId="0" fillId="0" borderId="13" xfId="0" applyNumberFormat="1" applyFont="1" applyBorder="1" applyAlignment="1">
      <alignment horizontal="center"/>
    </xf>
    <xf numFmtId="0" fontId="0" fillId="3" borderId="34" xfId="0" applyFont="1" applyFill="1" applyBorder="1" applyAlignment="1">
      <alignment horizontal="center"/>
    </xf>
    <xf numFmtId="0" fontId="0" fillId="3" borderId="36" xfId="0" applyFont="1" applyFill="1" applyBorder="1" applyAlignment="1">
      <alignment horizontal="center"/>
    </xf>
    <xf numFmtId="0" fontId="0" fillId="3" borderId="35" xfId="0" applyFont="1" applyFill="1" applyBorder="1" applyAlignment="1">
      <alignment horizontal="center"/>
    </xf>
    <xf numFmtId="164" fontId="0" fillId="0" borderId="21" xfId="0" applyNumberFormat="1" applyFont="1" applyBorder="1" applyAlignment="1">
      <alignment horizontal="center"/>
    </xf>
    <xf numFmtId="0" fontId="20" fillId="0" borderId="0" xfId="0" applyFont="1" applyAlignment="1">
      <alignment horizontal="left"/>
    </xf>
    <xf numFmtId="0" fontId="11" fillId="0" borderId="1" xfId="0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64" fontId="0" fillId="0" borderId="22" xfId="0" applyNumberFormat="1" applyFont="1" applyBorder="1" applyAlignment="1">
      <alignment horizontal="center"/>
    </xf>
    <xf numFmtId="164" fontId="0" fillId="2" borderId="20" xfId="0" applyNumberFormat="1" applyFont="1" applyFill="1" applyBorder="1" applyAlignment="1">
      <alignment horizontal="center"/>
    </xf>
    <xf numFmtId="164" fontId="0" fillId="2" borderId="21" xfId="0" applyNumberFormat="1" applyFont="1" applyFill="1" applyBorder="1" applyAlignment="1">
      <alignment horizontal="center"/>
    </xf>
    <xf numFmtId="164" fontId="0" fillId="2" borderId="22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11" fillId="0" borderId="9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0" fillId="0" borderId="12" xfId="0" applyFont="1" applyBorder="1" applyAlignment="1">
      <alignment horizontal="left"/>
    </xf>
    <xf numFmtId="0" fontId="21" fillId="0" borderId="15" xfId="0" applyFont="1" applyBorder="1" applyAlignment="1">
      <alignment horizontal="left"/>
    </xf>
    <xf numFmtId="0" fontId="21" fillId="0" borderId="25" xfId="0" applyFont="1" applyBorder="1" applyAlignment="1">
      <alignment horizontal="left"/>
    </xf>
    <xf numFmtId="0" fontId="21" fillId="0" borderId="16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20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25" xfId="0" applyFont="1" applyBorder="1" applyAlignment="1">
      <alignment horizontal="center"/>
    </xf>
    <xf numFmtId="0" fontId="20" fillId="0" borderId="1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164" fontId="0" fillId="0" borderId="12" xfId="0" applyNumberFormat="1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10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1" fillId="5" borderId="0" xfId="0" applyFont="1" applyFill="1" applyAlignment="1">
      <alignment horizontal="center" vertical="center"/>
    </xf>
    <xf numFmtId="0" fontId="21" fillId="0" borderId="15" xfId="0" applyFont="1" applyBorder="1" applyAlignment="1">
      <alignment horizontal="center"/>
    </xf>
    <xf numFmtId="0" fontId="21" fillId="0" borderId="25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" xfId="0" applyBorder="1" applyAlignment="1">
      <alignment horizontal="center"/>
    </xf>
    <xf numFmtId="0" fontId="31" fillId="0" borderId="17" xfId="0" applyFont="1" applyFill="1" applyBorder="1" applyAlignment="1">
      <alignment horizontal="center"/>
    </xf>
    <xf numFmtId="0" fontId="31" fillId="0" borderId="18" xfId="0" applyFont="1" applyFill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27" fillId="0" borderId="25" xfId="0" applyFont="1" applyBorder="1" applyAlignment="1">
      <alignment horizontal="center"/>
    </xf>
    <xf numFmtId="0" fontId="27" fillId="0" borderId="16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30" fillId="0" borderId="17" xfId="0" applyFont="1" applyFill="1" applyBorder="1" applyAlignment="1">
      <alignment horizontal="center"/>
    </xf>
    <xf numFmtId="0" fontId="30" fillId="0" borderId="18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0" xfId="0" applyFill="1" applyBorder="1" applyAlignment="1">
      <alignment horizontal="left"/>
    </xf>
    <xf numFmtId="0" fontId="0" fillId="0" borderId="21" xfId="0" applyFill="1" applyBorder="1" applyAlignment="1">
      <alignment horizontal="left"/>
    </xf>
    <xf numFmtId="0" fontId="0" fillId="0" borderId="22" xfId="0" applyFill="1" applyBorder="1" applyAlignment="1">
      <alignment horizontal="left"/>
    </xf>
    <xf numFmtId="0" fontId="8" fillId="0" borderId="0" xfId="0" applyFont="1" applyAlignment="1">
      <alignment horizontal="left"/>
    </xf>
    <xf numFmtId="0" fontId="0" fillId="0" borderId="9" xfId="0" applyBorder="1" applyAlignment="1">
      <alignment horizontal="left"/>
    </xf>
    <xf numFmtId="0" fontId="0" fillId="0" borderId="11" xfId="0" applyFill="1" applyBorder="1" applyAlignment="1">
      <alignment horizontal="left"/>
    </xf>
    <xf numFmtId="0" fontId="0" fillId="0" borderId="12" xfId="0" applyFill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7" xfId="0" applyFill="1" applyBorder="1" applyAlignment="1">
      <alignment horizontal="left"/>
    </xf>
    <xf numFmtId="0" fontId="0" fillId="0" borderId="18" xfId="0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21" fillId="5" borderId="0" xfId="0" applyFont="1" applyFill="1" applyAlignment="1">
      <alignment horizontal="center"/>
    </xf>
    <xf numFmtId="0" fontId="29" fillId="5" borderId="0" xfId="0" applyFont="1" applyFill="1" applyAlignment="1">
      <alignment horizontal="center"/>
    </xf>
    <xf numFmtId="0" fontId="22" fillId="0" borderId="0" xfId="0" applyFont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3CE40-B590-49E2-8040-25217474E06A}">
  <dimension ref="A1:L218"/>
  <sheetViews>
    <sheetView topLeftCell="A185" zoomScale="107" zoomScaleNormal="85" workbookViewId="0">
      <selection activeCell="B190" sqref="B190:C201"/>
    </sheetView>
  </sheetViews>
  <sheetFormatPr defaultRowHeight="12"/>
  <cols>
    <col min="1" max="1" width="8.7265625" style="1"/>
    <col min="2" max="2" width="16.08984375" style="1" customWidth="1"/>
    <col min="3" max="3" width="21.1796875" style="1" bestFit="1" customWidth="1"/>
    <col min="4" max="4" width="20" style="1" bestFit="1" customWidth="1"/>
    <col min="5" max="5" width="14" style="2" customWidth="1"/>
    <col min="6" max="6" width="19.54296875" style="1" customWidth="1"/>
    <col min="7" max="7" width="8.7265625" style="1"/>
    <col min="8" max="8" width="7.1796875" style="1" customWidth="1"/>
    <col min="9" max="9" width="11.7265625" style="1" customWidth="1"/>
    <col min="10" max="10" width="10.90625" style="1" customWidth="1"/>
    <col min="11" max="11" width="8.90625" style="1" bestFit="1" customWidth="1"/>
    <col min="12" max="12" width="11.26953125" style="1" bestFit="1" customWidth="1"/>
    <col min="13" max="16384" width="8.7265625" style="1"/>
  </cols>
  <sheetData>
    <row r="1" spans="1:9" ht="51.5">
      <c r="B1" s="141" t="s">
        <v>72</v>
      </c>
      <c r="C1" s="141"/>
      <c r="D1" s="141"/>
      <c r="E1" s="141"/>
      <c r="F1" s="141"/>
      <c r="G1" s="141"/>
      <c r="H1" s="141"/>
      <c r="I1" s="141"/>
    </row>
    <row r="5" spans="1:9" ht="34">
      <c r="A5" s="147" t="s">
        <v>71</v>
      </c>
      <c r="B5" s="147"/>
    </row>
    <row r="7" spans="1:9" ht="12.5" thickBot="1"/>
    <row r="8" spans="1:9" ht="24">
      <c r="B8" s="14" t="s">
        <v>8</v>
      </c>
      <c r="C8" s="15" t="s">
        <v>0</v>
      </c>
      <c r="D8" s="16" t="s">
        <v>1</v>
      </c>
      <c r="E8" s="1"/>
    </row>
    <row r="9" spans="1:9">
      <c r="B9" s="17" t="s">
        <v>9</v>
      </c>
      <c r="C9" s="4">
        <v>0.05</v>
      </c>
      <c r="D9" s="18">
        <v>0.05</v>
      </c>
      <c r="E9" s="1"/>
    </row>
    <row r="10" spans="1:9" ht="12.5" thickBot="1">
      <c r="B10" s="19" t="s">
        <v>4</v>
      </c>
      <c r="C10" s="20">
        <v>0.08</v>
      </c>
      <c r="D10" s="21">
        <v>0.1</v>
      </c>
      <c r="E10" s="1"/>
    </row>
    <row r="11" spans="1:9" ht="12.5" thickBot="1">
      <c r="E11" s="1"/>
    </row>
    <row r="12" spans="1:9">
      <c r="B12" s="14" t="s">
        <v>2</v>
      </c>
      <c r="C12" s="15" t="s">
        <v>6</v>
      </c>
      <c r="D12" s="16" t="s">
        <v>5</v>
      </c>
      <c r="E12" s="1"/>
    </row>
    <row r="13" spans="1:9">
      <c r="B13" s="17" t="s">
        <v>3</v>
      </c>
      <c r="C13" s="5">
        <v>45</v>
      </c>
      <c r="D13" s="22">
        <f>C13*(1+C9)^2</f>
        <v>49.612500000000004</v>
      </c>
      <c r="E13" s="1"/>
    </row>
    <row r="14" spans="1:9" ht="12.5" thickBot="1">
      <c r="B14" s="19" t="s">
        <v>4</v>
      </c>
      <c r="C14" s="23">
        <v>30</v>
      </c>
      <c r="D14" s="24">
        <f>C14*(1+C10)^2</f>
        <v>34.992000000000004</v>
      </c>
      <c r="E14" s="1"/>
    </row>
    <row r="15" spans="1:9">
      <c r="E15" s="1"/>
    </row>
    <row r="16" spans="1:9">
      <c r="B16" s="13" t="s">
        <v>7</v>
      </c>
      <c r="C16" s="6">
        <v>1.4999999999999999E-2</v>
      </c>
      <c r="E16" s="1"/>
    </row>
    <row r="17" spans="2:12">
      <c r="B17" s="7"/>
      <c r="C17" s="8"/>
      <c r="E17" s="1"/>
    </row>
    <row r="18" spans="2:12">
      <c r="B18" s="7"/>
      <c r="C18" s="8"/>
      <c r="E18" s="1"/>
    </row>
    <row r="19" spans="2:12">
      <c r="B19" s="7"/>
      <c r="C19" s="8"/>
      <c r="E19" s="1"/>
    </row>
    <row r="20" spans="2:12" ht="25" customHeight="1">
      <c r="B20" s="7"/>
      <c r="C20" s="134" t="s">
        <v>49</v>
      </c>
      <c r="D20" s="134"/>
      <c r="E20" s="1"/>
      <c r="I20" s="148" t="s">
        <v>4</v>
      </c>
      <c r="J20" s="148"/>
    </row>
    <row r="21" spans="2:12">
      <c r="C21" s="134"/>
      <c r="D21" s="134"/>
      <c r="E21" s="1"/>
      <c r="I21" s="148"/>
      <c r="J21" s="148"/>
    </row>
    <row r="22" spans="2:12" ht="12.5" thickBot="1">
      <c r="C22" s="9"/>
      <c r="E22" s="1"/>
    </row>
    <row r="23" spans="2:12" ht="24">
      <c r="B23" s="14" t="s">
        <v>10</v>
      </c>
      <c r="C23" s="15" t="s">
        <v>12</v>
      </c>
      <c r="D23" s="15" t="s">
        <v>11</v>
      </c>
      <c r="E23" s="15" t="s">
        <v>14</v>
      </c>
      <c r="F23" s="16" t="s">
        <v>13</v>
      </c>
      <c r="H23" s="14" t="s">
        <v>10</v>
      </c>
      <c r="I23" s="15" t="s">
        <v>12</v>
      </c>
      <c r="J23" s="15" t="s">
        <v>11</v>
      </c>
      <c r="K23" s="15" t="s">
        <v>14</v>
      </c>
      <c r="L23" s="16" t="s">
        <v>13</v>
      </c>
    </row>
    <row r="24" spans="2:12">
      <c r="B24" s="17">
        <v>2022</v>
      </c>
      <c r="C24" s="5">
        <f>D13</f>
        <v>49.612500000000004</v>
      </c>
      <c r="D24" s="5">
        <v>100</v>
      </c>
      <c r="E24" s="5">
        <v>-36</v>
      </c>
      <c r="F24" s="22">
        <f t="shared" ref="F24:F34" si="0">C24*(D24+E24)</f>
        <v>3175.2000000000003</v>
      </c>
      <c r="H24" s="17">
        <v>2022</v>
      </c>
      <c r="I24" s="5">
        <f>D14</f>
        <v>34.992000000000004</v>
      </c>
      <c r="J24" s="5">
        <v>100</v>
      </c>
      <c r="K24" s="5">
        <v>-48</v>
      </c>
      <c r="L24" s="22">
        <f t="shared" ref="L24:L34" si="1">I24*(J24+K24)</f>
        <v>1819.5840000000003</v>
      </c>
    </row>
    <row r="25" spans="2:12">
      <c r="B25" s="17">
        <v>2023</v>
      </c>
      <c r="C25" s="5">
        <f t="shared" ref="C25:C34" si="2">C24*(1+$C$9)</f>
        <v>52.093125000000008</v>
      </c>
      <c r="D25" s="5">
        <f t="shared" ref="D25:D34" si="3">D24*(1+$C$16)</f>
        <v>101.49999999999999</v>
      </c>
      <c r="E25" s="5">
        <f t="shared" ref="E25:E34" si="4">E24*(1+$C$16)</f>
        <v>-36.54</v>
      </c>
      <c r="F25" s="22">
        <f t="shared" si="0"/>
        <v>3383.9693999999995</v>
      </c>
      <c r="H25" s="17">
        <v>2023</v>
      </c>
      <c r="I25" s="5">
        <f t="shared" ref="I25:I34" si="5">I24*(1+$D$10)</f>
        <v>38.491200000000006</v>
      </c>
      <c r="J25" s="5">
        <f t="shared" ref="J25:J34" si="6">J24*(1+$C$16)</f>
        <v>101.49999999999999</v>
      </c>
      <c r="K25" s="5">
        <f t="shared" ref="K25:K34" si="7">K24*(1+$C$16)</f>
        <v>-48.72</v>
      </c>
      <c r="L25" s="22">
        <f t="shared" si="1"/>
        <v>2031.5655359999998</v>
      </c>
    </row>
    <row r="26" spans="2:12">
      <c r="B26" s="17">
        <v>2024</v>
      </c>
      <c r="C26" s="5">
        <f t="shared" si="2"/>
        <v>54.697781250000013</v>
      </c>
      <c r="D26" s="5">
        <f t="shared" si="3"/>
        <v>103.02249999999998</v>
      </c>
      <c r="E26" s="5">
        <f t="shared" si="4"/>
        <v>-37.088099999999997</v>
      </c>
      <c r="F26" s="22">
        <f t="shared" si="0"/>
        <v>3606.46538805</v>
      </c>
      <c r="H26" s="17">
        <v>2024</v>
      </c>
      <c r="I26" s="5">
        <f t="shared" si="5"/>
        <v>42.340320000000013</v>
      </c>
      <c r="J26" s="5">
        <f t="shared" si="6"/>
        <v>103.02249999999998</v>
      </c>
      <c r="K26" s="5">
        <f t="shared" si="7"/>
        <v>-49.450799999999994</v>
      </c>
      <c r="L26" s="22">
        <f t="shared" si="1"/>
        <v>2268.2429209440002</v>
      </c>
    </row>
    <row r="27" spans="2:12">
      <c r="B27" s="17">
        <v>2025</v>
      </c>
      <c r="C27" s="5">
        <f t="shared" si="2"/>
        <v>57.432670312500015</v>
      </c>
      <c r="D27" s="5">
        <f t="shared" si="3"/>
        <v>104.56783749999997</v>
      </c>
      <c r="E27" s="5">
        <f t="shared" si="4"/>
        <v>-37.644421499999993</v>
      </c>
      <c r="F27" s="22">
        <f t="shared" si="0"/>
        <v>3843.5904873142872</v>
      </c>
      <c r="H27" s="17">
        <v>2025</v>
      </c>
      <c r="I27" s="5">
        <f t="shared" si="5"/>
        <v>46.574352000000019</v>
      </c>
      <c r="J27" s="5">
        <f t="shared" si="6"/>
        <v>104.56783749999997</v>
      </c>
      <c r="K27" s="5">
        <f t="shared" si="7"/>
        <v>-50.192561999999988</v>
      </c>
      <c r="L27" s="22">
        <f t="shared" si="1"/>
        <v>2532.4932212339759</v>
      </c>
    </row>
    <row r="28" spans="2:12">
      <c r="B28" s="17">
        <v>2026</v>
      </c>
      <c r="C28" s="5">
        <f t="shared" si="2"/>
        <v>60.304303828125022</v>
      </c>
      <c r="D28" s="5">
        <f t="shared" si="3"/>
        <v>106.13635506249996</v>
      </c>
      <c r="E28" s="5">
        <f t="shared" si="4"/>
        <v>-38.209087822499988</v>
      </c>
      <c r="F28" s="22">
        <f t="shared" si="0"/>
        <v>4096.3065618552009</v>
      </c>
      <c r="H28" s="17">
        <v>2026</v>
      </c>
      <c r="I28" s="5">
        <f t="shared" si="5"/>
        <v>51.231787200000028</v>
      </c>
      <c r="J28" s="5">
        <f t="shared" si="6"/>
        <v>106.13635506249996</v>
      </c>
      <c r="K28" s="5">
        <f t="shared" si="7"/>
        <v>-50.94545042999998</v>
      </c>
      <c r="L28" s="22">
        <f t="shared" si="1"/>
        <v>2827.5286815077347</v>
      </c>
    </row>
    <row r="29" spans="2:12">
      <c r="B29" s="17">
        <v>2027</v>
      </c>
      <c r="C29" s="5">
        <f t="shared" si="2"/>
        <v>63.319519019531278</v>
      </c>
      <c r="D29" s="5">
        <f t="shared" si="3"/>
        <v>107.72840038843745</v>
      </c>
      <c r="E29" s="5">
        <f t="shared" si="4"/>
        <v>-38.782224139837481</v>
      </c>
      <c r="F29" s="22">
        <f t="shared" si="0"/>
        <v>4365.6387182971812</v>
      </c>
      <c r="H29" s="17">
        <v>2027</v>
      </c>
      <c r="I29" s="5">
        <f t="shared" si="5"/>
        <v>56.354965920000033</v>
      </c>
      <c r="J29" s="5">
        <f t="shared" si="6"/>
        <v>107.72840038843745</v>
      </c>
      <c r="K29" s="5">
        <f t="shared" si="7"/>
        <v>-51.709632186449973</v>
      </c>
      <c r="L29" s="22">
        <f t="shared" si="1"/>
        <v>3156.9357729033859</v>
      </c>
    </row>
    <row r="30" spans="2:12">
      <c r="B30" s="17">
        <v>2028</v>
      </c>
      <c r="C30" s="5">
        <f t="shared" si="2"/>
        <v>66.485494970507844</v>
      </c>
      <c r="D30" s="5">
        <f t="shared" si="3"/>
        <v>109.344326394264</v>
      </c>
      <c r="E30" s="5">
        <f t="shared" si="4"/>
        <v>-39.36395750193504</v>
      </c>
      <c r="F30" s="22">
        <f t="shared" si="0"/>
        <v>4652.6794640252201</v>
      </c>
      <c r="H30" s="17">
        <v>2028</v>
      </c>
      <c r="I30" s="5">
        <f t="shared" si="5"/>
        <v>61.990462512000043</v>
      </c>
      <c r="J30" s="5">
        <f t="shared" si="6"/>
        <v>109.344326394264</v>
      </c>
      <c r="K30" s="5">
        <f t="shared" si="7"/>
        <v>-52.485276669246716</v>
      </c>
      <c r="L30" s="22">
        <f t="shared" si="1"/>
        <v>3524.7187904466305</v>
      </c>
    </row>
    <row r="31" spans="2:12">
      <c r="B31" s="17">
        <v>2029</v>
      </c>
      <c r="C31" s="5">
        <f t="shared" si="2"/>
        <v>69.809769719033241</v>
      </c>
      <c r="D31" s="5">
        <f t="shared" si="3"/>
        <v>110.98449129017796</v>
      </c>
      <c r="E31" s="5">
        <f t="shared" si="4"/>
        <v>-39.954416864464065</v>
      </c>
      <c r="F31" s="22">
        <f t="shared" si="0"/>
        <v>4958.5931387848786</v>
      </c>
      <c r="H31" s="17">
        <v>2029</v>
      </c>
      <c r="I31" s="5">
        <f t="shared" si="5"/>
        <v>68.189508763200052</v>
      </c>
      <c r="J31" s="5">
        <f t="shared" si="6"/>
        <v>110.98449129017796</v>
      </c>
      <c r="K31" s="5">
        <f t="shared" si="7"/>
        <v>-53.272555819285408</v>
      </c>
      <c r="L31" s="22">
        <f t="shared" si="1"/>
        <v>3935.3485295336632</v>
      </c>
    </row>
    <row r="32" spans="2:12">
      <c r="B32" s="17">
        <v>2030</v>
      </c>
      <c r="C32" s="5">
        <f t="shared" si="2"/>
        <v>73.3002582049849</v>
      </c>
      <c r="D32" s="5">
        <f t="shared" si="3"/>
        <v>112.64925865953062</v>
      </c>
      <c r="E32" s="5">
        <f t="shared" si="4"/>
        <v>-40.553733117431022</v>
      </c>
      <c r="F32" s="22">
        <f t="shared" si="0"/>
        <v>5284.6206376599839</v>
      </c>
      <c r="H32" s="17">
        <v>2030</v>
      </c>
      <c r="I32" s="5">
        <f t="shared" si="5"/>
        <v>75.008459639520069</v>
      </c>
      <c r="J32" s="5">
        <f t="shared" si="6"/>
        <v>112.64925865953062</v>
      </c>
      <c r="K32" s="5">
        <f t="shared" si="7"/>
        <v>-54.071644156574685</v>
      </c>
      <c r="L32" s="22">
        <f t="shared" si="1"/>
        <v>4393.8166332243354</v>
      </c>
    </row>
    <row r="33" spans="2:12">
      <c r="B33" s="17">
        <v>2031</v>
      </c>
      <c r="C33" s="5">
        <f t="shared" si="2"/>
        <v>76.965271115234145</v>
      </c>
      <c r="D33" s="5">
        <f t="shared" si="3"/>
        <v>114.33899753942356</v>
      </c>
      <c r="E33" s="5">
        <f t="shared" si="4"/>
        <v>-41.162039114192481</v>
      </c>
      <c r="F33" s="22">
        <f t="shared" si="0"/>
        <v>5632.0844445861276</v>
      </c>
      <c r="H33" s="17">
        <v>2031</v>
      </c>
      <c r="I33" s="5">
        <f t="shared" si="5"/>
        <v>82.509305603472086</v>
      </c>
      <c r="J33" s="5">
        <f t="shared" si="6"/>
        <v>114.33899753942356</v>
      </c>
      <c r="K33" s="5">
        <f t="shared" si="7"/>
        <v>-54.882718818923301</v>
      </c>
      <c r="L33" s="22">
        <f t="shared" si="1"/>
        <v>4905.6962709949703</v>
      </c>
    </row>
    <row r="34" spans="2:12" ht="12.5" thickBot="1">
      <c r="B34" s="19">
        <v>2032</v>
      </c>
      <c r="C34" s="23">
        <f t="shared" si="2"/>
        <v>80.81353467099585</v>
      </c>
      <c r="D34" s="23">
        <f t="shared" si="3"/>
        <v>116.0540825025149</v>
      </c>
      <c r="E34" s="23">
        <f t="shared" si="4"/>
        <v>-41.779469700905366</v>
      </c>
      <c r="F34" s="24">
        <f t="shared" si="0"/>
        <v>6002.3939968176646</v>
      </c>
      <c r="H34" s="19">
        <v>2032</v>
      </c>
      <c r="I34" s="23">
        <f t="shared" si="5"/>
        <v>90.7602361638193</v>
      </c>
      <c r="J34" s="23">
        <f t="shared" si="6"/>
        <v>116.0540825025149</v>
      </c>
      <c r="K34" s="23">
        <f t="shared" si="7"/>
        <v>-55.705959601207148</v>
      </c>
      <c r="L34" s="24">
        <f t="shared" si="1"/>
        <v>5477.2098865658836</v>
      </c>
    </row>
    <row r="35" spans="2:12">
      <c r="E35" s="1"/>
    </row>
    <row r="36" spans="2:12" ht="12.5" thickBot="1">
      <c r="E36" s="1"/>
    </row>
    <row r="37" spans="2:12" ht="17.5" thickBot="1">
      <c r="B37" s="142" t="s">
        <v>15</v>
      </c>
      <c r="C37" s="143"/>
      <c r="E37" s="1"/>
    </row>
    <row r="38" spans="2:12" ht="24">
      <c r="B38" s="25" t="s">
        <v>50</v>
      </c>
      <c r="C38" s="26">
        <v>0.08</v>
      </c>
      <c r="E38" s="1"/>
    </row>
    <row r="39" spans="2:12" ht="12.5" thickBot="1">
      <c r="E39" s="1"/>
    </row>
    <row r="40" spans="2:12">
      <c r="B40" s="14" t="s">
        <v>10</v>
      </c>
      <c r="C40" s="15" t="s">
        <v>12</v>
      </c>
      <c r="D40" s="15" t="s">
        <v>11</v>
      </c>
      <c r="E40" s="15" t="s">
        <v>14</v>
      </c>
      <c r="F40" s="16" t="s">
        <v>13</v>
      </c>
    </row>
    <row r="41" spans="2:12">
      <c r="B41" s="17">
        <v>2022</v>
      </c>
      <c r="C41" s="5">
        <v>0</v>
      </c>
      <c r="D41" s="5">
        <v>0</v>
      </c>
      <c r="E41" s="5">
        <v>0</v>
      </c>
      <c r="F41" s="22">
        <f t="shared" ref="F41:F51" si="8">C41*(D41+E41)</f>
        <v>0</v>
      </c>
    </row>
    <row r="42" spans="2:12">
      <c r="B42" s="17">
        <v>2023</v>
      </c>
      <c r="C42" s="5">
        <v>5</v>
      </c>
      <c r="D42" s="5">
        <f>D25/2</f>
        <v>50.749999999999993</v>
      </c>
      <c r="E42" s="5">
        <f t="shared" ref="E42:E51" si="9">0.6*K25</f>
        <v>-29.231999999999999</v>
      </c>
      <c r="F42" s="22">
        <f t="shared" si="8"/>
        <v>107.58999999999997</v>
      </c>
    </row>
    <row r="43" spans="2:12">
      <c r="B43" s="17">
        <v>2024</v>
      </c>
      <c r="C43" s="5">
        <f t="shared" ref="C43:C51" si="10">C42*(1+$C$38)</f>
        <v>5.4</v>
      </c>
      <c r="D43" s="5">
        <f t="shared" ref="D43:D51" si="11">D42*(1+1.5%)</f>
        <v>51.51124999999999</v>
      </c>
      <c r="E43" s="5">
        <f t="shared" si="9"/>
        <v>-29.670479999999994</v>
      </c>
      <c r="F43" s="22">
        <f t="shared" si="8"/>
        <v>117.94015799999998</v>
      </c>
    </row>
    <row r="44" spans="2:12">
      <c r="B44" s="17">
        <v>2025</v>
      </c>
      <c r="C44" s="5">
        <f t="shared" si="10"/>
        <v>5.8320000000000007</v>
      </c>
      <c r="D44" s="5">
        <f t="shared" si="11"/>
        <v>52.283918749999984</v>
      </c>
      <c r="E44" s="5">
        <f t="shared" si="9"/>
        <v>-30.115537199999991</v>
      </c>
      <c r="F44" s="22">
        <f t="shared" si="8"/>
        <v>129.28600119959998</v>
      </c>
    </row>
    <row r="45" spans="2:12">
      <c r="B45" s="17">
        <v>2026</v>
      </c>
      <c r="C45" s="5">
        <f t="shared" si="10"/>
        <v>6.298560000000001</v>
      </c>
      <c r="D45" s="5">
        <f t="shared" si="11"/>
        <v>53.068177531249979</v>
      </c>
      <c r="E45" s="5">
        <f t="shared" si="9"/>
        <v>-30.567270257999986</v>
      </c>
      <c r="F45" s="22">
        <f t="shared" si="8"/>
        <v>141.7233145150015</v>
      </c>
    </row>
    <row r="46" spans="2:12">
      <c r="B46" s="17">
        <v>2027</v>
      </c>
      <c r="C46" s="5">
        <f t="shared" si="10"/>
        <v>6.8024448000000017</v>
      </c>
      <c r="D46" s="5">
        <f t="shared" si="11"/>
        <v>53.864200194218725</v>
      </c>
      <c r="E46" s="5">
        <f t="shared" si="9"/>
        <v>-31.025779311869982</v>
      </c>
      <c r="F46" s="22">
        <f t="shared" si="8"/>
        <v>155.35709737134465</v>
      </c>
    </row>
    <row r="47" spans="2:12">
      <c r="B47" s="17">
        <v>2028</v>
      </c>
      <c r="C47" s="5">
        <f t="shared" si="10"/>
        <v>7.3466403840000023</v>
      </c>
      <c r="D47" s="5">
        <f t="shared" si="11"/>
        <v>54.672163197132001</v>
      </c>
      <c r="E47" s="5">
        <f t="shared" si="9"/>
        <v>-31.491166001548027</v>
      </c>
      <c r="F47" s="22">
        <f t="shared" si="8"/>
        <v>170.30245013846803</v>
      </c>
    </row>
    <row r="48" spans="2:12">
      <c r="B48" s="17">
        <v>2029</v>
      </c>
      <c r="C48" s="5">
        <f t="shared" si="10"/>
        <v>7.9343716147200034</v>
      </c>
      <c r="D48" s="5">
        <f t="shared" si="11"/>
        <v>55.492245645088978</v>
      </c>
      <c r="E48" s="5">
        <f t="shared" si="9"/>
        <v>-31.963533491571244</v>
      </c>
      <c r="F48" s="22">
        <f t="shared" si="8"/>
        <v>186.68554584178867</v>
      </c>
    </row>
    <row r="49" spans="2:6">
      <c r="B49" s="17">
        <v>2030</v>
      </c>
      <c r="C49" s="5">
        <f t="shared" si="10"/>
        <v>8.5691213438976046</v>
      </c>
      <c r="D49" s="5">
        <f t="shared" si="11"/>
        <v>56.324629329765308</v>
      </c>
      <c r="E49" s="5">
        <f t="shared" si="9"/>
        <v>-32.442986493944808</v>
      </c>
      <c r="F49" s="22">
        <f t="shared" si="8"/>
        <v>204.64469535176877</v>
      </c>
    </row>
    <row r="50" spans="2:6">
      <c r="B50" s="17">
        <v>2031</v>
      </c>
      <c r="C50" s="5">
        <f t="shared" si="10"/>
        <v>9.2546510514094145</v>
      </c>
      <c r="D50" s="5">
        <f t="shared" si="11"/>
        <v>57.16949876971178</v>
      </c>
      <c r="E50" s="5">
        <f t="shared" si="9"/>
        <v>-32.929631291353978</v>
      </c>
      <c r="F50" s="22">
        <f t="shared" si="8"/>
        <v>224.33151504460889</v>
      </c>
    </row>
    <row r="51" spans="2:6" ht="12.5" thickBot="1">
      <c r="B51" s="19">
        <v>2032</v>
      </c>
      <c r="C51" s="23">
        <f t="shared" si="10"/>
        <v>9.9950231355221675</v>
      </c>
      <c r="D51" s="23">
        <f t="shared" si="11"/>
        <v>58.027041251257451</v>
      </c>
      <c r="E51" s="23">
        <f t="shared" si="9"/>
        <v>-33.42357576072429</v>
      </c>
      <c r="F51" s="24">
        <f t="shared" si="8"/>
        <v>245.91220679190019</v>
      </c>
    </row>
    <row r="52" spans="2:6">
      <c r="E52" s="1"/>
    </row>
    <row r="53" spans="2:6" ht="12.5" thickBot="1">
      <c r="E53" s="1"/>
    </row>
    <row r="54" spans="2:6" ht="23.5" thickBot="1">
      <c r="B54" s="139" t="s">
        <v>16</v>
      </c>
      <c r="C54" s="140"/>
      <c r="E54" s="1"/>
    </row>
    <row r="55" spans="2:6" ht="12.5" thickBot="1">
      <c r="E55" s="1"/>
    </row>
    <row r="56" spans="2:6">
      <c r="B56" s="27" t="s">
        <v>10</v>
      </c>
      <c r="C56" s="16" t="s">
        <v>17</v>
      </c>
      <c r="E56" s="1"/>
    </row>
    <row r="57" spans="2:6">
      <c r="B57" s="17">
        <v>2022</v>
      </c>
      <c r="C57" s="22">
        <f t="shared" ref="C57:C67" si="12">F24+L24+F41</f>
        <v>4994.7840000000006</v>
      </c>
      <c r="E57" s="1"/>
    </row>
    <row r="58" spans="2:6">
      <c r="B58" s="17">
        <v>2023</v>
      </c>
      <c r="C58" s="22">
        <f t="shared" si="12"/>
        <v>5523.1249359999993</v>
      </c>
      <c r="E58" s="1"/>
    </row>
    <row r="59" spans="2:6">
      <c r="B59" s="17">
        <v>2024</v>
      </c>
      <c r="C59" s="22">
        <f t="shared" si="12"/>
        <v>5992.648466994001</v>
      </c>
      <c r="E59" s="1"/>
    </row>
    <row r="60" spans="2:6">
      <c r="B60" s="17">
        <v>2025</v>
      </c>
      <c r="C60" s="22">
        <f t="shared" si="12"/>
        <v>6505.3697097478635</v>
      </c>
      <c r="E60" s="1"/>
    </row>
    <row r="61" spans="2:6">
      <c r="B61" s="17">
        <v>2026</v>
      </c>
      <c r="C61" s="22">
        <f t="shared" si="12"/>
        <v>7065.5585578779364</v>
      </c>
      <c r="E61" s="1"/>
    </row>
    <row r="62" spans="2:6">
      <c r="B62" s="17">
        <v>2027</v>
      </c>
      <c r="C62" s="22">
        <f t="shared" si="12"/>
        <v>7677.9315885719116</v>
      </c>
      <c r="E62" s="1"/>
    </row>
    <row r="63" spans="2:6">
      <c r="B63" s="17">
        <v>2028</v>
      </c>
      <c r="C63" s="22">
        <f t="shared" si="12"/>
        <v>8347.700704610319</v>
      </c>
      <c r="E63" s="1"/>
    </row>
    <row r="64" spans="2:6">
      <c r="B64" s="17">
        <v>2029</v>
      </c>
      <c r="C64" s="22">
        <f t="shared" si="12"/>
        <v>9080.6272141603295</v>
      </c>
      <c r="E64" s="1"/>
    </row>
    <row r="65" spans="1:6">
      <c r="B65" s="17">
        <v>2030</v>
      </c>
      <c r="C65" s="22">
        <f t="shared" si="12"/>
        <v>9883.0819662360864</v>
      </c>
      <c r="E65" s="1"/>
    </row>
    <row r="66" spans="1:6">
      <c r="B66" s="17">
        <v>2031</v>
      </c>
      <c r="C66" s="22">
        <f t="shared" si="12"/>
        <v>10762.112230625708</v>
      </c>
      <c r="E66" s="1"/>
    </row>
    <row r="67" spans="1:6" ht="12.5" thickBot="1">
      <c r="B67" s="19">
        <v>2032</v>
      </c>
      <c r="C67" s="24">
        <f t="shared" si="12"/>
        <v>11725.516090175448</v>
      </c>
      <c r="E67" s="1"/>
    </row>
    <row r="68" spans="1:6">
      <c r="E68" s="1"/>
      <c r="F68" s="2"/>
    </row>
    <row r="69" spans="1:6">
      <c r="E69" s="1"/>
      <c r="F69" s="2"/>
    </row>
    <row r="70" spans="1:6" ht="12.5" thickBot="1">
      <c r="E70" s="1"/>
      <c r="F70" s="2"/>
    </row>
    <row r="71" spans="1:6" ht="34.5" thickBot="1">
      <c r="A71" s="149" t="s">
        <v>51</v>
      </c>
      <c r="B71" s="150"/>
    </row>
    <row r="74" spans="1:6">
      <c r="E74" s="1"/>
    </row>
    <row r="75" spans="1:6" ht="12.5" thickBot="1">
      <c r="E75" s="1"/>
    </row>
    <row r="76" spans="1:6" ht="36" customHeight="1" thickBot="1">
      <c r="A76" s="11" t="s">
        <v>18</v>
      </c>
      <c r="B76" s="135" t="s">
        <v>52</v>
      </c>
      <c r="C76" s="136"/>
      <c r="D76" s="31">
        <v>-150</v>
      </c>
      <c r="E76" s="1"/>
    </row>
    <row r="77" spans="1:6" ht="12.5" thickBot="1">
      <c r="A77" s="11"/>
      <c r="E77" s="1"/>
    </row>
    <row r="78" spans="1:6" ht="17.5" thickBot="1">
      <c r="A78" s="11" t="s">
        <v>19</v>
      </c>
      <c r="B78" s="30" t="s">
        <v>20</v>
      </c>
      <c r="E78" s="1"/>
    </row>
    <row r="79" spans="1:6" ht="12.5" thickBot="1">
      <c r="E79" s="1"/>
    </row>
    <row r="80" spans="1:6">
      <c r="B80" s="27" t="s">
        <v>10</v>
      </c>
      <c r="C80" s="16" t="s">
        <v>54</v>
      </c>
      <c r="E80" s="1"/>
    </row>
    <row r="81" spans="1:5">
      <c r="B81" s="17">
        <v>2022</v>
      </c>
      <c r="C81" s="28">
        <v>-1000</v>
      </c>
      <c r="E81" s="1"/>
    </row>
    <row r="82" spans="1:5">
      <c r="B82" s="17">
        <v>2023</v>
      </c>
      <c r="C82" s="28">
        <v>0</v>
      </c>
      <c r="E82" s="1"/>
    </row>
    <row r="83" spans="1:5">
      <c r="B83" s="17">
        <v>2024</v>
      </c>
      <c r="C83" s="28">
        <v>0</v>
      </c>
      <c r="E83" s="1"/>
    </row>
    <row r="84" spans="1:5">
      <c r="B84" s="17">
        <v>2025</v>
      </c>
      <c r="C84" s="28">
        <v>0</v>
      </c>
      <c r="E84" s="1"/>
    </row>
    <row r="85" spans="1:5">
      <c r="B85" s="17">
        <v>2026</v>
      </c>
      <c r="C85" s="28">
        <v>0</v>
      </c>
      <c r="E85" s="1"/>
    </row>
    <row r="86" spans="1:5">
      <c r="B86" s="17">
        <v>2027</v>
      </c>
      <c r="C86" s="28">
        <v>0</v>
      </c>
      <c r="E86" s="1"/>
    </row>
    <row r="87" spans="1:5">
      <c r="B87" s="17">
        <v>2028</v>
      </c>
      <c r="C87" s="28">
        <v>0</v>
      </c>
      <c r="E87" s="1"/>
    </row>
    <row r="88" spans="1:5">
      <c r="B88" s="17">
        <v>2029</v>
      </c>
      <c r="C88" s="28">
        <v>0</v>
      </c>
      <c r="E88" s="1"/>
    </row>
    <row r="89" spans="1:5">
      <c r="B89" s="17">
        <v>2030</v>
      </c>
      <c r="C89" s="28">
        <v>0</v>
      </c>
      <c r="E89" s="1"/>
    </row>
    <row r="90" spans="1:5">
      <c r="B90" s="17">
        <v>2031</v>
      </c>
      <c r="C90" s="28">
        <v>0</v>
      </c>
      <c r="E90" s="1"/>
    </row>
    <row r="91" spans="1:5" ht="12.5" thickBot="1">
      <c r="B91" s="19">
        <v>2032</v>
      </c>
      <c r="C91" s="29">
        <v>0</v>
      </c>
      <c r="E91" s="1"/>
    </row>
    <row r="92" spans="1:5" ht="12.5" thickBot="1">
      <c r="E92" s="1"/>
    </row>
    <row r="93" spans="1:5" ht="17.5" thickBot="1">
      <c r="A93" s="11" t="s">
        <v>21</v>
      </c>
      <c r="B93" s="30" t="s">
        <v>22</v>
      </c>
      <c r="E93" s="1"/>
    </row>
    <row r="94" spans="1:5" ht="17">
      <c r="A94" s="11"/>
      <c r="B94" s="12"/>
      <c r="E94" s="1"/>
    </row>
    <row r="95" spans="1:5">
      <c r="A95" s="11"/>
      <c r="B95" s="138" t="s">
        <v>62</v>
      </c>
      <c r="C95" s="138"/>
      <c r="D95" s="4">
        <v>0.65</v>
      </c>
      <c r="E95" s="1"/>
    </row>
    <row r="96" spans="1:5">
      <c r="A96" s="11"/>
      <c r="B96" s="138" t="s">
        <v>63</v>
      </c>
      <c r="C96" s="138"/>
      <c r="D96" s="3">
        <v>49.845999999999997</v>
      </c>
      <c r="E96" s="1"/>
    </row>
    <row r="97" spans="1:6" ht="17">
      <c r="A97" s="11"/>
      <c r="B97" s="12"/>
      <c r="E97" s="1"/>
    </row>
    <row r="98" spans="1:6" ht="12.5" thickBot="1">
      <c r="E98" s="1"/>
    </row>
    <row r="99" spans="1:6" ht="24">
      <c r="B99" s="27" t="s">
        <v>10</v>
      </c>
      <c r="C99" s="15" t="s">
        <v>23</v>
      </c>
      <c r="D99" s="16" t="s">
        <v>53</v>
      </c>
      <c r="E99" s="1"/>
    </row>
    <row r="100" spans="1:6">
      <c r="B100" s="17">
        <v>2022</v>
      </c>
      <c r="C100" s="3">
        <v>-600</v>
      </c>
      <c r="D100" s="22">
        <f>C41+I24</f>
        <v>34.992000000000004</v>
      </c>
      <c r="E100" s="1"/>
    </row>
    <row r="101" spans="1:6" ht="12.5" thickBot="1">
      <c r="B101" s="17">
        <v>2023</v>
      </c>
      <c r="C101" s="3">
        <f>C100*(1+1.5%)</f>
        <v>-608.99999999999989</v>
      </c>
      <c r="D101" s="22">
        <f t="shared" ref="D101:D110" si="13">C42+I25</f>
        <v>43.491200000000006</v>
      </c>
      <c r="E101" s="1"/>
    </row>
    <row r="102" spans="1:6" ht="14.5" customHeight="1">
      <c r="B102" s="17">
        <v>2024</v>
      </c>
      <c r="C102" s="3">
        <f t="shared" ref="C102:C110" si="14">C101*(1+1.5%)</f>
        <v>-618.13499999999988</v>
      </c>
      <c r="D102" s="22">
        <f t="shared" si="13"/>
        <v>47.740320000000011</v>
      </c>
      <c r="F102" s="144" t="s">
        <v>64</v>
      </c>
    </row>
    <row r="103" spans="1:6">
      <c r="B103" s="17">
        <v>2025</v>
      </c>
      <c r="C103" s="3">
        <f t="shared" si="14"/>
        <v>-627.40702499999986</v>
      </c>
      <c r="D103" s="33">
        <f t="shared" si="13"/>
        <v>52.40635200000002</v>
      </c>
      <c r="E103" s="32"/>
      <c r="F103" s="145"/>
    </row>
    <row r="104" spans="1:6" ht="12.5" thickBot="1">
      <c r="B104" s="17">
        <v>2026</v>
      </c>
      <c r="C104" s="3">
        <f t="shared" si="14"/>
        <v>-636.81813037499978</v>
      </c>
      <c r="D104" s="22">
        <f t="shared" si="13"/>
        <v>57.53034720000003</v>
      </c>
      <c r="E104" s="1"/>
      <c r="F104" s="146"/>
    </row>
    <row r="105" spans="1:6">
      <c r="B105" s="17">
        <v>2027</v>
      </c>
      <c r="C105" s="3">
        <f t="shared" si="14"/>
        <v>-646.37040233062476</v>
      </c>
      <c r="D105" s="22">
        <f t="shared" si="13"/>
        <v>63.157410720000037</v>
      </c>
      <c r="E105" s="1"/>
    </row>
    <row r="106" spans="1:6">
      <c r="B106" s="17">
        <v>2028</v>
      </c>
      <c r="C106" s="3">
        <f t="shared" si="14"/>
        <v>-656.06595836558404</v>
      </c>
      <c r="D106" s="22">
        <f t="shared" si="13"/>
        <v>69.337102896000047</v>
      </c>
      <c r="E106" s="1"/>
    </row>
    <row r="107" spans="1:6">
      <c r="B107" s="17">
        <v>2029</v>
      </c>
      <c r="C107" s="3">
        <f t="shared" si="14"/>
        <v>-665.90694774106771</v>
      </c>
      <c r="D107" s="22">
        <f t="shared" si="13"/>
        <v>76.123880377920059</v>
      </c>
      <c r="E107" s="1"/>
    </row>
    <row r="108" spans="1:6">
      <c r="B108" s="17">
        <v>2030</v>
      </c>
      <c r="C108" s="3">
        <f t="shared" si="14"/>
        <v>-675.89555195718367</v>
      </c>
      <c r="D108" s="22">
        <f t="shared" si="13"/>
        <v>83.577580983417675</v>
      </c>
      <c r="E108" s="1"/>
    </row>
    <row r="109" spans="1:6">
      <c r="B109" s="17">
        <v>2031</v>
      </c>
      <c r="C109" s="3">
        <f t="shared" si="14"/>
        <v>-686.03398523654141</v>
      </c>
      <c r="D109" s="22">
        <f t="shared" si="13"/>
        <v>91.763956654881497</v>
      </c>
      <c r="E109" s="1"/>
    </row>
    <row r="110" spans="1:6" ht="12.5" thickBot="1">
      <c r="B110" s="19">
        <v>2032</v>
      </c>
      <c r="C110" s="34">
        <f t="shared" si="14"/>
        <v>-696.3244950150895</v>
      </c>
      <c r="D110" s="35">
        <f t="shared" si="13"/>
        <v>100.75525929934147</v>
      </c>
      <c r="E110" s="1"/>
    </row>
    <row r="111" spans="1:6" ht="12.5" thickBot="1">
      <c r="E111" s="1"/>
    </row>
    <row r="112" spans="1:6" ht="17.5" thickBot="1">
      <c r="A112" s="11" t="s">
        <v>24</v>
      </c>
      <c r="B112" s="142" t="s">
        <v>25</v>
      </c>
      <c r="C112" s="143"/>
      <c r="E112" s="1"/>
    </row>
    <row r="113" spans="2:6">
      <c r="E113" s="1"/>
    </row>
    <row r="114" spans="2:6">
      <c r="B114" s="138" t="s">
        <v>26</v>
      </c>
      <c r="C114" s="138"/>
      <c r="D114" s="138"/>
      <c r="E114" s="3">
        <v>-400</v>
      </c>
    </row>
    <row r="115" spans="2:6">
      <c r="B115" s="138" t="s">
        <v>27</v>
      </c>
      <c r="C115" s="138"/>
      <c r="D115" s="138"/>
      <c r="E115" s="4">
        <v>0.05</v>
      </c>
    </row>
    <row r="116" spans="2:6">
      <c r="B116" s="138" t="s">
        <v>29</v>
      </c>
      <c r="C116" s="138"/>
      <c r="D116" s="138"/>
      <c r="E116" s="4">
        <v>0.1</v>
      </c>
    </row>
    <row r="117" spans="2:6">
      <c r="B117" s="138" t="s">
        <v>28</v>
      </c>
      <c r="C117" s="138"/>
      <c r="D117" s="138"/>
      <c r="E117" s="4">
        <v>0.1</v>
      </c>
    </row>
    <row r="118" spans="2:6" ht="12.5" thickBot="1">
      <c r="E118" s="1"/>
    </row>
    <row r="119" spans="2:6" ht="24">
      <c r="B119" s="27" t="s">
        <v>10</v>
      </c>
      <c r="C119" s="15" t="s">
        <v>32</v>
      </c>
      <c r="D119" s="15" t="s">
        <v>30</v>
      </c>
      <c r="E119" s="36" t="s">
        <v>31</v>
      </c>
      <c r="F119" s="37" t="s">
        <v>33</v>
      </c>
    </row>
    <row r="120" spans="2:6">
      <c r="B120" s="17">
        <v>2022</v>
      </c>
      <c r="C120" s="3">
        <f>E114*(1+$E$115)</f>
        <v>-420</v>
      </c>
      <c r="D120" s="3">
        <f>E114*E117</f>
        <v>-40</v>
      </c>
      <c r="E120" s="10">
        <v>-40</v>
      </c>
      <c r="F120" s="28">
        <f>E120+D120+C120</f>
        <v>-500</v>
      </c>
    </row>
    <row r="121" spans="2:6">
      <c r="B121" s="17">
        <v>2023</v>
      </c>
      <c r="C121" s="3">
        <f>C120*(1+$E$115)</f>
        <v>-441</v>
      </c>
      <c r="D121" s="3">
        <f>C120*$E$117</f>
        <v>-42</v>
      </c>
      <c r="E121" s="10">
        <f>E120*(1+$E$116)</f>
        <v>-44</v>
      </c>
      <c r="F121" s="28">
        <f t="shared" ref="F121:F130" si="15">E121+D121+C121</f>
        <v>-527</v>
      </c>
    </row>
    <row r="122" spans="2:6">
      <c r="B122" s="17">
        <v>2024</v>
      </c>
      <c r="C122" s="3">
        <f t="shared" ref="C122:C130" si="16">C121*(1+$E$115)</f>
        <v>-463.05</v>
      </c>
      <c r="D122" s="3">
        <f t="shared" ref="D122:D130" si="17">C121*$E$117</f>
        <v>-44.1</v>
      </c>
      <c r="E122" s="10">
        <f t="shared" ref="E122:E130" si="18">E121*(1+$E$116)</f>
        <v>-48.400000000000006</v>
      </c>
      <c r="F122" s="28">
        <f t="shared" si="15"/>
        <v>-555.54999999999995</v>
      </c>
    </row>
    <row r="123" spans="2:6">
      <c r="B123" s="17">
        <v>2025</v>
      </c>
      <c r="C123" s="3">
        <f t="shared" si="16"/>
        <v>-486.20250000000004</v>
      </c>
      <c r="D123" s="3">
        <f t="shared" si="17"/>
        <v>-46.305000000000007</v>
      </c>
      <c r="E123" s="10">
        <f t="shared" si="18"/>
        <v>-53.240000000000009</v>
      </c>
      <c r="F123" s="28">
        <f t="shared" si="15"/>
        <v>-585.74750000000006</v>
      </c>
    </row>
    <row r="124" spans="2:6">
      <c r="B124" s="17">
        <v>2026</v>
      </c>
      <c r="C124" s="3">
        <f t="shared" si="16"/>
        <v>-510.51262500000007</v>
      </c>
      <c r="D124" s="3">
        <f t="shared" si="17"/>
        <v>-48.620250000000006</v>
      </c>
      <c r="E124" s="10">
        <f t="shared" si="18"/>
        <v>-58.564000000000014</v>
      </c>
      <c r="F124" s="28">
        <f t="shared" si="15"/>
        <v>-617.69687500000009</v>
      </c>
    </row>
    <row r="125" spans="2:6">
      <c r="B125" s="17">
        <v>2027</v>
      </c>
      <c r="C125" s="3">
        <f t="shared" si="16"/>
        <v>-536.03825625000013</v>
      </c>
      <c r="D125" s="3">
        <f t="shared" si="17"/>
        <v>-51.051262500000007</v>
      </c>
      <c r="E125" s="10">
        <f t="shared" si="18"/>
        <v>-64.420400000000015</v>
      </c>
      <c r="F125" s="28">
        <f t="shared" si="15"/>
        <v>-651.50991875000011</v>
      </c>
    </row>
    <row r="126" spans="2:6">
      <c r="B126" s="17">
        <v>2028</v>
      </c>
      <c r="C126" s="3">
        <f t="shared" si="16"/>
        <v>-562.84016906250019</v>
      </c>
      <c r="D126" s="3">
        <f t="shared" si="17"/>
        <v>-53.603825625000013</v>
      </c>
      <c r="E126" s="10">
        <f t="shared" si="18"/>
        <v>-70.862440000000021</v>
      </c>
      <c r="F126" s="28">
        <f t="shared" si="15"/>
        <v>-687.3064346875002</v>
      </c>
    </row>
    <row r="127" spans="2:6">
      <c r="B127" s="17">
        <v>2029</v>
      </c>
      <c r="C127" s="3">
        <f t="shared" si="16"/>
        <v>-590.98217751562527</v>
      </c>
      <c r="D127" s="3">
        <f t="shared" si="17"/>
        <v>-56.284016906250024</v>
      </c>
      <c r="E127" s="10">
        <f t="shared" si="18"/>
        <v>-77.948684000000029</v>
      </c>
      <c r="F127" s="28">
        <f t="shared" si="15"/>
        <v>-725.21487842187526</v>
      </c>
    </row>
    <row r="128" spans="2:6">
      <c r="B128" s="17">
        <v>2030</v>
      </c>
      <c r="C128" s="3">
        <f t="shared" si="16"/>
        <v>-620.53128639140652</v>
      </c>
      <c r="D128" s="3">
        <f t="shared" si="17"/>
        <v>-59.09821775156253</v>
      </c>
      <c r="E128" s="10">
        <f t="shared" si="18"/>
        <v>-85.743552400000041</v>
      </c>
      <c r="F128" s="28">
        <f t="shared" si="15"/>
        <v>-765.37305654296915</v>
      </c>
    </row>
    <row r="129" spans="1:6">
      <c r="B129" s="17">
        <v>2031</v>
      </c>
      <c r="C129" s="3">
        <f t="shared" si="16"/>
        <v>-651.55785071097682</v>
      </c>
      <c r="D129" s="3">
        <f t="shared" si="17"/>
        <v>-62.053128639140652</v>
      </c>
      <c r="E129" s="10">
        <f t="shared" si="18"/>
        <v>-94.317907640000058</v>
      </c>
      <c r="F129" s="28">
        <f t="shared" si="15"/>
        <v>-807.92888699011746</v>
      </c>
    </row>
    <row r="130" spans="1:6" ht="12.5" thickBot="1">
      <c r="B130" s="19">
        <v>2032</v>
      </c>
      <c r="C130" s="34">
        <f t="shared" si="16"/>
        <v>-684.13574324652575</v>
      </c>
      <c r="D130" s="34">
        <f t="shared" si="17"/>
        <v>-65.155785071097682</v>
      </c>
      <c r="E130" s="38">
        <f t="shared" si="18"/>
        <v>-103.74969840400007</v>
      </c>
      <c r="F130" s="29">
        <f t="shared" si="15"/>
        <v>-853.0412267216235</v>
      </c>
    </row>
    <row r="131" spans="1:6" ht="12.5" thickBot="1"/>
    <row r="132" spans="1:6" ht="17.5" thickBot="1">
      <c r="A132" s="11" t="s">
        <v>34</v>
      </c>
      <c r="B132" s="30" t="s">
        <v>35</v>
      </c>
    </row>
    <row r="134" spans="1:6">
      <c r="B134" s="138" t="s">
        <v>36</v>
      </c>
      <c r="C134" s="138"/>
      <c r="D134" s="3">
        <v>-500</v>
      </c>
    </row>
    <row r="135" spans="1:6">
      <c r="B135" s="138" t="s">
        <v>39</v>
      </c>
      <c r="C135" s="138"/>
      <c r="D135" s="4">
        <v>0.05</v>
      </c>
    </row>
    <row r="136" spans="1:6">
      <c r="B136" s="138" t="s">
        <v>40</v>
      </c>
      <c r="C136" s="138"/>
      <c r="D136" s="4">
        <v>0.15</v>
      </c>
    </row>
    <row r="137" spans="1:6" ht="12.5" thickBot="1"/>
    <row r="138" spans="1:6">
      <c r="B138" s="39" t="s">
        <v>10</v>
      </c>
      <c r="C138" s="40" t="s">
        <v>38</v>
      </c>
      <c r="D138" s="41" t="s">
        <v>37</v>
      </c>
    </row>
    <row r="139" spans="1:6">
      <c r="B139" s="17">
        <v>2022</v>
      </c>
      <c r="C139" s="5">
        <f>D134*(1+$D$135)</f>
        <v>-525</v>
      </c>
      <c r="D139" s="22">
        <f>C139</f>
        <v>-525</v>
      </c>
    </row>
    <row r="140" spans="1:6">
      <c r="B140" s="17">
        <v>2023</v>
      </c>
      <c r="C140" s="5">
        <f>C139*(1+$D$135)</f>
        <v>-551.25</v>
      </c>
      <c r="D140" s="22">
        <f>C140*(1+$D$136)</f>
        <v>-633.9375</v>
      </c>
    </row>
    <row r="141" spans="1:6">
      <c r="B141" s="17">
        <v>2024</v>
      </c>
      <c r="C141" s="5">
        <f t="shared" ref="C141:C149" si="19">C140*(1+$D$135)</f>
        <v>-578.8125</v>
      </c>
      <c r="D141" s="22">
        <f t="shared" ref="D141:D149" si="20">C141*(1+$D$136)</f>
        <v>-665.63437499999998</v>
      </c>
    </row>
    <row r="142" spans="1:6">
      <c r="B142" s="17">
        <v>2025</v>
      </c>
      <c r="C142" s="5">
        <f t="shared" si="19"/>
        <v>-607.75312500000007</v>
      </c>
      <c r="D142" s="22">
        <f t="shared" si="20"/>
        <v>-698.91609375000007</v>
      </c>
    </row>
    <row r="143" spans="1:6">
      <c r="B143" s="17">
        <v>2026</v>
      </c>
      <c r="C143" s="5">
        <f t="shared" si="19"/>
        <v>-638.14078125000015</v>
      </c>
      <c r="D143" s="22">
        <f t="shared" si="20"/>
        <v>-733.86189843750014</v>
      </c>
    </row>
    <row r="144" spans="1:6">
      <c r="B144" s="17">
        <v>2027</v>
      </c>
      <c r="C144" s="5">
        <f t="shared" si="19"/>
        <v>-670.04782031250022</v>
      </c>
      <c r="D144" s="22">
        <f t="shared" si="20"/>
        <v>-770.5549933593752</v>
      </c>
    </row>
    <row r="145" spans="1:6">
      <c r="B145" s="17">
        <v>2028</v>
      </c>
      <c r="C145" s="5">
        <f t="shared" si="19"/>
        <v>-703.55021132812522</v>
      </c>
      <c r="D145" s="22">
        <f t="shared" si="20"/>
        <v>-809.08274302734389</v>
      </c>
    </row>
    <row r="146" spans="1:6">
      <c r="B146" s="17">
        <v>2029</v>
      </c>
      <c r="C146" s="5">
        <f t="shared" si="19"/>
        <v>-738.72772189453156</v>
      </c>
      <c r="D146" s="22">
        <f t="shared" si="20"/>
        <v>-849.53688017871127</v>
      </c>
    </row>
    <row r="147" spans="1:6">
      <c r="B147" s="17">
        <v>2030</v>
      </c>
      <c r="C147" s="5">
        <f t="shared" si="19"/>
        <v>-775.66410798925813</v>
      </c>
      <c r="D147" s="22">
        <f t="shared" si="20"/>
        <v>-892.01372418764674</v>
      </c>
    </row>
    <row r="148" spans="1:6">
      <c r="B148" s="17">
        <v>2031</v>
      </c>
      <c r="C148" s="5">
        <f t="shared" si="19"/>
        <v>-814.44731338872111</v>
      </c>
      <c r="D148" s="22">
        <f t="shared" si="20"/>
        <v>-936.61441039702925</v>
      </c>
    </row>
    <row r="149" spans="1:6" ht="12.5" thickBot="1">
      <c r="B149" s="19">
        <v>2032</v>
      </c>
      <c r="C149" s="23">
        <f t="shared" si="19"/>
        <v>-855.16967905815716</v>
      </c>
      <c r="D149" s="24">
        <f t="shared" si="20"/>
        <v>-983.44513091688066</v>
      </c>
    </row>
    <row r="150" spans="1:6" ht="12.5" thickBot="1"/>
    <row r="151" spans="1:6" ht="17.5" thickBot="1">
      <c r="A151" s="11" t="s">
        <v>41</v>
      </c>
      <c r="B151" s="30" t="s">
        <v>42</v>
      </c>
    </row>
    <row r="153" spans="1:6">
      <c r="B153" s="138" t="s">
        <v>43</v>
      </c>
      <c r="C153" s="138"/>
      <c r="D153" s="4">
        <v>0.05</v>
      </c>
    </row>
    <row r="154" spans="1:6">
      <c r="B154" s="138" t="s">
        <v>44</v>
      </c>
      <c r="C154" s="138"/>
      <c r="D154" s="4">
        <v>0.1</v>
      </c>
    </row>
    <row r="155" spans="1:6">
      <c r="B155" s="138" t="s">
        <v>45</v>
      </c>
      <c r="C155" s="138"/>
      <c r="D155" s="4">
        <v>0.06</v>
      </c>
    </row>
    <row r="156" spans="1:6" ht="12.5" thickBot="1"/>
    <row r="157" spans="1:6" ht="24">
      <c r="B157" s="27" t="s">
        <v>10</v>
      </c>
      <c r="C157" s="42" t="s">
        <v>46</v>
      </c>
      <c r="D157" s="15" t="s">
        <v>47</v>
      </c>
      <c r="E157" s="43" t="s">
        <v>48</v>
      </c>
      <c r="F157" s="44" t="s">
        <v>55</v>
      </c>
    </row>
    <row r="158" spans="1:6">
      <c r="B158" s="17">
        <v>2022</v>
      </c>
      <c r="C158" s="5">
        <f t="shared" ref="C158:C167" si="21">(-1)*$D$153*(C57)</f>
        <v>-249.73920000000004</v>
      </c>
      <c r="D158" s="5">
        <f t="shared" ref="D158:D167" si="22">(-1)*C57*($D$154)</f>
        <v>-499.47840000000008</v>
      </c>
      <c r="E158" s="5">
        <f t="shared" ref="E158:E167" si="23">(-1)*$D$155*(C57)</f>
        <v>-299.68704000000002</v>
      </c>
      <c r="F158" s="22">
        <f>SUM(C158:E158)</f>
        <v>-1048.9046400000002</v>
      </c>
    </row>
    <row r="159" spans="1:6">
      <c r="B159" s="17">
        <v>2023</v>
      </c>
      <c r="C159" s="5">
        <f t="shared" si="21"/>
        <v>-276.15624679999996</v>
      </c>
      <c r="D159" s="5">
        <f t="shared" si="22"/>
        <v>-552.31249359999993</v>
      </c>
      <c r="E159" s="5">
        <f t="shared" si="23"/>
        <v>-331.38749615999996</v>
      </c>
      <c r="F159" s="22">
        <f t="shared" ref="F159:F167" si="24">SUM(C159:E159)</f>
        <v>-1159.8562365599998</v>
      </c>
    </row>
    <row r="160" spans="1:6">
      <c r="B160" s="17">
        <v>2024</v>
      </c>
      <c r="C160" s="5">
        <f t="shared" si="21"/>
        <v>-299.63242334970005</v>
      </c>
      <c r="D160" s="5">
        <f t="shared" si="22"/>
        <v>-599.2648466994001</v>
      </c>
      <c r="E160" s="5">
        <f t="shared" si="23"/>
        <v>-359.55890801964006</v>
      </c>
      <c r="F160" s="22">
        <f t="shared" si="24"/>
        <v>-1258.4561780687402</v>
      </c>
    </row>
    <row r="161" spans="1:6">
      <c r="B161" s="17">
        <v>2025</v>
      </c>
      <c r="C161" s="5">
        <f t="shared" si="21"/>
        <v>-325.26848548739321</v>
      </c>
      <c r="D161" s="5">
        <f t="shared" si="22"/>
        <v>-650.53697097478641</v>
      </c>
      <c r="E161" s="5">
        <f t="shared" si="23"/>
        <v>-390.32218258487177</v>
      </c>
      <c r="F161" s="22">
        <f t="shared" si="24"/>
        <v>-1366.1276390470514</v>
      </c>
    </row>
    <row r="162" spans="1:6">
      <c r="B162" s="17">
        <v>2026</v>
      </c>
      <c r="C162" s="5">
        <f t="shared" si="21"/>
        <v>-353.27792789389684</v>
      </c>
      <c r="D162" s="5">
        <f t="shared" si="22"/>
        <v>-706.55585578779369</v>
      </c>
      <c r="E162" s="5">
        <f t="shared" si="23"/>
        <v>-423.93351347267617</v>
      </c>
      <c r="F162" s="22">
        <f t="shared" si="24"/>
        <v>-1483.7672971543666</v>
      </c>
    </row>
    <row r="163" spans="1:6">
      <c r="B163" s="17">
        <v>2027</v>
      </c>
      <c r="C163" s="5">
        <f t="shared" si="21"/>
        <v>-383.8965794285956</v>
      </c>
      <c r="D163" s="5">
        <f t="shared" si="22"/>
        <v>-767.7931588571912</v>
      </c>
      <c r="E163" s="5">
        <f t="shared" si="23"/>
        <v>-460.67589531431469</v>
      </c>
      <c r="F163" s="22">
        <f t="shared" si="24"/>
        <v>-1612.3656336001015</v>
      </c>
    </row>
    <row r="164" spans="1:6">
      <c r="B164" s="17">
        <v>2028</v>
      </c>
      <c r="C164" s="5">
        <f t="shared" si="21"/>
        <v>-417.385035230516</v>
      </c>
      <c r="D164" s="5">
        <f t="shared" si="22"/>
        <v>-834.77007046103199</v>
      </c>
      <c r="E164" s="5">
        <f t="shared" si="23"/>
        <v>-500.86204227661915</v>
      </c>
      <c r="F164" s="22">
        <f t="shared" si="24"/>
        <v>-1753.0171479681671</v>
      </c>
    </row>
    <row r="165" spans="1:6">
      <c r="B165" s="17">
        <v>2029</v>
      </c>
      <c r="C165" s="5">
        <f t="shared" si="21"/>
        <v>-454.03136070801651</v>
      </c>
      <c r="D165" s="5">
        <f t="shared" si="22"/>
        <v>-908.06272141603301</v>
      </c>
      <c r="E165" s="5">
        <f t="shared" si="23"/>
        <v>-544.83763284961969</v>
      </c>
      <c r="F165" s="22">
        <f t="shared" si="24"/>
        <v>-1906.9317149736692</v>
      </c>
    </row>
    <row r="166" spans="1:6">
      <c r="B166" s="17">
        <v>2030</v>
      </c>
      <c r="C166" s="5">
        <f t="shared" si="21"/>
        <v>-494.15409831180432</v>
      </c>
      <c r="D166" s="5">
        <f t="shared" si="22"/>
        <v>-988.30819662360864</v>
      </c>
      <c r="E166" s="5">
        <f t="shared" si="23"/>
        <v>-592.98491797416511</v>
      </c>
      <c r="F166" s="22">
        <f t="shared" si="24"/>
        <v>-2075.447212909578</v>
      </c>
    </row>
    <row r="167" spans="1:6">
      <c r="B167" s="17">
        <v>2031</v>
      </c>
      <c r="C167" s="5">
        <f t="shared" si="21"/>
        <v>-538.10561153128538</v>
      </c>
      <c r="D167" s="5">
        <f t="shared" si="22"/>
        <v>-1076.2112230625708</v>
      </c>
      <c r="E167" s="5">
        <f t="shared" si="23"/>
        <v>-645.72673383754238</v>
      </c>
      <c r="F167" s="22">
        <f t="shared" si="24"/>
        <v>-2260.0435684313984</v>
      </c>
    </row>
    <row r="168" spans="1:6" ht="12.5" thickBot="1">
      <c r="B168" s="19">
        <v>2032</v>
      </c>
      <c r="C168" s="23">
        <v>0</v>
      </c>
      <c r="D168" s="23">
        <v>0</v>
      </c>
      <c r="E168" s="23">
        <v>0</v>
      </c>
      <c r="F168" s="24">
        <v>0</v>
      </c>
    </row>
    <row r="169" spans="1:6" ht="12.5" thickBot="1"/>
    <row r="170" spans="1:6" ht="17.5" thickBot="1">
      <c r="A170" s="11" t="s">
        <v>56</v>
      </c>
      <c r="B170" s="142" t="s">
        <v>57</v>
      </c>
      <c r="C170" s="143"/>
    </row>
    <row r="172" spans="1:6">
      <c r="B172" s="3" t="s">
        <v>58</v>
      </c>
      <c r="C172" s="4">
        <v>0.03</v>
      </c>
    </row>
    <row r="173" spans="1:6" ht="12.5" thickBot="1"/>
    <row r="174" spans="1:6">
      <c r="B174" s="39" t="s">
        <v>10</v>
      </c>
      <c r="C174" s="41" t="s">
        <v>59</v>
      </c>
    </row>
    <row r="175" spans="1:6">
      <c r="B175" s="17">
        <v>2022</v>
      </c>
      <c r="C175" s="22">
        <v>30</v>
      </c>
    </row>
    <row r="176" spans="1:6">
      <c r="B176" s="17">
        <v>2023</v>
      </c>
      <c r="C176" s="22">
        <f>C175*(1+$C$172)</f>
        <v>30.900000000000002</v>
      </c>
    </row>
    <row r="177" spans="2:3">
      <c r="B177" s="17">
        <v>2024</v>
      </c>
      <c r="C177" s="22">
        <f t="shared" ref="C177:C185" si="25">C176*(1+$C$172)</f>
        <v>31.827000000000002</v>
      </c>
    </row>
    <row r="178" spans="2:3">
      <c r="B178" s="17">
        <v>2025</v>
      </c>
      <c r="C178" s="22">
        <f t="shared" si="25"/>
        <v>32.78181</v>
      </c>
    </row>
    <row r="179" spans="2:3">
      <c r="B179" s="17">
        <v>2026</v>
      </c>
      <c r="C179" s="22">
        <f t="shared" si="25"/>
        <v>33.765264299999998</v>
      </c>
    </row>
    <row r="180" spans="2:3">
      <c r="B180" s="17">
        <v>2027</v>
      </c>
      <c r="C180" s="22">
        <f t="shared" si="25"/>
        <v>34.778222229000001</v>
      </c>
    </row>
    <row r="181" spans="2:3">
      <c r="B181" s="17">
        <v>2028</v>
      </c>
      <c r="C181" s="22">
        <f t="shared" si="25"/>
        <v>35.821568895870001</v>
      </c>
    </row>
    <row r="182" spans="2:3">
      <c r="B182" s="17">
        <v>2029</v>
      </c>
      <c r="C182" s="22">
        <f t="shared" si="25"/>
        <v>36.896215962746105</v>
      </c>
    </row>
    <row r="183" spans="2:3">
      <c r="B183" s="17">
        <v>2030</v>
      </c>
      <c r="C183" s="22">
        <f t="shared" si="25"/>
        <v>38.003102441628492</v>
      </c>
    </row>
    <row r="184" spans="2:3">
      <c r="B184" s="17">
        <v>2031</v>
      </c>
      <c r="C184" s="22">
        <f t="shared" si="25"/>
        <v>39.143195514877348</v>
      </c>
    </row>
    <row r="185" spans="2:3" ht="12.5" thickBot="1">
      <c r="B185" s="19">
        <v>2032</v>
      </c>
      <c r="C185" s="24">
        <f t="shared" si="25"/>
        <v>40.317491380323666</v>
      </c>
    </row>
    <row r="187" spans="2:3" ht="12.5" thickBot="1"/>
    <row r="188" spans="2:3" ht="23.5" thickBot="1">
      <c r="B188" s="139" t="s">
        <v>60</v>
      </c>
      <c r="C188" s="140"/>
    </row>
    <row r="189" spans="2:3" ht="12.5" thickBot="1"/>
    <row r="190" spans="2:3">
      <c r="B190" s="39" t="s">
        <v>10</v>
      </c>
      <c r="C190" s="41" t="s">
        <v>61</v>
      </c>
    </row>
    <row r="191" spans="2:3">
      <c r="B191" s="17">
        <v>2022</v>
      </c>
      <c r="C191" s="22">
        <f>D76+C81+F120+D139+F158+C175</f>
        <v>-3193.9046400000002</v>
      </c>
    </row>
    <row r="192" spans="2:3">
      <c r="B192" s="17">
        <v>2023</v>
      </c>
      <c r="C192" s="22">
        <f>D77+C82+F121+D140+F159+C176</f>
        <v>-2289.89373656</v>
      </c>
    </row>
    <row r="193" spans="2:8">
      <c r="B193" s="17">
        <v>2024</v>
      </c>
      <c r="C193" s="22">
        <f>D78+C83+F122+D141+F160+C177</f>
        <v>-2447.8135530687396</v>
      </c>
    </row>
    <row r="194" spans="2:8">
      <c r="B194" s="17">
        <v>2025</v>
      </c>
      <c r="C194" s="22">
        <f>D79+C84+F123+D142+F161+C178+C103</f>
        <v>-3245.4164477970517</v>
      </c>
    </row>
    <row r="195" spans="2:8">
      <c r="B195" s="17">
        <v>2026</v>
      </c>
      <c r="C195" s="22">
        <f t="shared" ref="C195:C200" si="26">D80+C85+F124+D143+F162+C179</f>
        <v>-2801.5608062918668</v>
      </c>
    </row>
    <row r="196" spans="2:8">
      <c r="B196" s="17">
        <v>2027</v>
      </c>
      <c r="C196" s="22">
        <f t="shared" si="26"/>
        <v>-2999.6523234804768</v>
      </c>
    </row>
    <row r="197" spans="2:8">
      <c r="B197" s="17">
        <v>2028</v>
      </c>
      <c r="C197" s="22">
        <f t="shared" si="26"/>
        <v>-3213.5847567871415</v>
      </c>
    </row>
    <row r="198" spans="2:8">
      <c r="B198" s="17">
        <v>2029</v>
      </c>
      <c r="C198" s="22">
        <f t="shared" si="26"/>
        <v>-3444.7872576115096</v>
      </c>
    </row>
    <row r="199" spans="2:8">
      <c r="B199" s="17">
        <v>2030</v>
      </c>
      <c r="C199" s="22">
        <f t="shared" si="26"/>
        <v>-3694.8308911985655</v>
      </c>
    </row>
    <row r="200" spans="2:8">
      <c r="B200" s="17">
        <v>2031</v>
      </c>
      <c r="C200" s="22">
        <f t="shared" si="26"/>
        <v>-3965.4436703036677</v>
      </c>
    </row>
    <row r="201" spans="2:8" ht="12.5" thickBot="1">
      <c r="B201" s="19">
        <v>3032</v>
      </c>
      <c r="C201" s="24">
        <f>D86+C91+F130+D149+F168+C185+C110</f>
        <v>-2492.4933612732702</v>
      </c>
    </row>
    <row r="204" spans="2:8" ht="31.5">
      <c r="B204" s="137" t="s">
        <v>106</v>
      </c>
      <c r="C204" s="137"/>
      <c r="D204" s="137"/>
      <c r="E204" s="137"/>
      <c r="F204" s="137"/>
      <c r="G204" s="137"/>
      <c r="H204" s="137"/>
    </row>
    <row r="205" spans="2:8">
      <c r="B205" s="3" t="s">
        <v>70</v>
      </c>
      <c r="C205" s="4">
        <v>0.1</v>
      </c>
    </row>
    <row r="206" spans="2:8" ht="12.5" thickBot="1"/>
    <row r="207" spans="2:8">
      <c r="B207" s="39" t="s">
        <v>10</v>
      </c>
      <c r="C207" s="40" t="s">
        <v>65</v>
      </c>
      <c r="D207" s="40" t="s">
        <v>66</v>
      </c>
      <c r="E207" s="45" t="s">
        <v>67</v>
      </c>
      <c r="F207" s="40" t="s">
        <v>68</v>
      </c>
      <c r="G207" s="41" t="s">
        <v>69</v>
      </c>
    </row>
    <row r="208" spans="2:8">
      <c r="B208" s="17">
        <v>2022</v>
      </c>
      <c r="C208" s="5">
        <v>4994.7840000000006</v>
      </c>
      <c r="D208" s="5">
        <v>-3193.9046400000002</v>
      </c>
      <c r="E208" s="5">
        <f>C208+D208</f>
        <v>1800.8793600000004</v>
      </c>
      <c r="F208" s="5">
        <f>E208*$C$205</f>
        <v>180.08793600000004</v>
      </c>
      <c r="G208" s="22">
        <f>E208-F208</f>
        <v>1620.7914240000002</v>
      </c>
    </row>
    <row r="209" spans="2:7">
      <c r="B209" s="17">
        <v>2023</v>
      </c>
      <c r="C209" s="5">
        <v>5523.1249359999993</v>
      </c>
      <c r="D209" s="5">
        <v>-2289.89373656</v>
      </c>
      <c r="E209" s="5">
        <f t="shared" ref="E209:E218" si="27">C209+D209</f>
        <v>3233.2311994399993</v>
      </c>
      <c r="F209" s="5">
        <f t="shared" ref="F209:F218" si="28">E209*$C$205</f>
        <v>323.32311994399993</v>
      </c>
      <c r="G209" s="22">
        <f t="shared" ref="G209:G218" si="29">E209-F209</f>
        <v>2909.9080794959991</v>
      </c>
    </row>
    <row r="210" spans="2:7">
      <c r="B210" s="17">
        <v>2024</v>
      </c>
      <c r="C210" s="5">
        <v>5992.648466994001</v>
      </c>
      <c r="D210" s="5">
        <v>-2447.8135530687396</v>
      </c>
      <c r="E210" s="5">
        <f t="shared" si="27"/>
        <v>3544.8349139252614</v>
      </c>
      <c r="F210" s="5">
        <f t="shared" si="28"/>
        <v>354.48349139252616</v>
      </c>
      <c r="G210" s="22">
        <f t="shared" si="29"/>
        <v>3190.3514225327353</v>
      </c>
    </row>
    <row r="211" spans="2:7">
      <c r="B211" s="17">
        <v>2025</v>
      </c>
      <c r="C211" s="5">
        <v>6505.3697097478635</v>
      </c>
      <c r="D211" s="5">
        <v>-3245.4164477970517</v>
      </c>
      <c r="E211" s="5">
        <f t="shared" si="27"/>
        <v>3259.9532619508118</v>
      </c>
      <c r="F211" s="5">
        <f t="shared" si="28"/>
        <v>325.99532619508119</v>
      </c>
      <c r="G211" s="22">
        <f t="shared" si="29"/>
        <v>2933.9579357557304</v>
      </c>
    </row>
    <row r="212" spans="2:7">
      <c r="B212" s="17">
        <v>2026</v>
      </c>
      <c r="C212" s="5">
        <v>7065.5585578779364</v>
      </c>
      <c r="D212" s="5">
        <v>-2801.5608062918668</v>
      </c>
      <c r="E212" s="5">
        <f t="shared" si="27"/>
        <v>4263.9977515860701</v>
      </c>
      <c r="F212" s="5">
        <f t="shared" si="28"/>
        <v>426.39977515860704</v>
      </c>
      <c r="G212" s="22">
        <f t="shared" si="29"/>
        <v>3837.597976427463</v>
      </c>
    </row>
    <row r="213" spans="2:7">
      <c r="B213" s="17">
        <v>2027</v>
      </c>
      <c r="C213" s="5">
        <v>7677.9315885719116</v>
      </c>
      <c r="D213" s="5">
        <v>-2999.6523234804768</v>
      </c>
      <c r="E213" s="5">
        <f t="shared" si="27"/>
        <v>4678.2792650914344</v>
      </c>
      <c r="F213" s="5">
        <f t="shared" si="28"/>
        <v>467.82792650914348</v>
      </c>
      <c r="G213" s="22">
        <f t="shared" si="29"/>
        <v>4210.4513385822911</v>
      </c>
    </row>
    <row r="214" spans="2:7">
      <c r="B214" s="17">
        <v>2028</v>
      </c>
      <c r="C214" s="5">
        <v>8347.700704610319</v>
      </c>
      <c r="D214" s="5">
        <v>-3213.5847567871415</v>
      </c>
      <c r="E214" s="5">
        <f t="shared" si="27"/>
        <v>5134.1159478231775</v>
      </c>
      <c r="F214" s="5">
        <f t="shared" si="28"/>
        <v>513.41159478231782</v>
      </c>
      <c r="G214" s="22">
        <f t="shared" si="29"/>
        <v>4620.70435304086</v>
      </c>
    </row>
    <row r="215" spans="2:7">
      <c r="B215" s="17">
        <v>2029</v>
      </c>
      <c r="C215" s="5">
        <v>9080.6272141603295</v>
      </c>
      <c r="D215" s="5">
        <v>-3444.7872576115096</v>
      </c>
      <c r="E215" s="5">
        <f t="shared" si="27"/>
        <v>5635.8399565488198</v>
      </c>
      <c r="F215" s="5">
        <f t="shared" si="28"/>
        <v>563.58399565488196</v>
      </c>
      <c r="G215" s="22">
        <f t="shared" si="29"/>
        <v>5072.2559608939382</v>
      </c>
    </row>
    <row r="216" spans="2:7">
      <c r="B216" s="17">
        <v>2030</v>
      </c>
      <c r="C216" s="5">
        <v>9883.0819662360864</v>
      </c>
      <c r="D216" s="5">
        <v>-3694.8308911985655</v>
      </c>
      <c r="E216" s="5">
        <f t="shared" si="27"/>
        <v>6188.2510750375204</v>
      </c>
      <c r="F216" s="5">
        <f t="shared" si="28"/>
        <v>618.82510750375206</v>
      </c>
      <c r="G216" s="22">
        <f t="shared" si="29"/>
        <v>5569.425967533768</v>
      </c>
    </row>
    <row r="217" spans="2:7">
      <c r="B217" s="17">
        <v>2031</v>
      </c>
      <c r="C217" s="5">
        <v>10762.112230625708</v>
      </c>
      <c r="D217" s="5">
        <v>-3965.4436703036677</v>
      </c>
      <c r="E217" s="5">
        <f t="shared" si="27"/>
        <v>6796.6685603220394</v>
      </c>
      <c r="F217" s="5">
        <f t="shared" si="28"/>
        <v>679.66685603220401</v>
      </c>
      <c r="G217" s="22">
        <f t="shared" si="29"/>
        <v>6117.0017042898353</v>
      </c>
    </row>
    <row r="218" spans="2:7" ht="12.5" thickBot="1">
      <c r="B218" s="19">
        <v>2032</v>
      </c>
      <c r="C218" s="23">
        <v>11725.516090175448</v>
      </c>
      <c r="D218" s="23">
        <v>-2492.4933612732702</v>
      </c>
      <c r="E218" s="23">
        <f t="shared" si="27"/>
        <v>9233.0227289021786</v>
      </c>
      <c r="F218" s="23">
        <f t="shared" si="28"/>
        <v>923.30227289021786</v>
      </c>
      <c r="G218" s="24">
        <f t="shared" si="29"/>
        <v>8309.7204560119608</v>
      </c>
    </row>
  </sheetData>
  <mergeCells count="25">
    <mergeCell ref="B1:I1"/>
    <mergeCell ref="B170:C170"/>
    <mergeCell ref="B95:C95"/>
    <mergeCell ref="B96:C96"/>
    <mergeCell ref="F102:F104"/>
    <mergeCell ref="A5:B5"/>
    <mergeCell ref="B54:C54"/>
    <mergeCell ref="B153:C153"/>
    <mergeCell ref="B154:C154"/>
    <mergeCell ref="B155:C155"/>
    <mergeCell ref="I20:J21"/>
    <mergeCell ref="B37:C37"/>
    <mergeCell ref="A71:B71"/>
    <mergeCell ref="B112:C112"/>
    <mergeCell ref="B134:C134"/>
    <mergeCell ref="C20:D21"/>
    <mergeCell ref="B76:C76"/>
    <mergeCell ref="B204:H204"/>
    <mergeCell ref="B135:C135"/>
    <mergeCell ref="B136:C136"/>
    <mergeCell ref="B114:D114"/>
    <mergeCell ref="B115:D115"/>
    <mergeCell ref="B116:D116"/>
    <mergeCell ref="B117:D117"/>
    <mergeCell ref="B188:C18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D61C6-F136-4CDA-801B-C942977A2AFE}">
  <dimension ref="D5:E16"/>
  <sheetViews>
    <sheetView workbookViewId="0">
      <selection activeCell="J8" sqref="J8"/>
    </sheetView>
  </sheetViews>
  <sheetFormatPr defaultRowHeight="14.5"/>
  <cols>
    <col min="5" max="5" width="15.7265625" customWidth="1"/>
  </cols>
  <sheetData>
    <row r="5" spans="4:5">
      <c r="D5" t="s">
        <v>10</v>
      </c>
      <c r="E5" t="s">
        <v>61</v>
      </c>
    </row>
    <row r="6" spans="4:5">
      <c r="D6">
        <v>2022</v>
      </c>
      <c r="E6">
        <v>3193.9046400000002</v>
      </c>
    </row>
    <row r="7" spans="4:5">
      <c r="D7">
        <v>2023</v>
      </c>
      <c r="E7">
        <v>2289.89373656</v>
      </c>
    </row>
    <row r="8" spans="4:5">
      <c r="D8">
        <v>2024</v>
      </c>
      <c r="E8">
        <v>2447.81355306874</v>
      </c>
    </row>
    <row r="9" spans="4:5">
      <c r="D9">
        <v>2025</v>
      </c>
      <c r="E9">
        <v>3245.4164477970498</v>
      </c>
    </row>
    <row r="10" spans="4:5">
      <c r="D10">
        <v>2026</v>
      </c>
      <c r="E10">
        <v>2801.56080629187</v>
      </c>
    </row>
    <row r="11" spans="4:5">
      <c r="D11">
        <v>2027</v>
      </c>
      <c r="E11">
        <v>2999.6523234804799</v>
      </c>
    </row>
    <row r="12" spans="4:5">
      <c r="D12">
        <v>2028</v>
      </c>
      <c r="E12">
        <v>3213.5847567871401</v>
      </c>
    </row>
    <row r="13" spans="4:5">
      <c r="D13">
        <v>2029</v>
      </c>
      <c r="E13">
        <v>3444.7872576115101</v>
      </c>
    </row>
    <row r="14" spans="4:5">
      <c r="D14">
        <v>2030</v>
      </c>
      <c r="E14">
        <v>3694.83089119857</v>
      </c>
    </row>
    <row r="15" spans="4:5">
      <c r="D15">
        <v>2031</v>
      </c>
      <c r="E15">
        <v>3965.4436703036699</v>
      </c>
    </row>
    <row r="16" spans="4:5">
      <c r="D16">
        <v>3032</v>
      </c>
      <c r="E16">
        <v>2492.4933612732698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ABE57-BCC2-4CE1-B324-441F2B50E7AE}">
  <dimension ref="A1:V1048555"/>
  <sheetViews>
    <sheetView tabSelected="1" workbookViewId="0">
      <selection activeCell="O407" sqref="O407"/>
    </sheetView>
  </sheetViews>
  <sheetFormatPr defaultRowHeight="14.5"/>
  <cols>
    <col min="1" max="2" width="8.7265625" style="56"/>
    <col min="3" max="3" width="8" style="56" bestFit="1" customWidth="1"/>
    <col min="4" max="4" width="13.08984375" style="56" customWidth="1"/>
    <col min="5" max="5" width="11.6328125" style="56" customWidth="1"/>
    <col min="6" max="6" width="17.08984375" style="56" customWidth="1"/>
    <col min="7" max="7" width="13.6328125" style="56" bestFit="1" customWidth="1"/>
    <col min="8" max="8" width="10.453125" style="56" customWidth="1"/>
    <col min="9" max="9" width="7.6328125" style="56" customWidth="1"/>
    <col min="10" max="10" width="11" style="56" customWidth="1"/>
    <col min="11" max="13" width="8.7265625" style="56"/>
    <col min="14" max="14" width="12.08984375" style="56" customWidth="1"/>
    <col min="15" max="17" width="8.7265625" style="56"/>
    <col min="18" max="18" width="10.08984375" style="56" bestFit="1" customWidth="1"/>
    <col min="19" max="16384" width="8.7265625" style="56"/>
  </cols>
  <sheetData>
    <row r="1" spans="1:14" ht="33.65" customHeight="1">
      <c r="C1" s="266" t="s">
        <v>73</v>
      </c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</row>
    <row r="2" spans="1:14" ht="33.65" customHeight="1" thickBot="1"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34" customHeight="1" thickBot="1">
      <c r="A3" s="267" t="s">
        <v>71</v>
      </c>
      <c r="B3" s="268"/>
      <c r="C3" s="269"/>
    </row>
    <row r="4" spans="1:14" ht="15" thickBot="1"/>
    <row r="5" spans="1:14" ht="19" thickBot="1">
      <c r="B5" s="245" t="s">
        <v>74</v>
      </c>
      <c r="C5" s="246"/>
      <c r="D5" s="247"/>
    </row>
    <row r="6" spans="1:14" ht="15" thickBot="1"/>
    <row r="7" spans="1:14" ht="15.5">
      <c r="B7" s="262" t="s">
        <v>75</v>
      </c>
      <c r="C7" s="263"/>
      <c r="D7" s="263"/>
      <c r="E7" s="263"/>
      <c r="F7" s="263"/>
      <c r="G7" s="69">
        <v>0.05</v>
      </c>
    </row>
    <row r="8" spans="1:14" ht="15.5">
      <c r="B8" s="264" t="s">
        <v>76</v>
      </c>
      <c r="C8" s="226"/>
      <c r="D8" s="226"/>
      <c r="E8" s="226"/>
      <c r="F8" s="226"/>
      <c r="G8" s="70">
        <v>0.05</v>
      </c>
    </row>
    <row r="9" spans="1:14" ht="15.5">
      <c r="B9" s="264" t="s">
        <v>143</v>
      </c>
      <c r="C9" s="226"/>
      <c r="D9" s="226"/>
      <c r="E9" s="226"/>
      <c r="F9" s="226"/>
      <c r="G9" s="71">
        <v>45</v>
      </c>
    </row>
    <row r="10" spans="1:14" ht="16" thickBot="1">
      <c r="B10" s="260" t="s">
        <v>144</v>
      </c>
      <c r="C10" s="261"/>
      <c r="D10" s="261"/>
      <c r="E10" s="261"/>
      <c r="F10" s="261"/>
      <c r="G10" s="72">
        <f>G9*(1+G7)^(2)</f>
        <v>49.612500000000004</v>
      </c>
    </row>
    <row r="11" spans="1:14" ht="16" thickBot="1">
      <c r="B11" s="46"/>
      <c r="C11" s="46"/>
      <c r="D11" s="46"/>
      <c r="E11" s="46"/>
      <c r="F11" s="46"/>
      <c r="G11" s="58"/>
    </row>
    <row r="12" spans="1:14" ht="15.5">
      <c r="B12" s="262" t="s">
        <v>77</v>
      </c>
      <c r="C12" s="263"/>
      <c r="D12" s="263"/>
      <c r="E12" s="263"/>
      <c r="F12" s="263"/>
      <c r="G12" s="69">
        <v>0.08</v>
      </c>
    </row>
    <row r="13" spans="1:14" ht="15.5">
      <c r="B13" s="264" t="s">
        <v>78</v>
      </c>
      <c r="C13" s="226"/>
      <c r="D13" s="226"/>
      <c r="E13" s="226"/>
      <c r="F13" s="226"/>
      <c r="G13" s="70">
        <v>0.1</v>
      </c>
    </row>
    <row r="14" spans="1:14" ht="15.5">
      <c r="B14" s="264" t="s">
        <v>145</v>
      </c>
      <c r="C14" s="226"/>
      <c r="D14" s="226"/>
      <c r="E14" s="226"/>
      <c r="F14" s="226"/>
      <c r="G14" s="71">
        <v>30</v>
      </c>
    </row>
    <row r="15" spans="1:14" ht="16" thickBot="1">
      <c r="B15" s="260" t="s">
        <v>146</v>
      </c>
      <c r="C15" s="261"/>
      <c r="D15" s="261"/>
      <c r="E15" s="261"/>
      <c r="F15" s="261"/>
      <c r="G15" s="72">
        <f>30*(1+G12)^(2)</f>
        <v>34.992000000000004</v>
      </c>
    </row>
    <row r="16" spans="1:14" ht="15.5">
      <c r="B16" s="46"/>
      <c r="C16" s="46"/>
      <c r="D16" s="46"/>
      <c r="E16" s="46"/>
      <c r="F16" s="46"/>
      <c r="G16" s="58"/>
    </row>
    <row r="17" spans="2:22" ht="15.5">
      <c r="B17" s="265" t="s">
        <v>79</v>
      </c>
      <c r="C17" s="265"/>
      <c r="D17" s="265"/>
      <c r="E17" s="265"/>
      <c r="F17" s="265"/>
      <c r="G17" s="59">
        <v>1.4999999999999999E-2</v>
      </c>
    </row>
    <row r="18" spans="2:22" ht="15" thickBot="1"/>
    <row r="19" spans="2:22">
      <c r="B19" s="73" t="s">
        <v>10</v>
      </c>
      <c r="C19" s="209" t="s">
        <v>147</v>
      </c>
      <c r="D19" s="209"/>
      <c r="E19" s="209"/>
      <c r="F19" s="209"/>
      <c r="G19" s="74" t="s">
        <v>80</v>
      </c>
      <c r="H19" s="209" t="s">
        <v>81</v>
      </c>
      <c r="I19" s="209"/>
      <c r="J19" s="209" t="s">
        <v>148</v>
      </c>
      <c r="K19" s="211"/>
      <c r="M19" s="73" t="s">
        <v>10</v>
      </c>
      <c r="N19" s="209" t="s">
        <v>149</v>
      </c>
      <c r="O19" s="209"/>
      <c r="P19" s="209"/>
      <c r="Q19" s="209"/>
      <c r="R19" s="78" t="s">
        <v>80</v>
      </c>
      <c r="S19" s="209" t="s">
        <v>81</v>
      </c>
      <c r="T19" s="209"/>
      <c r="U19" s="209" t="s">
        <v>148</v>
      </c>
      <c r="V19" s="211"/>
    </row>
    <row r="20" spans="2:22">
      <c r="B20" s="75">
        <v>2022</v>
      </c>
      <c r="C20" s="176">
        <f>G10</f>
        <v>49.612500000000004</v>
      </c>
      <c r="D20" s="176"/>
      <c r="E20" s="176"/>
      <c r="F20" s="176"/>
      <c r="G20" s="61">
        <v>100</v>
      </c>
      <c r="H20" s="176">
        <f>36*(-1)</f>
        <v>-36</v>
      </c>
      <c r="I20" s="176"/>
      <c r="J20" s="258">
        <f>C20*(G20+H20)</f>
        <v>3175.2000000000003</v>
      </c>
      <c r="K20" s="259"/>
      <c r="M20" s="75">
        <v>2022</v>
      </c>
      <c r="N20" s="176">
        <f>G15</f>
        <v>34.992000000000004</v>
      </c>
      <c r="O20" s="176"/>
      <c r="P20" s="176"/>
      <c r="Q20" s="176"/>
      <c r="R20" s="61">
        <v>100</v>
      </c>
      <c r="S20" s="176">
        <f>48*(-1)</f>
        <v>-48</v>
      </c>
      <c r="T20" s="176"/>
      <c r="U20" s="176">
        <f>N20*(R20+S20)</f>
        <v>1819.5840000000003</v>
      </c>
      <c r="V20" s="219"/>
    </row>
    <row r="21" spans="2:22">
      <c r="B21" s="75">
        <v>2023</v>
      </c>
      <c r="C21" s="176">
        <f>C20*(1+$G$7)</f>
        <v>52.093125000000008</v>
      </c>
      <c r="D21" s="176"/>
      <c r="E21" s="176"/>
      <c r="F21" s="176"/>
      <c r="G21" s="61">
        <f>G20*(1+$G$17)</f>
        <v>101.49999999999999</v>
      </c>
      <c r="H21" s="176">
        <f>H20*(1+$G$17)</f>
        <v>-36.54</v>
      </c>
      <c r="I21" s="176"/>
      <c r="J21" s="258">
        <f t="shared" ref="J21:J40" si="0">C21*(G21+H21)</f>
        <v>3383.9693999999995</v>
      </c>
      <c r="K21" s="259"/>
      <c r="M21" s="75">
        <v>2023</v>
      </c>
      <c r="N21" s="176">
        <f>N20*(1+$G$13)</f>
        <v>38.491200000000006</v>
      </c>
      <c r="O21" s="176"/>
      <c r="P21" s="176"/>
      <c r="Q21" s="176"/>
      <c r="R21" s="61">
        <f>R20*(1+$G$17)</f>
        <v>101.49999999999999</v>
      </c>
      <c r="S21" s="176">
        <f>S20*(1+$G$17)</f>
        <v>-48.72</v>
      </c>
      <c r="T21" s="176"/>
      <c r="U21" s="176">
        <f t="shared" ref="U21:U40" si="1">N21*(R21+S21)</f>
        <v>2031.5655359999998</v>
      </c>
      <c r="V21" s="219"/>
    </row>
    <row r="22" spans="2:22">
      <c r="B22" s="75">
        <v>2024</v>
      </c>
      <c r="C22" s="176">
        <f t="shared" ref="C22:C40" si="2">C21*(1+$G$7)</f>
        <v>54.697781250000013</v>
      </c>
      <c r="D22" s="176"/>
      <c r="E22" s="176"/>
      <c r="F22" s="176"/>
      <c r="G22" s="61">
        <f t="shared" ref="G22:H37" si="3">G21*(1+$G$17)</f>
        <v>103.02249999999998</v>
      </c>
      <c r="H22" s="176">
        <f t="shared" si="3"/>
        <v>-37.088099999999997</v>
      </c>
      <c r="I22" s="176"/>
      <c r="J22" s="258">
        <f t="shared" si="0"/>
        <v>3606.46538805</v>
      </c>
      <c r="K22" s="259"/>
      <c r="M22" s="75">
        <v>2024</v>
      </c>
      <c r="N22" s="176">
        <f t="shared" ref="N22:N40" si="4">N21*(1+$G$13)</f>
        <v>42.340320000000013</v>
      </c>
      <c r="O22" s="176"/>
      <c r="P22" s="176"/>
      <c r="Q22" s="176"/>
      <c r="R22" s="61">
        <f t="shared" ref="R22:S37" si="5">R21*(1+$G$17)</f>
        <v>103.02249999999998</v>
      </c>
      <c r="S22" s="176">
        <f t="shared" si="5"/>
        <v>-49.450799999999994</v>
      </c>
      <c r="T22" s="176"/>
      <c r="U22" s="176">
        <f t="shared" si="1"/>
        <v>2268.2429209440002</v>
      </c>
      <c r="V22" s="219"/>
    </row>
    <row r="23" spans="2:22">
      <c r="B23" s="75">
        <v>2025</v>
      </c>
      <c r="C23" s="176">
        <f t="shared" si="2"/>
        <v>57.432670312500015</v>
      </c>
      <c r="D23" s="176"/>
      <c r="E23" s="176"/>
      <c r="F23" s="176"/>
      <c r="G23" s="61">
        <f t="shared" si="3"/>
        <v>104.56783749999997</v>
      </c>
      <c r="H23" s="176">
        <f t="shared" si="3"/>
        <v>-37.644421499999993</v>
      </c>
      <c r="I23" s="176"/>
      <c r="J23" s="258">
        <f t="shared" si="0"/>
        <v>3843.5904873142872</v>
      </c>
      <c r="K23" s="259"/>
      <c r="M23" s="75">
        <v>2025</v>
      </c>
      <c r="N23" s="176">
        <f t="shared" si="4"/>
        <v>46.574352000000019</v>
      </c>
      <c r="O23" s="176"/>
      <c r="P23" s="176"/>
      <c r="Q23" s="176"/>
      <c r="R23" s="61">
        <f t="shared" si="5"/>
        <v>104.56783749999997</v>
      </c>
      <c r="S23" s="176">
        <f t="shared" si="5"/>
        <v>-50.192561999999988</v>
      </c>
      <c r="T23" s="176"/>
      <c r="U23" s="176">
        <f t="shared" si="1"/>
        <v>2532.4932212339759</v>
      </c>
      <c r="V23" s="219"/>
    </row>
    <row r="24" spans="2:22">
      <c r="B24" s="75">
        <v>2026</v>
      </c>
      <c r="C24" s="176">
        <f t="shared" si="2"/>
        <v>60.304303828125022</v>
      </c>
      <c r="D24" s="176"/>
      <c r="E24" s="176"/>
      <c r="F24" s="176"/>
      <c r="G24" s="61">
        <f t="shared" si="3"/>
        <v>106.13635506249996</v>
      </c>
      <c r="H24" s="176">
        <f t="shared" si="3"/>
        <v>-38.209087822499988</v>
      </c>
      <c r="I24" s="176"/>
      <c r="J24" s="258">
        <f t="shared" si="0"/>
        <v>4096.3065618552009</v>
      </c>
      <c r="K24" s="259"/>
      <c r="M24" s="75">
        <v>2026</v>
      </c>
      <c r="N24" s="176">
        <f t="shared" si="4"/>
        <v>51.231787200000028</v>
      </c>
      <c r="O24" s="176"/>
      <c r="P24" s="176"/>
      <c r="Q24" s="176"/>
      <c r="R24" s="61">
        <f t="shared" si="5"/>
        <v>106.13635506249996</v>
      </c>
      <c r="S24" s="176">
        <f t="shared" si="5"/>
        <v>-50.94545042999998</v>
      </c>
      <c r="T24" s="176"/>
      <c r="U24" s="176">
        <f t="shared" si="1"/>
        <v>2827.5286815077347</v>
      </c>
      <c r="V24" s="219"/>
    </row>
    <row r="25" spans="2:22">
      <c r="B25" s="75">
        <v>2027</v>
      </c>
      <c r="C25" s="176">
        <f t="shared" si="2"/>
        <v>63.319519019531278</v>
      </c>
      <c r="D25" s="176"/>
      <c r="E25" s="176"/>
      <c r="F25" s="176"/>
      <c r="G25" s="61">
        <f t="shared" si="3"/>
        <v>107.72840038843745</v>
      </c>
      <c r="H25" s="176">
        <f t="shared" si="3"/>
        <v>-38.782224139837481</v>
      </c>
      <c r="I25" s="176"/>
      <c r="J25" s="258">
        <f t="shared" si="0"/>
        <v>4365.6387182971812</v>
      </c>
      <c r="K25" s="259"/>
      <c r="M25" s="75">
        <v>2027</v>
      </c>
      <c r="N25" s="176">
        <f t="shared" si="4"/>
        <v>56.354965920000033</v>
      </c>
      <c r="O25" s="176"/>
      <c r="P25" s="176"/>
      <c r="Q25" s="176"/>
      <c r="R25" s="61">
        <f t="shared" si="5"/>
        <v>107.72840038843745</v>
      </c>
      <c r="S25" s="176">
        <f t="shared" si="5"/>
        <v>-51.709632186449973</v>
      </c>
      <c r="T25" s="176"/>
      <c r="U25" s="176">
        <f t="shared" si="1"/>
        <v>3156.9357729033859</v>
      </c>
      <c r="V25" s="219"/>
    </row>
    <row r="26" spans="2:22">
      <c r="B26" s="75">
        <v>2028</v>
      </c>
      <c r="C26" s="176">
        <f t="shared" si="2"/>
        <v>66.485494970507844</v>
      </c>
      <c r="D26" s="176"/>
      <c r="E26" s="176"/>
      <c r="F26" s="176"/>
      <c r="G26" s="61">
        <f t="shared" si="3"/>
        <v>109.344326394264</v>
      </c>
      <c r="H26" s="176">
        <f t="shared" si="3"/>
        <v>-39.36395750193504</v>
      </c>
      <c r="I26" s="176"/>
      <c r="J26" s="258">
        <f t="shared" si="0"/>
        <v>4652.6794640252201</v>
      </c>
      <c r="K26" s="259"/>
      <c r="M26" s="75">
        <v>2028</v>
      </c>
      <c r="N26" s="176">
        <f t="shared" si="4"/>
        <v>61.990462512000043</v>
      </c>
      <c r="O26" s="176"/>
      <c r="P26" s="176"/>
      <c r="Q26" s="176"/>
      <c r="R26" s="61">
        <f t="shared" si="5"/>
        <v>109.344326394264</v>
      </c>
      <c r="S26" s="176">
        <f t="shared" si="5"/>
        <v>-52.485276669246716</v>
      </c>
      <c r="T26" s="176"/>
      <c r="U26" s="176">
        <f t="shared" si="1"/>
        <v>3524.7187904466305</v>
      </c>
      <c r="V26" s="219"/>
    </row>
    <row r="27" spans="2:22">
      <c r="B27" s="75">
        <v>2029</v>
      </c>
      <c r="C27" s="176">
        <f t="shared" si="2"/>
        <v>69.809769719033241</v>
      </c>
      <c r="D27" s="176"/>
      <c r="E27" s="176"/>
      <c r="F27" s="176"/>
      <c r="G27" s="61">
        <f t="shared" si="3"/>
        <v>110.98449129017796</v>
      </c>
      <c r="H27" s="176">
        <f t="shared" si="3"/>
        <v>-39.954416864464065</v>
      </c>
      <c r="I27" s="176"/>
      <c r="J27" s="258">
        <f t="shared" si="0"/>
        <v>4958.5931387848786</v>
      </c>
      <c r="K27" s="259"/>
      <c r="M27" s="75">
        <v>2029</v>
      </c>
      <c r="N27" s="176">
        <f t="shared" si="4"/>
        <v>68.189508763200052</v>
      </c>
      <c r="O27" s="176"/>
      <c r="P27" s="176"/>
      <c r="Q27" s="176"/>
      <c r="R27" s="61">
        <f t="shared" si="5"/>
        <v>110.98449129017796</v>
      </c>
      <c r="S27" s="176">
        <f t="shared" si="5"/>
        <v>-53.272555819285408</v>
      </c>
      <c r="T27" s="176"/>
      <c r="U27" s="176">
        <f t="shared" si="1"/>
        <v>3935.3485295336632</v>
      </c>
      <c r="V27" s="219"/>
    </row>
    <row r="28" spans="2:22">
      <c r="B28" s="75">
        <v>2030</v>
      </c>
      <c r="C28" s="176">
        <f t="shared" si="2"/>
        <v>73.3002582049849</v>
      </c>
      <c r="D28" s="176"/>
      <c r="E28" s="176"/>
      <c r="F28" s="176"/>
      <c r="G28" s="61">
        <f t="shared" si="3"/>
        <v>112.64925865953062</v>
      </c>
      <c r="H28" s="176">
        <f t="shared" si="3"/>
        <v>-40.553733117431022</v>
      </c>
      <c r="I28" s="176"/>
      <c r="J28" s="258">
        <f t="shared" si="0"/>
        <v>5284.6206376599839</v>
      </c>
      <c r="K28" s="259"/>
      <c r="M28" s="75">
        <v>2030</v>
      </c>
      <c r="N28" s="176">
        <f t="shared" si="4"/>
        <v>75.008459639520069</v>
      </c>
      <c r="O28" s="176"/>
      <c r="P28" s="176"/>
      <c r="Q28" s="176"/>
      <c r="R28" s="61">
        <f t="shared" si="5"/>
        <v>112.64925865953062</v>
      </c>
      <c r="S28" s="176">
        <f t="shared" si="5"/>
        <v>-54.071644156574685</v>
      </c>
      <c r="T28" s="176"/>
      <c r="U28" s="176">
        <f t="shared" si="1"/>
        <v>4393.8166332243354</v>
      </c>
      <c r="V28" s="219"/>
    </row>
    <row r="29" spans="2:22">
      <c r="B29" s="75">
        <v>2031</v>
      </c>
      <c r="C29" s="176">
        <f t="shared" si="2"/>
        <v>76.965271115234145</v>
      </c>
      <c r="D29" s="176"/>
      <c r="E29" s="176"/>
      <c r="F29" s="176"/>
      <c r="G29" s="61">
        <f t="shared" si="3"/>
        <v>114.33899753942356</v>
      </c>
      <c r="H29" s="176">
        <f t="shared" si="3"/>
        <v>-41.162039114192481</v>
      </c>
      <c r="I29" s="176"/>
      <c r="J29" s="258">
        <f t="shared" si="0"/>
        <v>5632.0844445861276</v>
      </c>
      <c r="K29" s="259"/>
      <c r="M29" s="75">
        <v>2031</v>
      </c>
      <c r="N29" s="176">
        <f t="shared" si="4"/>
        <v>82.509305603472086</v>
      </c>
      <c r="O29" s="176"/>
      <c r="P29" s="176"/>
      <c r="Q29" s="176"/>
      <c r="R29" s="61">
        <f t="shared" si="5"/>
        <v>114.33899753942356</v>
      </c>
      <c r="S29" s="176">
        <f t="shared" si="5"/>
        <v>-54.882718818923301</v>
      </c>
      <c r="T29" s="176"/>
      <c r="U29" s="176">
        <f t="shared" si="1"/>
        <v>4905.6962709949703</v>
      </c>
      <c r="V29" s="219"/>
    </row>
    <row r="30" spans="2:22">
      <c r="B30" s="75">
        <v>2032</v>
      </c>
      <c r="C30" s="176">
        <f t="shared" si="2"/>
        <v>80.81353467099585</v>
      </c>
      <c r="D30" s="176"/>
      <c r="E30" s="176"/>
      <c r="F30" s="176"/>
      <c r="G30" s="61">
        <f t="shared" si="3"/>
        <v>116.0540825025149</v>
      </c>
      <c r="H30" s="176">
        <f t="shared" si="3"/>
        <v>-41.779469700905366</v>
      </c>
      <c r="I30" s="176"/>
      <c r="J30" s="258">
        <f t="shared" si="0"/>
        <v>6002.3939968176646</v>
      </c>
      <c r="K30" s="259"/>
      <c r="M30" s="75">
        <v>2032</v>
      </c>
      <c r="N30" s="176">
        <f t="shared" si="4"/>
        <v>90.7602361638193</v>
      </c>
      <c r="O30" s="176"/>
      <c r="P30" s="176"/>
      <c r="Q30" s="176"/>
      <c r="R30" s="61">
        <f t="shared" si="5"/>
        <v>116.0540825025149</v>
      </c>
      <c r="S30" s="176">
        <f t="shared" si="5"/>
        <v>-55.705959601207148</v>
      </c>
      <c r="T30" s="176"/>
      <c r="U30" s="176">
        <f t="shared" si="1"/>
        <v>5477.2098865658836</v>
      </c>
      <c r="V30" s="219"/>
    </row>
    <row r="31" spans="2:22">
      <c r="B31" s="75">
        <v>2033</v>
      </c>
      <c r="C31" s="176">
        <f t="shared" si="2"/>
        <v>84.854211404545651</v>
      </c>
      <c r="D31" s="176"/>
      <c r="E31" s="176"/>
      <c r="F31" s="176"/>
      <c r="G31" s="61">
        <f t="shared" si="3"/>
        <v>117.79489374005261</v>
      </c>
      <c r="H31" s="176">
        <f t="shared" si="3"/>
        <v>-42.406161746418945</v>
      </c>
      <c r="I31" s="176"/>
      <c r="J31" s="258">
        <f t="shared" si="0"/>
        <v>6397.0514021084255</v>
      </c>
      <c r="K31" s="259"/>
      <c r="M31" s="75">
        <v>2033</v>
      </c>
      <c r="N31" s="176">
        <f t="shared" si="4"/>
        <v>99.836259780201232</v>
      </c>
      <c r="O31" s="176"/>
      <c r="P31" s="176"/>
      <c r="Q31" s="176"/>
      <c r="R31" s="61">
        <f t="shared" si="5"/>
        <v>117.79489374005261</v>
      </c>
      <c r="S31" s="176">
        <f t="shared" si="5"/>
        <v>-56.541548995225249</v>
      </c>
      <c r="T31" s="176"/>
      <c r="U31" s="176">
        <f t="shared" si="1"/>
        <v>6115.3048383508085</v>
      </c>
      <c r="V31" s="219"/>
    </row>
    <row r="32" spans="2:22">
      <c r="B32" s="75">
        <v>2034</v>
      </c>
      <c r="C32" s="176">
        <f t="shared" si="2"/>
        <v>89.09692197477294</v>
      </c>
      <c r="D32" s="176"/>
      <c r="E32" s="176"/>
      <c r="F32" s="176"/>
      <c r="G32" s="61">
        <f t="shared" si="3"/>
        <v>119.56181714615339</v>
      </c>
      <c r="H32" s="176">
        <f t="shared" si="3"/>
        <v>-43.042254172615223</v>
      </c>
      <c r="I32" s="176"/>
      <c r="J32" s="258">
        <f t="shared" si="0"/>
        <v>6817.6575317970546</v>
      </c>
      <c r="K32" s="259"/>
      <c r="M32" s="75">
        <v>2034</v>
      </c>
      <c r="N32" s="176">
        <f t="shared" si="4"/>
        <v>109.81988575822136</v>
      </c>
      <c r="O32" s="176"/>
      <c r="P32" s="176"/>
      <c r="Q32" s="176"/>
      <c r="R32" s="61">
        <f t="shared" si="5"/>
        <v>119.56181714615339</v>
      </c>
      <c r="S32" s="176">
        <f t="shared" si="5"/>
        <v>-57.389672230153622</v>
      </c>
      <c r="T32" s="176"/>
      <c r="U32" s="176">
        <f t="shared" si="1"/>
        <v>6827.7378520186776</v>
      </c>
      <c r="V32" s="219"/>
    </row>
    <row r="33" spans="1:22">
      <c r="B33" s="75">
        <v>2035</v>
      </c>
      <c r="C33" s="176">
        <f t="shared" si="2"/>
        <v>93.551768073511596</v>
      </c>
      <c r="D33" s="176"/>
      <c r="E33" s="176"/>
      <c r="F33" s="176"/>
      <c r="G33" s="61">
        <f t="shared" si="3"/>
        <v>121.35524440334568</v>
      </c>
      <c r="H33" s="176">
        <f t="shared" si="3"/>
        <v>-43.687887985204448</v>
      </c>
      <c r="I33" s="176"/>
      <c r="J33" s="258">
        <f t="shared" si="0"/>
        <v>7265.9185145127103</v>
      </c>
      <c r="K33" s="259"/>
      <c r="M33" s="75">
        <v>2035</v>
      </c>
      <c r="N33" s="176">
        <f t="shared" si="4"/>
        <v>120.8018743340435</v>
      </c>
      <c r="O33" s="176"/>
      <c r="P33" s="176"/>
      <c r="Q33" s="176"/>
      <c r="R33" s="61">
        <f t="shared" si="5"/>
        <v>121.35524440334568</v>
      </c>
      <c r="S33" s="176">
        <f t="shared" si="5"/>
        <v>-58.250517313605918</v>
      </c>
      <c r="T33" s="176"/>
      <c r="U33" s="176">
        <f t="shared" si="1"/>
        <v>7623.1693117788536</v>
      </c>
      <c r="V33" s="219"/>
    </row>
    <row r="34" spans="1:22">
      <c r="B34" s="75">
        <v>2036</v>
      </c>
      <c r="C34" s="176">
        <f t="shared" si="2"/>
        <v>98.229356477187181</v>
      </c>
      <c r="D34" s="176"/>
      <c r="E34" s="176"/>
      <c r="F34" s="176"/>
      <c r="G34" s="61">
        <f t="shared" si="3"/>
        <v>123.17557306939585</v>
      </c>
      <c r="H34" s="176">
        <f t="shared" si="3"/>
        <v>-44.343206304982509</v>
      </c>
      <c r="I34" s="176"/>
      <c r="J34" s="258">
        <f t="shared" si="0"/>
        <v>7743.6526568419204</v>
      </c>
      <c r="K34" s="259"/>
      <c r="M34" s="75">
        <v>2036</v>
      </c>
      <c r="N34" s="176">
        <f t="shared" si="4"/>
        <v>132.88206176744785</v>
      </c>
      <c r="O34" s="176"/>
      <c r="P34" s="176"/>
      <c r="Q34" s="176"/>
      <c r="R34" s="61">
        <f t="shared" si="5"/>
        <v>123.17557306939585</v>
      </c>
      <c r="S34" s="176">
        <f t="shared" si="5"/>
        <v>-59.124275073310002</v>
      </c>
      <c r="T34" s="176"/>
      <c r="U34" s="176">
        <f t="shared" si="1"/>
        <v>8511.2685366010883</v>
      </c>
      <c r="V34" s="219"/>
    </row>
    <row r="35" spans="1:22">
      <c r="B35" s="75">
        <v>2037</v>
      </c>
      <c r="C35" s="176">
        <f t="shared" si="2"/>
        <v>103.14082430104655</v>
      </c>
      <c r="D35" s="176"/>
      <c r="E35" s="176"/>
      <c r="F35" s="176"/>
      <c r="G35" s="61">
        <f t="shared" si="3"/>
        <v>125.02320666543677</v>
      </c>
      <c r="H35" s="176">
        <f t="shared" si="3"/>
        <v>-45.008354399557241</v>
      </c>
      <c r="I35" s="176"/>
      <c r="J35" s="258">
        <f t="shared" si="0"/>
        <v>8252.7978190292779</v>
      </c>
      <c r="K35" s="259"/>
      <c r="M35" s="75">
        <v>2037</v>
      </c>
      <c r="N35" s="176">
        <f t="shared" si="4"/>
        <v>146.17026794419266</v>
      </c>
      <c r="O35" s="176"/>
      <c r="P35" s="176"/>
      <c r="Q35" s="176"/>
      <c r="R35" s="61">
        <f t="shared" si="5"/>
        <v>125.02320666543677</v>
      </c>
      <c r="S35" s="176">
        <f t="shared" si="5"/>
        <v>-60.011139199409648</v>
      </c>
      <c r="T35" s="176"/>
      <c r="U35" s="176">
        <f t="shared" si="1"/>
        <v>9502.8313211151162</v>
      </c>
      <c r="V35" s="219"/>
    </row>
    <row r="36" spans="1:22">
      <c r="B36" s="75">
        <v>2038</v>
      </c>
      <c r="C36" s="176">
        <f t="shared" si="2"/>
        <v>108.29786551609888</v>
      </c>
      <c r="D36" s="176"/>
      <c r="E36" s="176"/>
      <c r="F36" s="176"/>
      <c r="G36" s="61">
        <f t="shared" si="3"/>
        <v>126.89855476541831</v>
      </c>
      <c r="H36" s="176">
        <f t="shared" si="3"/>
        <v>-45.683479715550597</v>
      </c>
      <c r="I36" s="176"/>
      <c r="J36" s="258">
        <f t="shared" si="0"/>
        <v>8795.4192756304528</v>
      </c>
      <c r="K36" s="259"/>
      <c r="M36" s="75">
        <v>2038</v>
      </c>
      <c r="N36" s="176">
        <f t="shared" si="4"/>
        <v>160.78729473861193</v>
      </c>
      <c r="O36" s="176"/>
      <c r="P36" s="176"/>
      <c r="Q36" s="176"/>
      <c r="R36" s="61">
        <f t="shared" si="5"/>
        <v>126.89855476541831</v>
      </c>
      <c r="S36" s="176">
        <f t="shared" si="5"/>
        <v>-60.911306287400784</v>
      </c>
      <c r="T36" s="176"/>
      <c r="U36" s="176">
        <f t="shared" si="1"/>
        <v>10609.911170025027</v>
      </c>
      <c r="V36" s="219"/>
    </row>
    <row r="37" spans="1:22">
      <c r="B37" s="75">
        <v>2039</v>
      </c>
      <c r="C37" s="176">
        <f t="shared" si="2"/>
        <v>113.71275879190382</v>
      </c>
      <c r="D37" s="176"/>
      <c r="E37" s="176"/>
      <c r="F37" s="176"/>
      <c r="G37" s="61">
        <f t="shared" si="3"/>
        <v>128.80203308689957</v>
      </c>
      <c r="H37" s="176">
        <f t="shared" si="3"/>
        <v>-46.368731911283852</v>
      </c>
      <c r="I37" s="176"/>
      <c r="J37" s="258">
        <f t="shared" si="0"/>
        <v>9373.7180930031536</v>
      </c>
      <c r="K37" s="259"/>
      <c r="M37" s="75">
        <v>2039</v>
      </c>
      <c r="N37" s="176">
        <f t="shared" si="4"/>
        <v>176.86602421247315</v>
      </c>
      <c r="O37" s="176"/>
      <c r="P37" s="176"/>
      <c r="Q37" s="176"/>
      <c r="R37" s="61">
        <f t="shared" si="5"/>
        <v>128.80203308689957</v>
      </c>
      <c r="S37" s="176">
        <f t="shared" si="5"/>
        <v>-61.824975881711786</v>
      </c>
      <c r="T37" s="176"/>
      <c r="U37" s="176">
        <f t="shared" si="1"/>
        <v>11845.96582133294</v>
      </c>
      <c r="V37" s="219"/>
    </row>
    <row r="38" spans="1:22">
      <c r="B38" s="75">
        <v>2040</v>
      </c>
      <c r="C38" s="176">
        <f t="shared" si="2"/>
        <v>119.39839673149902</v>
      </c>
      <c r="D38" s="176"/>
      <c r="E38" s="176"/>
      <c r="F38" s="176"/>
      <c r="G38" s="61">
        <f t="shared" ref="G38:H40" si="6">G37*(1+$G$17)</f>
        <v>130.73406358320304</v>
      </c>
      <c r="H38" s="176">
        <f t="shared" si="6"/>
        <v>-47.064262889953106</v>
      </c>
      <c r="I38" s="176"/>
      <c r="J38" s="258">
        <f t="shared" si="0"/>
        <v>9990.0400576181055</v>
      </c>
      <c r="K38" s="259"/>
      <c r="M38" s="75">
        <v>2040</v>
      </c>
      <c r="N38" s="176">
        <f t="shared" si="4"/>
        <v>194.55262663372048</v>
      </c>
      <c r="O38" s="176"/>
      <c r="P38" s="176"/>
      <c r="Q38" s="176"/>
      <c r="R38" s="61">
        <f t="shared" ref="R38:S40" si="7">R37*(1+$G$17)</f>
        <v>130.73406358320304</v>
      </c>
      <c r="S38" s="176">
        <f t="shared" si="7"/>
        <v>-62.752350519937458</v>
      </c>
      <c r="T38" s="176"/>
      <c r="U38" s="176">
        <f t="shared" si="1"/>
        <v>13226.020839518225</v>
      </c>
      <c r="V38" s="219"/>
    </row>
    <row r="39" spans="1:22">
      <c r="B39" s="75">
        <v>2041</v>
      </c>
      <c r="C39" s="176">
        <f t="shared" si="2"/>
        <v>125.36831656807398</v>
      </c>
      <c r="D39" s="176"/>
      <c r="E39" s="176"/>
      <c r="F39" s="176"/>
      <c r="G39" s="61">
        <f t="shared" si="6"/>
        <v>132.69507453695107</v>
      </c>
      <c r="H39" s="176">
        <f t="shared" si="6"/>
        <v>-47.770226833302395</v>
      </c>
      <c r="I39" s="176"/>
      <c r="J39" s="258">
        <f t="shared" si="0"/>
        <v>10646.885191406498</v>
      </c>
      <c r="K39" s="259"/>
      <c r="M39" s="75">
        <v>2041</v>
      </c>
      <c r="N39" s="176">
        <f t="shared" si="4"/>
        <v>214.00788929709253</v>
      </c>
      <c r="O39" s="176"/>
      <c r="P39" s="176"/>
      <c r="Q39" s="176"/>
      <c r="R39" s="61">
        <f t="shared" si="7"/>
        <v>132.69507453695107</v>
      </c>
      <c r="S39" s="176">
        <f t="shared" si="7"/>
        <v>-63.693635777736517</v>
      </c>
      <c r="T39" s="176"/>
      <c r="U39" s="176">
        <f t="shared" si="1"/>
        <v>14766.852267322098</v>
      </c>
      <c r="V39" s="219"/>
    </row>
    <row r="40" spans="1:22" ht="15" thickBot="1">
      <c r="B40" s="76">
        <v>2042</v>
      </c>
      <c r="C40" s="210">
        <f t="shared" si="2"/>
        <v>131.6367323964777</v>
      </c>
      <c r="D40" s="210"/>
      <c r="E40" s="210"/>
      <c r="F40" s="210"/>
      <c r="G40" s="77">
        <f t="shared" si="6"/>
        <v>134.68550065500531</v>
      </c>
      <c r="H40" s="210">
        <f t="shared" si="6"/>
        <v>-48.486780235801923</v>
      </c>
      <c r="I40" s="210"/>
      <c r="J40" s="256">
        <f t="shared" si="0"/>
        <v>11346.917892741476</v>
      </c>
      <c r="K40" s="257"/>
      <c r="M40" s="76">
        <v>2042</v>
      </c>
      <c r="N40" s="210">
        <f t="shared" si="4"/>
        <v>235.40867822680181</v>
      </c>
      <c r="O40" s="210"/>
      <c r="P40" s="210"/>
      <c r="Q40" s="210"/>
      <c r="R40" s="77">
        <f t="shared" si="7"/>
        <v>134.68550065500531</v>
      </c>
      <c r="S40" s="210">
        <f t="shared" si="7"/>
        <v>-64.649040314402555</v>
      </c>
      <c r="T40" s="210"/>
      <c r="U40" s="210">
        <f t="shared" si="1"/>
        <v>16487.190556465121</v>
      </c>
      <c r="V40" s="220"/>
    </row>
    <row r="41" spans="1:22" ht="15" thickBot="1">
      <c r="B41" s="62"/>
      <c r="C41" s="63"/>
      <c r="D41" s="63"/>
      <c r="E41" s="63"/>
      <c r="F41" s="63"/>
      <c r="G41" s="64"/>
      <c r="H41" s="63"/>
      <c r="I41" s="63"/>
      <c r="J41" s="64"/>
      <c r="K41" s="64"/>
      <c r="M41" s="62"/>
      <c r="N41" s="63"/>
      <c r="O41" s="63"/>
      <c r="P41" s="63"/>
      <c r="Q41" s="63"/>
      <c r="R41" s="64"/>
      <c r="S41" s="63"/>
      <c r="T41" s="63"/>
      <c r="U41" s="63"/>
      <c r="V41" s="63"/>
    </row>
    <row r="42" spans="1:22" ht="20" thickBot="1">
      <c r="A42" s="253" t="s">
        <v>82</v>
      </c>
      <c r="B42" s="254"/>
      <c r="C42" s="254"/>
      <c r="D42" s="254"/>
      <c r="E42" s="255"/>
    </row>
    <row r="44" spans="1:22" ht="15.5">
      <c r="B44" s="248" t="s">
        <v>50</v>
      </c>
      <c r="C44" s="248"/>
      <c r="D44" s="248"/>
      <c r="E44" s="248"/>
      <c r="F44" s="68">
        <v>0.08</v>
      </c>
    </row>
    <row r="45" spans="1:22" ht="15" thickBot="1">
      <c r="B45" s="62"/>
    </row>
    <row r="46" spans="1:22">
      <c r="B46" s="73" t="s">
        <v>10</v>
      </c>
      <c r="C46" s="209" t="s">
        <v>150</v>
      </c>
      <c r="D46" s="209"/>
      <c r="E46" s="209"/>
      <c r="F46" s="74" t="s">
        <v>80</v>
      </c>
      <c r="G46" s="74" t="s">
        <v>83</v>
      </c>
      <c r="H46" s="209" t="s">
        <v>148</v>
      </c>
      <c r="I46" s="211"/>
    </row>
    <row r="47" spans="1:22">
      <c r="B47" s="75">
        <v>2022</v>
      </c>
      <c r="C47" s="249">
        <v>0</v>
      </c>
      <c r="D47" s="250"/>
      <c r="E47" s="251"/>
      <c r="F47" s="60">
        <v>0</v>
      </c>
      <c r="G47" s="60">
        <v>0</v>
      </c>
      <c r="H47" s="249">
        <v>0</v>
      </c>
      <c r="I47" s="252"/>
    </row>
    <row r="48" spans="1:22">
      <c r="B48" s="75">
        <v>2023</v>
      </c>
      <c r="C48" s="176">
        <v>5</v>
      </c>
      <c r="D48" s="176"/>
      <c r="E48" s="176"/>
      <c r="F48" s="65">
        <f t="shared" ref="F48:F67" si="8">G21/2</f>
        <v>50.749999999999993</v>
      </c>
      <c r="G48" s="65">
        <f t="shared" ref="G48:G67" si="9">0.6*S21</f>
        <v>-29.231999999999999</v>
      </c>
      <c r="H48" s="176">
        <f>C48*(F48+G48)</f>
        <v>107.58999999999997</v>
      </c>
      <c r="I48" s="219"/>
    </row>
    <row r="49" spans="2:9">
      <c r="B49" s="75">
        <v>2024</v>
      </c>
      <c r="C49" s="176">
        <f>C48*(1+$F$44)</f>
        <v>5.4</v>
      </c>
      <c r="D49" s="176"/>
      <c r="E49" s="176"/>
      <c r="F49" s="65">
        <f t="shared" si="8"/>
        <v>51.51124999999999</v>
      </c>
      <c r="G49" s="65">
        <f t="shared" si="9"/>
        <v>-29.670479999999994</v>
      </c>
      <c r="H49" s="176">
        <f t="shared" ref="H49:H67" si="10">C49*(F49+G49)</f>
        <v>117.94015799999998</v>
      </c>
      <c r="I49" s="219"/>
    </row>
    <row r="50" spans="2:9">
      <c r="B50" s="75">
        <v>2025</v>
      </c>
      <c r="C50" s="176">
        <f t="shared" ref="C50:C67" si="11">C49*(1+$F$44)</f>
        <v>5.8320000000000007</v>
      </c>
      <c r="D50" s="176"/>
      <c r="E50" s="176"/>
      <c r="F50" s="65">
        <f t="shared" si="8"/>
        <v>52.283918749999984</v>
      </c>
      <c r="G50" s="65">
        <f t="shared" si="9"/>
        <v>-30.115537199999991</v>
      </c>
      <c r="H50" s="176">
        <f t="shared" si="10"/>
        <v>129.28600119959998</v>
      </c>
      <c r="I50" s="219"/>
    </row>
    <row r="51" spans="2:9">
      <c r="B51" s="75">
        <v>2026</v>
      </c>
      <c r="C51" s="176">
        <f t="shared" si="11"/>
        <v>6.298560000000001</v>
      </c>
      <c r="D51" s="176"/>
      <c r="E51" s="176"/>
      <c r="F51" s="65">
        <f t="shared" si="8"/>
        <v>53.068177531249979</v>
      </c>
      <c r="G51" s="65">
        <f t="shared" si="9"/>
        <v>-30.567270257999986</v>
      </c>
      <c r="H51" s="176">
        <f t="shared" si="10"/>
        <v>141.7233145150015</v>
      </c>
      <c r="I51" s="219"/>
    </row>
    <row r="52" spans="2:9">
      <c r="B52" s="75">
        <v>2027</v>
      </c>
      <c r="C52" s="176">
        <f t="shared" si="11"/>
        <v>6.8024448000000017</v>
      </c>
      <c r="D52" s="176"/>
      <c r="E52" s="176"/>
      <c r="F52" s="65">
        <f t="shared" si="8"/>
        <v>53.864200194218725</v>
      </c>
      <c r="G52" s="65">
        <f t="shared" si="9"/>
        <v>-31.025779311869982</v>
      </c>
      <c r="H52" s="176">
        <f t="shared" si="10"/>
        <v>155.35709737134465</v>
      </c>
      <c r="I52" s="219"/>
    </row>
    <row r="53" spans="2:9">
      <c r="B53" s="75">
        <v>2028</v>
      </c>
      <c r="C53" s="176">
        <f t="shared" si="11"/>
        <v>7.3466403840000023</v>
      </c>
      <c r="D53" s="176"/>
      <c r="E53" s="176"/>
      <c r="F53" s="65">
        <f t="shared" si="8"/>
        <v>54.672163197132001</v>
      </c>
      <c r="G53" s="65">
        <f t="shared" si="9"/>
        <v>-31.491166001548027</v>
      </c>
      <c r="H53" s="176">
        <f t="shared" si="10"/>
        <v>170.30245013846803</v>
      </c>
      <c r="I53" s="219"/>
    </row>
    <row r="54" spans="2:9">
      <c r="B54" s="75">
        <v>2029</v>
      </c>
      <c r="C54" s="176">
        <f t="shared" si="11"/>
        <v>7.9343716147200034</v>
      </c>
      <c r="D54" s="176"/>
      <c r="E54" s="176"/>
      <c r="F54" s="65">
        <f t="shared" si="8"/>
        <v>55.492245645088978</v>
      </c>
      <c r="G54" s="65">
        <f t="shared" si="9"/>
        <v>-31.963533491571244</v>
      </c>
      <c r="H54" s="176">
        <f t="shared" si="10"/>
        <v>186.68554584178867</v>
      </c>
      <c r="I54" s="219"/>
    </row>
    <row r="55" spans="2:9">
      <c r="B55" s="75">
        <v>2030</v>
      </c>
      <c r="C55" s="176">
        <f t="shared" si="11"/>
        <v>8.5691213438976046</v>
      </c>
      <c r="D55" s="176"/>
      <c r="E55" s="176"/>
      <c r="F55" s="65">
        <f t="shared" si="8"/>
        <v>56.324629329765308</v>
      </c>
      <c r="G55" s="65">
        <f t="shared" si="9"/>
        <v>-32.442986493944808</v>
      </c>
      <c r="H55" s="176">
        <f t="shared" si="10"/>
        <v>204.64469535176877</v>
      </c>
      <c r="I55" s="219"/>
    </row>
    <row r="56" spans="2:9">
      <c r="B56" s="75">
        <v>2031</v>
      </c>
      <c r="C56" s="176">
        <f t="shared" si="11"/>
        <v>9.2546510514094145</v>
      </c>
      <c r="D56" s="176"/>
      <c r="E56" s="176"/>
      <c r="F56" s="65">
        <f t="shared" si="8"/>
        <v>57.16949876971178</v>
      </c>
      <c r="G56" s="65">
        <f t="shared" si="9"/>
        <v>-32.929631291353978</v>
      </c>
      <c r="H56" s="176">
        <f t="shared" si="10"/>
        <v>224.33151504460889</v>
      </c>
      <c r="I56" s="219"/>
    </row>
    <row r="57" spans="2:9">
      <c r="B57" s="75">
        <v>2032</v>
      </c>
      <c r="C57" s="176">
        <f t="shared" si="11"/>
        <v>9.9950231355221675</v>
      </c>
      <c r="D57" s="176"/>
      <c r="E57" s="176"/>
      <c r="F57" s="65">
        <f t="shared" si="8"/>
        <v>58.027041251257451</v>
      </c>
      <c r="G57" s="65">
        <f t="shared" si="9"/>
        <v>-33.42357576072429</v>
      </c>
      <c r="H57" s="176">
        <f t="shared" si="10"/>
        <v>245.91220679190019</v>
      </c>
      <c r="I57" s="219"/>
    </row>
    <row r="58" spans="2:9">
      <c r="B58" s="75">
        <v>2033</v>
      </c>
      <c r="C58" s="176">
        <f t="shared" si="11"/>
        <v>10.794624986363942</v>
      </c>
      <c r="D58" s="176"/>
      <c r="E58" s="176"/>
      <c r="F58" s="65">
        <f t="shared" si="8"/>
        <v>58.897446870026307</v>
      </c>
      <c r="G58" s="65">
        <f t="shared" si="9"/>
        <v>-33.924929397135145</v>
      </c>
      <c r="H58" s="176">
        <f t="shared" si="10"/>
        <v>269.5689610852811</v>
      </c>
      <c r="I58" s="219"/>
    </row>
    <row r="59" spans="2:9">
      <c r="B59" s="75">
        <v>2034</v>
      </c>
      <c r="C59" s="176">
        <f t="shared" si="11"/>
        <v>11.658194985273058</v>
      </c>
      <c r="D59" s="176"/>
      <c r="E59" s="176"/>
      <c r="F59" s="65">
        <f t="shared" si="8"/>
        <v>59.780908573076694</v>
      </c>
      <c r="G59" s="65">
        <f t="shared" si="9"/>
        <v>-34.433803338092169</v>
      </c>
      <c r="H59" s="176">
        <f t="shared" si="10"/>
        <v>295.50149514168504</v>
      </c>
      <c r="I59" s="219"/>
    </row>
    <row r="60" spans="2:9">
      <c r="B60" s="75">
        <v>2035</v>
      </c>
      <c r="C60" s="176">
        <f t="shared" si="11"/>
        <v>12.590850584094904</v>
      </c>
      <c r="D60" s="176"/>
      <c r="E60" s="176"/>
      <c r="F60" s="65">
        <f t="shared" si="8"/>
        <v>60.67762220167284</v>
      </c>
      <c r="G60" s="65">
        <f t="shared" si="9"/>
        <v>-34.950310388163551</v>
      </c>
      <c r="H60" s="176">
        <f t="shared" si="10"/>
        <v>323.92873897431514</v>
      </c>
      <c r="I60" s="219"/>
    </row>
    <row r="61" spans="2:9">
      <c r="B61" s="75">
        <v>2036</v>
      </c>
      <c r="C61" s="176">
        <f t="shared" si="11"/>
        <v>13.598118630822498</v>
      </c>
      <c r="D61" s="176"/>
      <c r="E61" s="176"/>
      <c r="F61" s="65">
        <f t="shared" si="8"/>
        <v>61.587786534697926</v>
      </c>
      <c r="G61" s="65">
        <f t="shared" si="9"/>
        <v>-35.474565043985997</v>
      </c>
      <c r="H61" s="176">
        <f t="shared" si="10"/>
        <v>355.09068366364431</v>
      </c>
      <c r="I61" s="219"/>
    </row>
    <row r="62" spans="2:9">
      <c r="B62" s="75">
        <v>2037</v>
      </c>
      <c r="C62" s="176">
        <f t="shared" si="11"/>
        <v>14.685968121288299</v>
      </c>
      <c r="D62" s="176"/>
      <c r="E62" s="176"/>
      <c r="F62" s="65">
        <f t="shared" si="8"/>
        <v>62.511603332718387</v>
      </c>
      <c r="G62" s="65">
        <f t="shared" si="9"/>
        <v>-36.00668351964579</v>
      </c>
      <c r="H62" s="176">
        <f t="shared" si="10"/>
        <v>389.25040743208677</v>
      </c>
      <c r="I62" s="219"/>
    </row>
    <row r="63" spans="2:9">
      <c r="B63" s="75">
        <v>2038</v>
      </c>
      <c r="C63" s="176">
        <f t="shared" si="11"/>
        <v>15.860845570991364</v>
      </c>
      <c r="D63" s="176"/>
      <c r="E63" s="176"/>
      <c r="F63" s="65">
        <f t="shared" si="8"/>
        <v>63.449277382709155</v>
      </c>
      <c r="G63" s="65">
        <f t="shared" si="9"/>
        <v>-36.54678377244047</v>
      </c>
      <c r="H63" s="176">
        <f t="shared" si="10"/>
        <v>426.69629662705353</v>
      </c>
      <c r="I63" s="219"/>
    </row>
    <row r="64" spans="2:9">
      <c r="B64" s="75">
        <v>2039</v>
      </c>
      <c r="C64" s="176">
        <f t="shared" si="11"/>
        <v>17.129713216670673</v>
      </c>
      <c r="D64" s="176"/>
      <c r="E64" s="176"/>
      <c r="F64" s="65">
        <f t="shared" si="8"/>
        <v>64.401016543449785</v>
      </c>
      <c r="G64" s="65">
        <f t="shared" si="9"/>
        <v>-37.09498552902707</v>
      </c>
      <c r="H64" s="176">
        <f t="shared" si="10"/>
        <v>467.7444803625761</v>
      </c>
      <c r="I64" s="219"/>
    </row>
    <row r="65" spans="2:9">
      <c r="B65" s="75">
        <v>2040</v>
      </c>
      <c r="C65" s="176">
        <f t="shared" si="11"/>
        <v>18.500090274004329</v>
      </c>
      <c r="D65" s="176"/>
      <c r="E65" s="176"/>
      <c r="F65" s="65">
        <f t="shared" si="8"/>
        <v>65.367031791601519</v>
      </c>
      <c r="G65" s="65">
        <f t="shared" si="9"/>
        <v>-37.651410311962472</v>
      </c>
      <c r="H65" s="176">
        <f t="shared" si="10"/>
        <v>512.74149937345578</v>
      </c>
      <c r="I65" s="219"/>
    </row>
    <row r="66" spans="2:9">
      <c r="B66" s="75">
        <v>2041</v>
      </c>
      <c r="C66" s="176">
        <f t="shared" si="11"/>
        <v>19.980097495924678</v>
      </c>
      <c r="D66" s="176"/>
      <c r="E66" s="176"/>
      <c r="F66" s="65">
        <f t="shared" si="8"/>
        <v>66.347537268475534</v>
      </c>
      <c r="G66" s="65">
        <f t="shared" si="9"/>
        <v>-38.216181466641906</v>
      </c>
      <c r="H66" s="176">
        <f t="shared" si="10"/>
        <v>562.06723161318223</v>
      </c>
      <c r="I66" s="219"/>
    </row>
    <row r="67" spans="2:9" ht="15" thickBot="1">
      <c r="B67" s="76">
        <v>2042</v>
      </c>
      <c r="C67" s="210">
        <f t="shared" si="11"/>
        <v>21.578505295598653</v>
      </c>
      <c r="D67" s="210"/>
      <c r="E67" s="210"/>
      <c r="F67" s="79">
        <f t="shared" si="8"/>
        <v>67.342750327502657</v>
      </c>
      <c r="G67" s="79">
        <f t="shared" si="9"/>
        <v>-38.789424188641533</v>
      </c>
      <c r="H67" s="210">
        <f t="shared" si="10"/>
        <v>616.13809929437025</v>
      </c>
      <c r="I67" s="220"/>
    </row>
    <row r="68" spans="2:9" ht="15" thickBot="1">
      <c r="B68" s="62"/>
      <c r="C68" s="63"/>
      <c r="D68" s="63"/>
      <c r="E68" s="63"/>
      <c r="F68" s="63"/>
      <c r="G68" s="63"/>
      <c r="H68" s="63"/>
      <c r="I68" s="63"/>
    </row>
    <row r="69" spans="2:9" ht="19" thickBot="1">
      <c r="B69" s="245" t="s">
        <v>17</v>
      </c>
      <c r="C69" s="246"/>
      <c r="D69" s="247"/>
    </row>
    <row r="70" spans="2:9" ht="15" thickBot="1"/>
    <row r="71" spans="2:9">
      <c r="B71" s="73" t="s">
        <v>10</v>
      </c>
      <c r="C71" s="209" t="s">
        <v>151</v>
      </c>
      <c r="D71" s="211"/>
    </row>
    <row r="72" spans="2:9">
      <c r="B72" s="75">
        <v>2022</v>
      </c>
      <c r="C72" s="176">
        <f t="shared" ref="C72:C92" si="12">J20+U20+H47</f>
        <v>4994.7840000000006</v>
      </c>
      <c r="D72" s="219"/>
    </row>
    <row r="73" spans="2:9">
      <c r="B73" s="75">
        <v>2023</v>
      </c>
      <c r="C73" s="176">
        <f t="shared" si="12"/>
        <v>5523.1249359999993</v>
      </c>
      <c r="D73" s="219"/>
    </row>
    <row r="74" spans="2:9">
      <c r="B74" s="75">
        <v>2024</v>
      </c>
      <c r="C74" s="176">
        <f t="shared" si="12"/>
        <v>5992.648466994001</v>
      </c>
      <c r="D74" s="219"/>
    </row>
    <row r="75" spans="2:9">
      <c r="B75" s="75">
        <v>2025</v>
      </c>
      <c r="C75" s="176">
        <f t="shared" si="12"/>
        <v>6505.3697097478635</v>
      </c>
      <c r="D75" s="219"/>
    </row>
    <row r="76" spans="2:9">
      <c r="B76" s="75">
        <v>2026</v>
      </c>
      <c r="C76" s="176">
        <f t="shared" si="12"/>
        <v>7065.5585578779364</v>
      </c>
      <c r="D76" s="219"/>
    </row>
    <row r="77" spans="2:9">
      <c r="B77" s="75">
        <v>2027</v>
      </c>
      <c r="C77" s="176">
        <f t="shared" si="12"/>
        <v>7677.9315885719116</v>
      </c>
      <c r="D77" s="219"/>
    </row>
    <row r="78" spans="2:9">
      <c r="B78" s="75">
        <v>2028</v>
      </c>
      <c r="C78" s="176">
        <f t="shared" si="12"/>
        <v>8347.700704610319</v>
      </c>
      <c r="D78" s="219"/>
    </row>
    <row r="79" spans="2:9">
      <c r="B79" s="75">
        <v>2029</v>
      </c>
      <c r="C79" s="176">
        <f t="shared" si="12"/>
        <v>9080.6272141603295</v>
      </c>
      <c r="D79" s="219"/>
    </row>
    <row r="80" spans="2:9">
      <c r="B80" s="75">
        <v>2030</v>
      </c>
      <c r="C80" s="176">
        <f t="shared" si="12"/>
        <v>9883.0819662360864</v>
      </c>
      <c r="D80" s="219"/>
    </row>
    <row r="81" spans="1:4">
      <c r="B81" s="75">
        <v>2031</v>
      </c>
      <c r="C81" s="176">
        <f t="shared" si="12"/>
        <v>10762.112230625708</v>
      </c>
      <c r="D81" s="219"/>
    </row>
    <row r="82" spans="1:4">
      <c r="B82" s="75">
        <v>2032</v>
      </c>
      <c r="C82" s="176">
        <f t="shared" si="12"/>
        <v>11725.516090175448</v>
      </c>
      <c r="D82" s="219"/>
    </row>
    <row r="83" spans="1:4">
      <c r="B83" s="75">
        <v>2033</v>
      </c>
      <c r="C83" s="176">
        <f t="shared" si="12"/>
        <v>12781.925201544514</v>
      </c>
      <c r="D83" s="219"/>
    </row>
    <row r="84" spans="1:4">
      <c r="B84" s="75">
        <v>2034</v>
      </c>
      <c r="C84" s="176">
        <f t="shared" si="12"/>
        <v>13940.896878957417</v>
      </c>
      <c r="D84" s="219"/>
    </row>
    <row r="85" spans="1:4">
      <c r="B85" s="75">
        <v>2035</v>
      </c>
      <c r="C85" s="176">
        <f t="shared" si="12"/>
        <v>15213.01656526588</v>
      </c>
      <c r="D85" s="219"/>
    </row>
    <row r="86" spans="1:4">
      <c r="B86" s="75">
        <v>2036</v>
      </c>
      <c r="C86" s="176">
        <f t="shared" si="12"/>
        <v>16610.011877106655</v>
      </c>
      <c r="D86" s="219"/>
    </row>
    <row r="87" spans="1:4">
      <c r="B87" s="75">
        <v>2037</v>
      </c>
      <c r="C87" s="176">
        <f t="shared" si="12"/>
        <v>18144.879547576482</v>
      </c>
      <c r="D87" s="219"/>
    </row>
    <row r="88" spans="1:4">
      <c r="B88" s="75">
        <v>2038</v>
      </c>
      <c r="C88" s="176">
        <f t="shared" si="12"/>
        <v>19832.026742282535</v>
      </c>
      <c r="D88" s="219"/>
    </row>
    <row r="89" spans="1:4">
      <c r="B89" s="75">
        <v>2039</v>
      </c>
      <c r="C89" s="176">
        <f t="shared" si="12"/>
        <v>21687.428394698669</v>
      </c>
      <c r="D89" s="219"/>
    </row>
    <row r="90" spans="1:4">
      <c r="B90" s="75">
        <v>2040</v>
      </c>
      <c r="C90" s="176">
        <f t="shared" si="12"/>
        <v>23728.802396509789</v>
      </c>
      <c r="D90" s="219"/>
    </row>
    <row r="91" spans="1:4">
      <c r="B91" s="75">
        <v>2041</v>
      </c>
      <c r="C91" s="176">
        <f t="shared" si="12"/>
        <v>25975.804690341778</v>
      </c>
      <c r="D91" s="219"/>
    </row>
    <row r="92" spans="1:4" ht="15" thickBot="1">
      <c r="B92" s="76">
        <v>2042</v>
      </c>
      <c r="C92" s="210">
        <f t="shared" si="12"/>
        <v>28450.246548500967</v>
      </c>
      <c r="D92" s="220"/>
    </row>
    <row r="94" spans="1:4" ht="15" thickBot="1"/>
    <row r="95" spans="1:4" ht="34.5" thickBot="1">
      <c r="A95" s="237" t="s">
        <v>84</v>
      </c>
      <c r="B95" s="238"/>
      <c r="C95" s="238"/>
      <c r="D95" s="239"/>
    </row>
    <row r="97" spans="2:7" ht="18.5">
      <c r="B97" s="242" t="s">
        <v>152</v>
      </c>
      <c r="C97" s="243"/>
      <c r="D97" s="243"/>
      <c r="E97" s="243"/>
      <c r="F97" s="244"/>
      <c r="G97" s="60">
        <v>-150</v>
      </c>
    </row>
    <row r="99" spans="2:7" ht="18.5">
      <c r="B99" s="81" t="s">
        <v>85</v>
      </c>
      <c r="C99" s="81"/>
      <c r="D99" s="81"/>
    </row>
    <row r="100" spans="2:7" ht="19" thickBot="1">
      <c r="B100" s="50"/>
      <c r="C100" s="50"/>
      <c r="D100" s="50"/>
    </row>
    <row r="101" spans="2:7" ht="15.5">
      <c r="B101" s="240" t="s">
        <v>153</v>
      </c>
      <c r="C101" s="241"/>
      <c r="D101" s="241"/>
      <c r="E101" s="241"/>
      <c r="F101" s="82">
        <v>1000</v>
      </c>
    </row>
    <row r="102" spans="2:7" ht="15.5">
      <c r="B102" s="233" t="s">
        <v>154</v>
      </c>
      <c r="C102" s="234"/>
      <c r="D102" s="234"/>
      <c r="E102" s="234"/>
      <c r="F102" s="83">
        <v>200</v>
      </c>
    </row>
    <row r="103" spans="2:7" ht="15.5">
      <c r="B103" s="233" t="s">
        <v>86</v>
      </c>
      <c r="C103" s="234"/>
      <c r="D103" s="234"/>
      <c r="E103" s="234"/>
      <c r="F103" s="83">
        <v>20</v>
      </c>
    </row>
    <row r="104" spans="2:7" ht="16" thickBot="1">
      <c r="B104" s="235" t="s">
        <v>155</v>
      </c>
      <c r="C104" s="236"/>
      <c r="D104" s="236"/>
      <c r="E104" s="236"/>
      <c r="F104" s="84">
        <f>(F101-F102)/F103</f>
        <v>40</v>
      </c>
    </row>
    <row r="105" spans="2:7" ht="18.5">
      <c r="B105" s="50"/>
      <c r="C105" s="50"/>
      <c r="D105" s="50"/>
    </row>
    <row r="106" spans="2:7" ht="18.5">
      <c r="B106" s="50"/>
      <c r="C106" s="50"/>
      <c r="D106" s="50"/>
    </row>
    <row r="107" spans="2:7" ht="15" thickBot="1"/>
    <row r="108" spans="2:7">
      <c r="B108" s="73" t="s">
        <v>10</v>
      </c>
      <c r="C108" s="209" t="s">
        <v>156</v>
      </c>
      <c r="D108" s="209"/>
      <c r="E108" s="209"/>
      <c r="F108" s="209" t="s">
        <v>87</v>
      </c>
      <c r="G108" s="211"/>
    </row>
    <row r="109" spans="2:7">
      <c r="B109" s="75">
        <v>2022</v>
      </c>
      <c r="C109" s="171">
        <v>-1000</v>
      </c>
      <c r="D109" s="171"/>
      <c r="E109" s="171"/>
      <c r="F109" s="171">
        <v>0</v>
      </c>
      <c r="G109" s="173"/>
    </row>
    <row r="110" spans="2:7">
      <c r="B110" s="75">
        <v>2023</v>
      </c>
      <c r="C110" s="171">
        <v>0</v>
      </c>
      <c r="D110" s="171"/>
      <c r="E110" s="171"/>
      <c r="F110" s="171">
        <f>$F$104*(-1)</f>
        <v>-40</v>
      </c>
      <c r="G110" s="173"/>
    </row>
    <row r="111" spans="2:7">
      <c r="B111" s="75">
        <v>2024</v>
      </c>
      <c r="C111" s="171">
        <v>0</v>
      </c>
      <c r="D111" s="171"/>
      <c r="E111" s="171"/>
      <c r="F111" s="171">
        <f t="shared" ref="F111:F129" si="13">$F$104*(-1)</f>
        <v>-40</v>
      </c>
      <c r="G111" s="173"/>
    </row>
    <row r="112" spans="2:7">
      <c r="B112" s="75">
        <v>2025</v>
      </c>
      <c r="C112" s="171">
        <v>0</v>
      </c>
      <c r="D112" s="171"/>
      <c r="E112" s="171"/>
      <c r="F112" s="171">
        <f t="shared" si="13"/>
        <v>-40</v>
      </c>
      <c r="G112" s="173"/>
    </row>
    <row r="113" spans="2:7">
      <c r="B113" s="75">
        <v>2026</v>
      </c>
      <c r="C113" s="171">
        <v>0</v>
      </c>
      <c r="D113" s="171"/>
      <c r="E113" s="171"/>
      <c r="F113" s="171">
        <f t="shared" si="13"/>
        <v>-40</v>
      </c>
      <c r="G113" s="173"/>
    </row>
    <row r="114" spans="2:7">
      <c r="B114" s="75">
        <v>2027</v>
      </c>
      <c r="C114" s="171">
        <v>0</v>
      </c>
      <c r="D114" s="171"/>
      <c r="E114" s="171"/>
      <c r="F114" s="171">
        <f t="shared" si="13"/>
        <v>-40</v>
      </c>
      <c r="G114" s="173"/>
    </row>
    <row r="115" spans="2:7">
      <c r="B115" s="75">
        <v>2028</v>
      </c>
      <c r="C115" s="171">
        <v>0</v>
      </c>
      <c r="D115" s="171"/>
      <c r="E115" s="171"/>
      <c r="F115" s="171">
        <f t="shared" si="13"/>
        <v>-40</v>
      </c>
      <c r="G115" s="173"/>
    </row>
    <row r="116" spans="2:7">
      <c r="B116" s="75">
        <v>2029</v>
      </c>
      <c r="C116" s="171">
        <v>0</v>
      </c>
      <c r="D116" s="171"/>
      <c r="E116" s="171"/>
      <c r="F116" s="171">
        <f t="shared" si="13"/>
        <v>-40</v>
      </c>
      <c r="G116" s="173"/>
    </row>
    <row r="117" spans="2:7">
      <c r="B117" s="75">
        <v>2030</v>
      </c>
      <c r="C117" s="171">
        <v>0</v>
      </c>
      <c r="D117" s="171"/>
      <c r="E117" s="171"/>
      <c r="F117" s="171">
        <f t="shared" si="13"/>
        <v>-40</v>
      </c>
      <c r="G117" s="173"/>
    </row>
    <row r="118" spans="2:7">
      <c r="B118" s="75">
        <v>2031</v>
      </c>
      <c r="C118" s="171">
        <v>0</v>
      </c>
      <c r="D118" s="171"/>
      <c r="E118" s="171"/>
      <c r="F118" s="171">
        <f t="shared" si="13"/>
        <v>-40</v>
      </c>
      <c r="G118" s="173"/>
    </row>
    <row r="119" spans="2:7">
      <c r="B119" s="75">
        <v>2032</v>
      </c>
      <c r="C119" s="171">
        <v>0</v>
      </c>
      <c r="D119" s="171"/>
      <c r="E119" s="171"/>
      <c r="F119" s="171">
        <f t="shared" si="13"/>
        <v>-40</v>
      </c>
      <c r="G119" s="173"/>
    </row>
    <row r="120" spans="2:7">
      <c r="B120" s="75">
        <v>2033</v>
      </c>
      <c r="C120" s="171">
        <v>0</v>
      </c>
      <c r="D120" s="171"/>
      <c r="E120" s="171"/>
      <c r="F120" s="171">
        <f t="shared" si="13"/>
        <v>-40</v>
      </c>
      <c r="G120" s="173"/>
    </row>
    <row r="121" spans="2:7">
      <c r="B121" s="75">
        <v>2034</v>
      </c>
      <c r="C121" s="171">
        <v>0</v>
      </c>
      <c r="D121" s="171"/>
      <c r="E121" s="171"/>
      <c r="F121" s="171">
        <f t="shared" si="13"/>
        <v>-40</v>
      </c>
      <c r="G121" s="173"/>
    </row>
    <row r="122" spans="2:7">
      <c r="B122" s="75">
        <v>2035</v>
      </c>
      <c r="C122" s="171">
        <v>0</v>
      </c>
      <c r="D122" s="171"/>
      <c r="E122" s="171"/>
      <c r="F122" s="171">
        <f t="shared" si="13"/>
        <v>-40</v>
      </c>
      <c r="G122" s="173"/>
    </row>
    <row r="123" spans="2:7">
      <c r="B123" s="75">
        <v>2036</v>
      </c>
      <c r="C123" s="171">
        <v>0</v>
      </c>
      <c r="D123" s="171"/>
      <c r="E123" s="171"/>
      <c r="F123" s="171">
        <f t="shared" si="13"/>
        <v>-40</v>
      </c>
      <c r="G123" s="173"/>
    </row>
    <row r="124" spans="2:7">
      <c r="B124" s="75">
        <v>2037</v>
      </c>
      <c r="C124" s="171">
        <v>0</v>
      </c>
      <c r="D124" s="171"/>
      <c r="E124" s="171"/>
      <c r="F124" s="171">
        <f t="shared" si="13"/>
        <v>-40</v>
      </c>
      <c r="G124" s="173"/>
    </row>
    <row r="125" spans="2:7">
      <c r="B125" s="75">
        <v>2038</v>
      </c>
      <c r="C125" s="171">
        <v>0</v>
      </c>
      <c r="D125" s="171"/>
      <c r="E125" s="171"/>
      <c r="F125" s="171">
        <f t="shared" si="13"/>
        <v>-40</v>
      </c>
      <c r="G125" s="173"/>
    </row>
    <row r="126" spans="2:7">
      <c r="B126" s="75">
        <v>2039</v>
      </c>
      <c r="C126" s="171">
        <v>0</v>
      </c>
      <c r="D126" s="171"/>
      <c r="E126" s="171"/>
      <c r="F126" s="171">
        <f t="shared" si="13"/>
        <v>-40</v>
      </c>
      <c r="G126" s="173"/>
    </row>
    <row r="127" spans="2:7">
      <c r="B127" s="75">
        <v>2040</v>
      </c>
      <c r="C127" s="171">
        <v>0</v>
      </c>
      <c r="D127" s="171"/>
      <c r="E127" s="171"/>
      <c r="F127" s="171">
        <f t="shared" si="13"/>
        <v>-40</v>
      </c>
      <c r="G127" s="173"/>
    </row>
    <row r="128" spans="2:7">
      <c r="B128" s="75">
        <v>2041</v>
      </c>
      <c r="C128" s="171">
        <v>0</v>
      </c>
      <c r="D128" s="171"/>
      <c r="E128" s="171"/>
      <c r="F128" s="171">
        <f t="shared" si="13"/>
        <v>-40</v>
      </c>
      <c r="G128" s="173"/>
    </row>
    <row r="129" spans="2:14" ht="15" thickBot="1">
      <c r="B129" s="76">
        <v>2042</v>
      </c>
      <c r="C129" s="163">
        <v>0</v>
      </c>
      <c r="D129" s="163"/>
      <c r="E129" s="163"/>
      <c r="F129" s="163">
        <f t="shared" si="13"/>
        <v>-40</v>
      </c>
      <c r="G129" s="165"/>
    </row>
    <row r="130" spans="2:14">
      <c r="B130" s="62"/>
      <c r="C130" s="62"/>
      <c r="D130" s="62"/>
      <c r="E130" s="62"/>
    </row>
    <row r="132" spans="2:14" ht="18.5">
      <c r="B132" s="225" t="s">
        <v>88</v>
      </c>
      <c r="C132" s="225"/>
      <c r="D132" s="225"/>
      <c r="E132" s="225"/>
    </row>
    <row r="133" spans="2:14" ht="18.5">
      <c r="B133" s="50"/>
      <c r="C133" s="50"/>
      <c r="D133" s="50"/>
      <c r="E133" s="50"/>
    </row>
    <row r="134" spans="2:14" ht="15.5">
      <c r="B134" s="226" t="s">
        <v>89</v>
      </c>
      <c r="C134" s="226"/>
      <c r="D134" s="226"/>
      <c r="E134" s="226"/>
      <c r="F134" s="60">
        <f>-400</f>
        <v>-400</v>
      </c>
    </row>
    <row r="135" spans="2:14" ht="15.5">
      <c r="B135" s="226" t="s">
        <v>90</v>
      </c>
      <c r="C135" s="226"/>
      <c r="D135" s="226"/>
      <c r="E135" s="226"/>
      <c r="F135" s="68">
        <v>0.05</v>
      </c>
    </row>
    <row r="136" spans="2:14" ht="15.5">
      <c r="B136" s="226" t="s">
        <v>91</v>
      </c>
      <c r="C136" s="226"/>
      <c r="D136" s="226"/>
      <c r="E136" s="226"/>
      <c r="F136" s="68">
        <v>0.1</v>
      </c>
    </row>
    <row r="137" spans="2:14" ht="15" thickBot="1"/>
    <row r="138" spans="2:14">
      <c r="B138" s="85" t="s">
        <v>10</v>
      </c>
      <c r="C138" s="209" t="s">
        <v>157</v>
      </c>
      <c r="D138" s="209"/>
      <c r="E138" s="209"/>
      <c r="F138" s="209" t="s">
        <v>92</v>
      </c>
      <c r="G138" s="209"/>
      <c r="H138" s="209"/>
      <c r="I138" s="209" t="s">
        <v>158</v>
      </c>
      <c r="J138" s="209"/>
      <c r="K138" s="209"/>
      <c r="L138" s="209" t="s">
        <v>159</v>
      </c>
      <c r="M138" s="209"/>
      <c r="N138" s="211"/>
    </row>
    <row r="139" spans="2:14">
      <c r="B139" s="75">
        <v>2022</v>
      </c>
      <c r="C139" s="187">
        <f>F134*(1+$F$135)</f>
        <v>-420</v>
      </c>
      <c r="D139" s="187"/>
      <c r="E139" s="187"/>
      <c r="F139" s="187">
        <f>F136*F134</f>
        <v>-40</v>
      </c>
      <c r="G139" s="187"/>
      <c r="H139" s="187"/>
      <c r="I139" s="187">
        <v>-40</v>
      </c>
      <c r="J139" s="187"/>
      <c r="K139" s="187"/>
      <c r="L139" s="187">
        <f>C139+F139+I139</f>
        <v>-500</v>
      </c>
      <c r="M139" s="187"/>
      <c r="N139" s="188"/>
    </row>
    <row r="140" spans="2:14">
      <c r="B140" s="75">
        <v>2023</v>
      </c>
      <c r="C140" s="187">
        <f>C139*(1+$F$135)</f>
        <v>-441</v>
      </c>
      <c r="D140" s="187"/>
      <c r="E140" s="187"/>
      <c r="F140" s="187">
        <f>$F$136*C139</f>
        <v>-42</v>
      </c>
      <c r="G140" s="187"/>
      <c r="H140" s="187"/>
      <c r="I140" s="187">
        <f>I139*(1+$F$136)</f>
        <v>-44</v>
      </c>
      <c r="J140" s="187"/>
      <c r="K140" s="187"/>
      <c r="L140" s="187">
        <f t="shared" ref="L140:L159" si="14">C140+F140+I140</f>
        <v>-527</v>
      </c>
      <c r="M140" s="187"/>
      <c r="N140" s="188"/>
    </row>
    <row r="141" spans="2:14">
      <c r="B141" s="75">
        <v>2024</v>
      </c>
      <c r="C141" s="187">
        <f t="shared" ref="C141:C159" si="15">C140*(1+$F$135)</f>
        <v>-463.05</v>
      </c>
      <c r="D141" s="187"/>
      <c r="E141" s="187"/>
      <c r="F141" s="187">
        <f t="shared" ref="F141:F159" si="16">$F$136*C140</f>
        <v>-44.1</v>
      </c>
      <c r="G141" s="187"/>
      <c r="H141" s="187"/>
      <c r="I141" s="187">
        <f t="shared" ref="I141:I159" si="17">I140*(1+$F$136)</f>
        <v>-48.400000000000006</v>
      </c>
      <c r="J141" s="187"/>
      <c r="K141" s="187"/>
      <c r="L141" s="187">
        <f t="shared" si="14"/>
        <v>-555.55000000000007</v>
      </c>
      <c r="M141" s="187"/>
      <c r="N141" s="188"/>
    </row>
    <row r="142" spans="2:14">
      <c r="B142" s="75">
        <v>2025</v>
      </c>
      <c r="C142" s="187">
        <f t="shared" si="15"/>
        <v>-486.20250000000004</v>
      </c>
      <c r="D142" s="187"/>
      <c r="E142" s="187"/>
      <c r="F142" s="187">
        <f t="shared" si="16"/>
        <v>-46.305000000000007</v>
      </c>
      <c r="G142" s="187"/>
      <c r="H142" s="187"/>
      <c r="I142" s="187">
        <f t="shared" si="17"/>
        <v>-53.240000000000009</v>
      </c>
      <c r="J142" s="187"/>
      <c r="K142" s="187"/>
      <c r="L142" s="187">
        <f t="shared" si="14"/>
        <v>-585.74750000000006</v>
      </c>
      <c r="M142" s="187"/>
      <c r="N142" s="188"/>
    </row>
    <row r="143" spans="2:14">
      <c r="B143" s="75">
        <v>2026</v>
      </c>
      <c r="C143" s="187">
        <f t="shared" si="15"/>
        <v>-510.51262500000007</v>
      </c>
      <c r="D143" s="187"/>
      <c r="E143" s="187"/>
      <c r="F143" s="187">
        <f t="shared" si="16"/>
        <v>-48.620250000000006</v>
      </c>
      <c r="G143" s="187"/>
      <c r="H143" s="187"/>
      <c r="I143" s="187">
        <f t="shared" si="17"/>
        <v>-58.564000000000014</v>
      </c>
      <c r="J143" s="187"/>
      <c r="K143" s="187"/>
      <c r="L143" s="187">
        <f t="shared" si="14"/>
        <v>-617.69687500000009</v>
      </c>
      <c r="M143" s="187"/>
      <c r="N143" s="188"/>
    </row>
    <row r="144" spans="2:14">
      <c r="B144" s="75">
        <v>2027</v>
      </c>
      <c r="C144" s="187">
        <f t="shared" si="15"/>
        <v>-536.03825625000013</v>
      </c>
      <c r="D144" s="187"/>
      <c r="E144" s="187"/>
      <c r="F144" s="187">
        <f t="shared" si="16"/>
        <v>-51.051262500000007</v>
      </c>
      <c r="G144" s="187"/>
      <c r="H144" s="187"/>
      <c r="I144" s="187">
        <f t="shared" si="17"/>
        <v>-64.420400000000015</v>
      </c>
      <c r="J144" s="187"/>
      <c r="K144" s="187"/>
      <c r="L144" s="187">
        <f t="shared" si="14"/>
        <v>-651.50991875000011</v>
      </c>
      <c r="M144" s="187"/>
      <c r="N144" s="188"/>
    </row>
    <row r="145" spans="2:14">
      <c r="B145" s="75">
        <v>2028</v>
      </c>
      <c r="C145" s="187">
        <f t="shared" si="15"/>
        <v>-562.84016906250019</v>
      </c>
      <c r="D145" s="187"/>
      <c r="E145" s="187"/>
      <c r="F145" s="187">
        <f t="shared" si="16"/>
        <v>-53.603825625000013</v>
      </c>
      <c r="G145" s="187"/>
      <c r="H145" s="187"/>
      <c r="I145" s="187">
        <f t="shared" si="17"/>
        <v>-70.862440000000021</v>
      </c>
      <c r="J145" s="187"/>
      <c r="K145" s="187"/>
      <c r="L145" s="187">
        <f t="shared" si="14"/>
        <v>-687.3064346875002</v>
      </c>
      <c r="M145" s="187"/>
      <c r="N145" s="188"/>
    </row>
    <row r="146" spans="2:14">
      <c r="B146" s="75">
        <v>2029</v>
      </c>
      <c r="C146" s="187">
        <f t="shared" si="15"/>
        <v>-590.98217751562527</v>
      </c>
      <c r="D146" s="187"/>
      <c r="E146" s="187"/>
      <c r="F146" s="187">
        <f t="shared" si="16"/>
        <v>-56.284016906250024</v>
      </c>
      <c r="G146" s="187"/>
      <c r="H146" s="187"/>
      <c r="I146" s="187">
        <f t="shared" si="17"/>
        <v>-77.948684000000029</v>
      </c>
      <c r="J146" s="187"/>
      <c r="K146" s="187"/>
      <c r="L146" s="187">
        <f t="shared" si="14"/>
        <v>-725.21487842187537</v>
      </c>
      <c r="M146" s="187"/>
      <c r="N146" s="188"/>
    </row>
    <row r="147" spans="2:14">
      <c r="B147" s="75">
        <v>2030</v>
      </c>
      <c r="C147" s="187">
        <f t="shared" si="15"/>
        <v>-620.53128639140652</v>
      </c>
      <c r="D147" s="187"/>
      <c r="E147" s="187"/>
      <c r="F147" s="187">
        <f t="shared" si="16"/>
        <v>-59.09821775156253</v>
      </c>
      <c r="G147" s="187"/>
      <c r="H147" s="187"/>
      <c r="I147" s="187">
        <f t="shared" si="17"/>
        <v>-85.743552400000041</v>
      </c>
      <c r="J147" s="187"/>
      <c r="K147" s="187"/>
      <c r="L147" s="187">
        <f t="shared" si="14"/>
        <v>-765.37305654296904</v>
      </c>
      <c r="M147" s="187"/>
      <c r="N147" s="188"/>
    </row>
    <row r="148" spans="2:14">
      <c r="B148" s="75">
        <v>2031</v>
      </c>
      <c r="C148" s="187">
        <f t="shared" si="15"/>
        <v>-651.55785071097682</v>
      </c>
      <c r="D148" s="187"/>
      <c r="E148" s="187"/>
      <c r="F148" s="187">
        <f t="shared" si="16"/>
        <v>-62.053128639140652</v>
      </c>
      <c r="G148" s="187"/>
      <c r="H148" s="187"/>
      <c r="I148" s="187">
        <f t="shared" si="17"/>
        <v>-94.317907640000058</v>
      </c>
      <c r="J148" s="187"/>
      <c r="K148" s="187"/>
      <c r="L148" s="187">
        <f t="shared" si="14"/>
        <v>-807.92888699011758</v>
      </c>
      <c r="M148" s="187"/>
      <c r="N148" s="188"/>
    </row>
    <row r="149" spans="2:14">
      <c r="B149" s="75">
        <v>2032</v>
      </c>
      <c r="C149" s="187">
        <f t="shared" si="15"/>
        <v>-684.13574324652575</v>
      </c>
      <c r="D149" s="187"/>
      <c r="E149" s="187"/>
      <c r="F149" s="187">
        <f t="shared" si="16"/>
        <v>-65.155785071097682</v>
      </c>
      <c r="G149" s="187"/>
      <c r="H149" s="187"/>
      <c r="I149" s="187">
        <f t="shared" si="17"/>
        <v>-103.74969840400007</v>
      </c>
      <c r="J149" s="187"/>
      <c r="K149" s="187"/>
      <c r="L149" s="187">
        <f t="shared" si="14"/>
        <v>-853.04122672162362</v>
      </c>
      <c r="M149" s="187"/>
      <c r="N149" s="188"/>
    </row>
    <row r="150" spans="2:14">
      <c r="B150" s="75">
        <v>2033</v>
      </c>
      <c r="C150" s="187">
        <f t="shared" si="15"/>
        <v>-718.3425304088521</v>
      </c>
      <c r="D150" s="187"/>
      <c r="E150" s="187"/>
      <c r="F150" s="187">
        <f t="shared" si="16"/>
        <v>-68.413574324652572</v>
      </c>
      <c r="G150" s="187"/>
      <c r="H150" s="187"/>
      <c r="I150" s="187">
        <f t="shared" si="17"/>
        <v>-114.12466824440008</v>
      </c>
      <c r="J150" s="187"/>
      <c r="K150" s="187"/>
      <c r="L150" s="187">
        <f t="shared" si="14"/>
        <v>-900.88077297790483</v>
      </c>
      <c r="M150" s="187"/>
      <c r="N150" s="188"/>
    </row>
    <row r="151" spans="2:14">
      <c r="B151" s="75">
        <v>2034</v>
      </c>
      <c r="C151" s="187">
        <f t="shared" si="15"/>
        <v>-754.25965692929469</v>
      </c>
      <c r="D151" s="187"/>
      <c r="E151" s="187"/>
      <c r="F151" s="187">
        <f t="shared" si="16"/>
        <v>-71.834253040885216</v>
      </c>
      <c r="G151" s="187"/>
      <c r="H151" s="187"/>
      <c r="I151" s="187">
        <f t="shared" si="17"/>
        <v>-125.5371350688401</v>
      </c>
      <c r="J151" s="187"/>
      <c r="K151" s="187"/>
      <c r="L151" s="187">
        <f t="shared" si="14"/>
        <v>-951.63104503902002</v>
      </c>
      <c r="M151" s="187"/>
      <c r="N151" s="188"/>
    </row>
    <row r="152" spans="2:14">
      <c r="B152" s="75">
        <v>2035</v>
      </c>
      <c r="C152" s="187">
        <f t="shared" si="15"/>
        <v>-791.97263977575949</v>
      </c>
      <c r="D152" s="187"/>
      <c r="E152" s="187"/>
      <c r="F152" s="187">
        <f t="shared" si="16"/>
        <v>-75.425965692929466</v>
      </c>
      <c r="G152" s="187"/>
      <c r="H152" s="187"/>
      <c r="I152" s="187">
        <f t="shared" si="17"/>
        <v>-138.09084857572412</v>
      </c>
      <c r="J152" s="187"/>
      <c r="K152" s="187"/>
      <c r="L152" s="187">
        <f t="shared" si="14"/>
        <v>-1005.4894540444132</v>
      </c>
      <c r="M152" s="187"/>
      <c r="N152" s="188"/>
    </row>
    <row r="153" spans="2:14">
      <c r="B153" s="75">
        <v>2036</v>
      </c>
      <c r="C153" s="187">
        <f t="shared" si="15"/>
        <v>-831.57127176454753</v>
      </c>
      <c r="D153" s="187"/>
      <c r="E153" s="187"/>
      <c r="F153" s="187">
        <f t="shared" si="16"/>
        <v>-79.197263977575957</v>
      </c>
      <c r="G153" s="187"/>
      <c r="H153" s="187"/>
      <c r="I153" s="187">
        <f t="shared" si="17"/>
        <v>-151.89993343329655</v>
      </c>
      <c r="J153" s="187"/>
      <c r="K153" s="187"/>
      <c r="L153" s="187">
        <f t="shared" si="14"/>
        <v>-1062.6684691754201</v>
      </c>
      <c r="M153" s="187"/>
      <c r="N153" s="188"/>
    </row>
    <row r="154" spans="2:14">
      <c r="B154" s="75">
        <v>2037</v>
      </c>
      <c r="C154" s="187">
        <f t="shared" si="15"/>
        <v>-873.14983535277497</v>
      </c>
      <c r="D154" s="187"/>
      <c r="E154" s="187"/>
      <c r="F154" s="187">
        <f t="shared" si="16"/>
        <v>-83.157127176454765</v>
      </c>
      <c r="G154" s="187"/>
      <c r="H154" s="187"/>
      <c r="I154" s="187">
        <f t="shared" si="17"/>
        <v>-167.08992677662621</v>
      </c>
      <c r="J154" s="187"/>
      <c r="K154" s="187"/>
      <c r="L154" s="187">
        <f t="shared" si="14"/>
        <v>-1123.3968893058559</v>
      </c>
      <c r="M154" s="187"/>
      <c r="N154" s="188"/>
    </row>
    <row r="155" spans="2:14">
      <c r="B155" s="75">
        <v>2038</v>
      </c>
      <c r="C155" s="187">
        <f t="shared" si="15"/>
        <v>-916.80732712041379</v>
      </c>
      <c r="D155" s="187"/>
      <c r="E155" s="187"/>
      <c r="F155" s="187">
        <f t="shared" si="16"/>
        <v>-87.314983535277506</v>
      </c>
      <c r="G155" s="187"/>
      <c r="H155" s="187"/>
      <c r="I155" s="187">
        <f t="shared" si="17"/>
        <v>-183.79891945428886</v>
      </c>
      <c r="J155" s="187"/>
      <c r="K155" s="187"/>
      <c r="L155" s="187">
        <f t="shared" si="14"/>
        <v>-1187.9212301099801</v>
      </c>
      <c r="M155" s="187"/>
      <c r="N155" s="188"/>
    </row>
    <row r="156" spans="2:14">
      <c r="B156" s="75">
        <v>2039</v>
      </c>
      <c r="C156" s="187">
        <f t="shared" si="15"/>
        <v>-962.64769347643448</v>
      </c>
      <c r="D156" s="187"/>
      <c r="E156" s="187"/>
      <c r="F156" s="187">
        <f t="shared" si="16"/>
        <v>-91.68073271204139</v>
      </c>
      <c r="G156" s="187"/>
      <c r="H156" s="187"/>
      <c r="I156" s="187">
        <f t="shared" si="17"/>
        <v>-202.17881139971777</v>
      </c>
      <c r="J156" s="187"/>
      <c r="K156" s="187"/>
      <c r="L156" s="187">
        <f t="shared" si="14"/>
        <v>-1256.5072375881937</v>
      </c>
      <c r="M156" s="187"/>
      <c r="N156" s="188"/>
    </row>
    <row r="157" spans="2:14">
      <c r="B157" s="75">
        <v>2040</v>
      </c>
      <c r="C157" s="187">
        <f t="shared" si="15"/>
        <v>-1010.7800781502563</v>
      </c>
      <c r="D157" s="187"/>
      <c r="E157" s="187"/>
      <c r="F157" s="187">
        <f t="shared" si="16"/>
        <v>-96.264769347643451</v>
      </c>
      <c r="G157" s="187"/>
      <c r="H157" s="187"/>
      <c r="I157" s="187">
        <f t="shared" si="17"/>
        <v>-222.39669253968958</v>
      </c>
      <c r="J157" s="187"/>
      <c r="K157" s="187"/>
      <c r="L157" s="187">
        <f t="shared" si="14"/>
        <v>-1329.4415400375894</v>
      </c>
      <c r="M157" s="187"/>
      <c r="N157" s="188"/>
    </row>
    <row r="158" spans="2:14">
      <c r="B158" s="75">
        <v>2041</v>
      </c>
      <c r="C158" s="187">
        <f t="shared" si="15"/>
        <v>-1061.319082057769</v>
      </c>
      <c r="D158" s="187"/>
      <c r="E158" s="187"/>
      <c r="F158" s="187">
        <f t="shared" si="16"/>
        <v>-101.07800781502563</v>
      </c>
      <c r="G158" s="187"/>
      <c r="H158" s="187"/>
      <c r="I158" s="187">
        <f t="shared" si="17"/>
        <v>-244.63636179365855</v>
      </c>
      <c r="J158" s="187"/>
      <c r="K158" s="187"/>
      <c r="L158" s="187">
        <f t="shared" si="14"/>
        <v>-1407.0334516664532</v>
      </c>
      <c r="M158" s="187"/>
      <c r="N158" s="188"/>
    </row>
    <row r="159" spans="2:14" ht="15" thickBot="1">
      <c r="B159" s="76">
        <v>2042</v>
      </c>
      <c r="C159" s="183">
        <f t="shared" si="15"/>
        <v>-1114.3850361606576</v>
      </c>
      <c r="D159" s="183"/>
      <c r="E159" s="183"/>
      <c r="F159" s="183">
        <f t="shared" si="16"/>
        <v>-106.13190820577691</v>
      </c>
      <c r="G159" s="183"/>
      <c r="H159" s="183"/>
      <c r="I159" s="183">
        <f t="shared" si="17"/>
        <v>-269.09999797302441</v>
      </c>
      <c r="J159" s="183"/>
      <c r="K159" s="183"/>
      <c r="L159" s="183">
        <f t="shared" si="14"/>
        <v>-1489.616942339459</v>
      </c>
      <c r="M159" s="183"/>
      <c r="N159" s="184"/>
    </row>
    <row r="160" spans="2:14">
      <c r="B160" s="62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</row>
    <row r="161" spans="2:7" ht="18.5">
      <c r="B161" s="225" t="s">
        <v>93</v>
      </c>
      <c r="C161" s="225"/>
      <c r="D161" s="225"/>
      <c r="E161" s="225"/>
    </row>
    <row r="162" spans="2:7" ht="18.5">
      <c r="B162" s="50"/>
      <c r="C162" s="50"/>
      <c r="D162" s="50"/>
      <c r="E162" s="50"/>
    </row>
    <row r="163" spans="2:7">
      <c r="B163" s="171" t="s">
        <v>160</v>
      </c>
      <c r="C163" s="171"/>
      <c r="D163" s="171"/>
      <c r="E163" s="171"/>
      <c r="F163" s="60">
        <v>-500</v>
      </c>
    </row>
    <row r="164" spans="2:7">
      <c r="B164" s="171" t="s">
        <v>94</v>
      </c>
      <c r="C164" s="171"/>
      <c r="D164" s="171"/>
      <c r="E164" s="171"/>
      <c r="F164" s="68">
        <v>0.05</v>
      </c>
    </row>
    <row r="165" spans="2:7">
      <c r="B165" s="171" t="s">
        <v>95</v>
      </c>
      <c r="C165" s="171"/>
      <c r="D165" s="171"/>
      <c r="E165" s="171"/>
      <c r="F165" s="68">
        <v>0.15</v>
      </c>
    </row>
    <row r="166" spans="2:7" ht="15" thickBot="1"/>
    <row r="167" spans="2:7">
      <c r="B167" s="73" t="s">
        <v>10</v>
      </c>
      <c r="C167" s="209" t="s">
        <v>161</v>
      </c>
      <c r="D167" s="209"/>
      <c r="E167" s="209"/>
      <c r="F167" s="209" t="s">
        <v>162</v>
      </c>
      <c r="G167" s="211"/>
    </row>
    <row r="168" spans="2:7">
      <c r="B168" s="75">
        <v>2022</v>
      </c>
      <c r="C168" s="176">
        <f>F163*(1+$F$164)</f>
        <v>-525</v>
      </c>
      <c r="D168" s="176"/>
      <c r="E168" s="176"/>
      <c r="F168" s="176">
        <f>C168</f>
        <v>-525</v>
      </c>
      <c r="G168" s="219"/>
    </row>
    <row r="169" spans="2:7">
      <c r="B169" s="75">
        <v>2023</v>
      </c>
      <c r="C169" s="176">
        <f>C168*(1+$F$164)</f>
        <v>-551.25</v>
      </c>
      <c r="D169" s="176"/>
      <c r="E169" s="176"/>
      <c r="F169" s="176">
        <f>C169*(1+$F$165)</f>
        <v>-633.9375</v>
      </c>
      <c r="G169" s="219"/>
    </row>
    <row r="170" spans="2:7">
      <c r="B170" s="75">
        <v>2024</v>
      </c>
      <c r="C170" s="176">
        <f t="shared" ref="C170:C188" si="18">C169*(1+$F$164)</f>
        <v>-578.8125</v>
      </c>
      <c r="D170" s="176"/>
      <c r="E170" s="176"/>
      <c r="F170" s="176">
        <f t="shared" ref="F170:F188" si="19">C170*(1+$F$165)</f>
        <v>-665.63437499999998</v>
      </c>
      <c r="G170" s="219"/>
    </row>
    <row r="171" spans="2:7">
      <c r="B171" s="75">
        <v>2025</v>
      </c>
      <c r="C171" s="176">
        <f t="shared" si="18"/>
        <v>-607.75312500000007</v>
      </c>
      <c r="D171" s="176"/>
      <c r="E171" s="176"/>
      <c r="F171" s="176">
        <f t="shared" si="19"/>
        <v>-698.91609375000007</v>
      </c>
      <c r="G171" s="219"/>
    </row>
    <row r="172" spans="2:7">
      <c r="B172" s="75">
        <v>2026</v>
      </c>
      <c r="C172" s="176">
        <f t="shared" si="18"/>
        <v>-638.14078125000015</v>
      </c>
      <c r="D172" s="176"/>
      <c r="E172" s="176"/>
      <c r="F172" s="176">
        <f t="shared" si="19"/>
        <v>-733.86189843750014</v>
      </c>
      <c r="G172" s="219"/>
    </row>
    <row r="173" spans="2:7">
      <c r="B173" s="75">
        <v>2027</v>
      </c>
      <c r="C173" s="176">
        <f t="shared" si="18"/>
        <v>-670.04782031250022</v>
      </c>
      <c r="D173" s="176"/>
      <c r="E173" s="176"/>
      <c r="F173" s="176">
        <f t="shared" si="19"/>
        <v>-770.5549933593752</v>
      </c>
      <c r="G173" s="219"/>
    </row>
    <row r="174" spans="2:7">
      <c r="B174" s="75">
        <v>2028</v>
      </c>
      <c r="C174" s="176">
        <f t="shared" si="18"/>
        <v>-703.55021132812522</v>
      </c>
      <c r="D174" s="176"/>
      <c r="E174" s="176"/>
      <c r="F174" s="176">
        <f t="shared" si="19"/>
        <v>-809.08274302734389</v>
      </c>
      <c r="G174" s="219"/>
    </row>
    <row r="175" spans="2:7">
      <c r="B175" s="75">
        <v>2029</v>
      </c>
      <c r="C175" s="176">
        <f t="shared" si="18"/>
        <v>-738.72772189453156</v>
      </c>
      <c r="D175" s="176"/>
      <c r="E175" s="176"/>
      <c r="F175" s="176">
        <f t="shared" si="19"/>
        <v>-849.53688017871127</v>
      </c>
      <c r="G175" s="219"/>
    </row>
    <row r="176" spans="2:7">
      <c r="B176" s="75">
        <v>2030</v>
      </c>
      <c r="C176" s="176">
        <f t="shared" si="18"/>
        <v>-775.66410798925813</v>
      </c>
      <c r="D176" s="176"/>
      <c r="E176" s="176"/>
      <c r="F176" s="176">
        <f t="shared" si="19"/>
        <v>-892.01372418764674</v>
      </c>
      <c r="G176" s="219"/>
    </row>
    <row r="177" spans="2:7">
      <c r="B177" s="75">
        <v>2031</v>
      </c>
      <c r="C177" s="176">
        <f t="shared" si="18"/>
        <v>-814.44731338872111</v>
      </c>
      <c r="D177" s="176"/>
      <c r="E177" s="176"/>
      <c r="F177" s="176">
        <f t="shared" si="19"/>
        <v>-936.61441039702925</v>
      </c>
      <c r="G177" s="219"/>
    </row>
    <row r="178" spans="2:7">
      <c r="B178" s="75">
        <v>2032</v>
      </c>
      <c r="C178" s="176">
        <f t="shared" si="18"/>
        <v>-855.16967905815716</v>
      </c>
      <c r="D178" s="176"/>
      <c r="E178" s="176"/>
      <c r="F178" s="176">
        <f t="shared" si="19"/>
        <v>-983.44513091688066</v>
      </c>
      <c r="G178" s="219"/>
    </row>
    <row r="179" spans="2:7">
      <c r="B179" s="75">
        <v>2033</v>
      </c>
      <c r="C179" s="176">
        <f t="shared" si="18"/>
        <v>-897.92816301106507</v>
      </c>
      <c r="D179" s="176"/>
      <c r="E179" s="176"/>
      <c r="F179" s="176">
        <f t="shared" si="19"/>
        <v>-1032.6173874627248</v>
      </c>
      <c r="G179" s="219"/>
    </row>
    <row r="180" spans="2:7">
      <c r="B180" s="75">
        <v>2034</v>
      </c>
      <c r="C180" s="176">
        <f t="shared" si="18"/>
        <v>-942.82457116161834</v>
      </c>
      <c r="D180" s="176"/>
      <c r="E180" s="176"/>
      <c r="F180" s="176">
        <f t="shared" si="19"/>
        <v>-1084.248256835861</v>
      </c>
      <c r="G180" s="219"/>
    </row>
    <row r="181" spans="2:7">
      <c r="B181" s="75">
        <v>2035</v>
      </c>
      <c r="C181" s="176">
        <f t="shared" si="18"/>
        <v>-989.96579971969925</v>
      </c>
      <c r="D181" s="176"/>
      <c r="E181" s="176"/>
      <c r="F181" s="176">
        <f t="shared" si="19"/>
        <v>-1138.4606696776541</v>
      </c>
      <c r="G181" s="219"/>
    </row>
    <row r="182" spans="2:7">
      <c r="B182" s="75">
        <v>2036</v>
      </c>
      <c r="C182" s="176">
        <f t="shared" si="18"/>
        <v>-1039.4640897056843</v>
      </c>
      <c r="D182" s="176"/>
      <c r="E182" s="176"/>
      <c r="F182" s="176">
        <f t="shared" si="19"/>
        <v>-1195.3837031615369</v>
      </c>
      <c r="G182" s="219"/>
    </row>
    <row r="183" spans="2:7">
      <c r="B183" s="75">
        <v>2037</v>
      </c>
      <c r="C183" s="176">
        <f t="shared" si="18"/>
        <v>-1091.4372941909685</v>
      </c>
      <c r="D183" s="176"/>
      <c r="E183" s="176"/>
      <c r="F183" s="176">
        <f t="shared" si="19"/>
        <v>-1255.1528883196136</v>
      </c>
      <c r="G183" s="219"/>
    </row>
    <row r="184" spans="2:7">
      <c r="B184" s="75">
        <v>2038</v>
      </c>
      <c r="C184" s="176">
        <f t="shared" si="18"/>
        <v>-1146.0091589005169</v>
      </c>
      <c r="D184" s="176"/>
      <c r="E184" s="176"/>
      <c r="F184" s="176">
        <f t="shared" si="19"/>
        <v>-1317.9105327355944</v>
      </c>
      <c r="G184" s="219"/>
    </row>
    <row r="185" spans="2:7">
      <c r="B185" s="75">
        <v>2039</v>
      </c>
      <c r="C185" s="176">
        <f t="shared" si="18"/>
        <v>-1203.3096168455429</v>
      </c>
      <c r="D185" s="176"/>
      <c r="E185" s="176"/>
      <c r="F185" s="176">
        <f t="shared" si="19"/>
        <v>-1383.8060593723742</v>
      </c>
      <c r="G185" s="219"/>
    </row>
    <row r="186" spans="2:7">
      <c r="B186" s="75">
        <v>2040</v>
      </c>
      <c r="C186" s="176">
        <f t="shared" si="18"/>
        <v>-1263.4750976878202</v>
      </c>
      <c r="D186" s="176"/>
      <c r="E186" s="176"/>
      <c r="F186" s="176">
        <f t="shared" si="19"/>
        <v>-1452.9963623409931</v>
      </c>
      <c r="G186" s="219"/>
    </row>
    <row r="187" spans="2:7">
      <c r="B187" s="75">
        <v>2041</v>
      </c>
      <c r="C187" s="176">
        <f t="shared" si="18"/>
        <v>-1326.6488525722111</v>
      </c>
      <c r="D187" s="176"/>
      <c r="E187" s="176"/>
      <c r="F187" s="176">
        <f t="shared" si="19"/>
        <v>-1525.6461804580426</v>
      </c>
      <c r="G187" s="219"/>
    </row>
    <row r="188" spans="2:7" ht="15" thickBot="1">
      <c r="B188" s="76">
        <v>2042</v>
      </c>
      <c r="C188" s="210">
        <f t="shared" si="18"/>
        <v>-1392.9812952008217</v>
      </c>
      <c r="D188" s="210"/>
      <c r="E188" s="210"/>
      <c r="F188" s="210">
        <f t="shared" si="19"/>
        <v>-1601.9284894809448</v>
      </c>
      <c r="G188" s="220"/>
    </row>
    <row r="189" spans="2:7">
      <c r="B189" s="62"/>
      <c r="C189" s="63"/>
      <c r="D189" s="63"/>
      <c r="E189" s="63"/>
      <c r="F189" s="63"/>
      <c r="G189" s="63"/>
    </row>
    <row r="191" spans="2:7" ht="18.5">
      <c r="B191" s="88" t="s">
        <v>96</v>
      </c>
      <c r="C191" s="89"/>
    </row>
    <row r="193" spans="2:13" ht="15.5">
      <c r="B193" s="226" t="s">
        <v>163</v>
      </c>
      <c r="C193" s="226"/>
      <c r="D193" s="226"/>
      <c r="E193" s="226"/>
      <c r="F193" s="226"/>
      <c r="G193" s="226"/>
      <c r="H193" s="60">
        <f>30*(1+8%)</f>
        <v>32.400000000000006</v>
      </c>
    </row>
    <row r="194" spans="2:13" ht="15.5">
      <c r="B194" s="226" t="s">
        <v>97</v>
      </c>
      <c r="C194" s="226"/>
      <c r="D194" s="226"/>
      <c r="E194" s="226"/>
      <c r="F194" s="226"/>
      <c r="G194" s="226"/>
      <c r="H194" s="68">
        <v>0.65</v>
      </c>
    </row>
    <row r="195" spans="2:13" ht="15.5">
      <c r="B195" s="226" t="s">
        <v>79</v>
      </c>
      <c r="C195" s="226"/>
      <c r="D195" s="226"/>
      <c r="E195" s="226"/>
      <c r="F195" s="226"/>
      <c r="G195" s="226"/>
      <c r="H195" s="87">
        <v>1.4999999999999999E-2</v>
      </c>
    </row>
    <row r="196" spans="2:13" ht="15.5">
      <c r="B196" s="226" t="s">
        <v>164</v>
      </c>
      <c r="C196" s="226"/>
      <c r="D196" s="226"/>
      <c r="E196" s="226"/>
      <c r="F196" s="226"/>
      <c r="G196" s="226"/>
      <c r="H196" s="65">
        <f>H193/H194</f>
        <v>49.846153846153854</v>
      </c>
    </row>
    <row r="197" spans="2:13" ht="15.5">
      <c r="B197" s="46"/>
      <c r="C197" s="46"/>
      <c r="D197" s="46"/>
      <c r="E197" s="46"/>
      <c r="F197" s="46"/>
      <c r="G197" s="46"/>
      <c r="H197" s="63"/>
    </row>
    <row r="198" spans="2:13">
      <c r="B198" s="66" t="s">
        <v>98</v>
      </c>
      <c r="C198" s="232" t="s">
        <v>165</v>
      </c>
      <c r="D198" s="232"/>
      <c r="E198" s="232"/>
      <c r="F198" s="232" t="s">
        <v>166</v>
      </c>
      <c r="G198" s="232"/>
      <c r="H198" s="232"/>
      <c r="I198" s="232"/>
    </row>
    <row r="199" spans="2:13">
      <c r="B199" s="86">
        <v>2022</v>
      </c>
      <c r="C199" s="227">
        <f>-600</f>
        <v>-600</v>
      </c>
      <c r="D199" s="227"/>
      <c r="E199" s="227"/>
      <c r="F199" s="212">
        <f t="shared" ref="F199:F219" si="20">N20+C47</f>
        <v>34.992000000000004</v>
      </c>
      <c r="G199" s="224"/>
      <c r="H199" s="224"/>
      <c r="I199" s="228"/>
    </row>
    <row r="200" spans="2:13">
      <c r="B200" s="86">
        <v>2023</v>
      </c>
      <c r="C200" s="227">
        <f>C199*(1+$H$195)</f>
        <v>-608.99999999999989</v>
      </c>
      <c r="D200" s="227"/>
      <c r="E200" s="227"/>
      <c r="F200" s="212">
        <f t="shared" si="20"/>
        <v>43.491200000000006</v>
      </c>
      <c r="G200" s="224"/>
      <c r="H200" s="224"/>
      <c r="I200" s="228"/>
    </row>
    <row r="201" spans="2:13">
      <c r="B201" s="86">
        <v>2024</v>
      </c>
      <c r="C201" s="227">
        <f t="shared" ref="C201:C219" si="21">C200*(1+$H$195)</f>
        <v>-618.13499999999988</v>
      </c>
      <c r="D201" s="227"/>
      <c r="E201" s="227"/>
      <c r="F201" s="212">
        <f t="shared" si="20"/>
        <v>47.740320000000011</v>
      </c>
      <c r="G201" s="224"/>
      <c r="H201" s="224"/>
      <c r="I201" s="228"/>
    </row>
    <row r="202" spans="2:13">
      <c r="B202" s="86">
        <v>2025</v>
      </c>
      <c r="C202" s="227">
        <f t="shared" si="21"/>
        <v>-627.40702499999986</v>
      </c>
      <c r="D202" s="227"/>
      <c r="E202" s="227"/>
      <c r="F202" s="229">
        <f t="shared" si="20"/>
        <v>52.40635200000002</v>
      </c>
      <c r="G202" s="230"/>
      <c r="H202" s="230"/>
      <c r="I202" s="231"/>
    </row>
    <row r="203" spans="2:13">
      <c r="B203" s="86">
        <v>2026</v>
      </c>
      <c r="C203" s="227">
        <f t="shared" si="21"/>
        <v>-636.81813037499978</v>
      </c>
      <c r="D203" s="227"/>
      <c r="E203" s="227"/>
      <c r="F203" s="212">
        <f t="shared" si="20"/>
        <v>57.53034720000003</v>
      </c>
      <c r="G203" s="224"/>
      <c r="H203" s="224"/>
      <c r="I203" s="228"/>
    </row>
    <row r="204" spans="2:13">
      <c r="B204" s="86">
        <v>2027</v>
      </c>
      <c r="C204" s="227">
        <f t="shared" si="21"/>
        <v>-646.37040233062476</v>
      </c>
      <c r="D204" s="227"/>
      <c r="E204" s="227"/>
      <c r="F204" s="212">
        <f t="shared" si="20"/>
        <v>63.157410720000037</v>
      </c>
      <c r="G204" s="224"/>
      <c r="H204" s="224"/>
      <c r="I204" s="228"/>
    </row>
    <row r="205" spans="2:13">
      <c r="B205" s="86">
        <v>2028</v>
      </c>
      <c r="C205" s="227">
        <f t="shared" si="21"/>
        <v>-656.06595836558404</v>
      </c>
      <c r="D205" s="227"/>
      <c r="E205" s="227"/>
      <c r="F205" s="212">
        <f t="shared" si="20"/>
        <v>69.337102896000047</v>
      </c>
      <c r="G205" s="224"/>
      <c r="H205" s="224"/>
      <c r="I205" s="228"/>
    </row>
    <row r="206" spans="2:13">
      <c r="B206" s="86">
        <v>2029</v>
      </c>
      <c r="C206" s="227">
        <f t="shared" si="21"/>
        <v>-665.90694774106771</v>
      </c>
      <c r="D206" s="227"/>
      <c r="E206" s="227"/>
      <c r="F206" s="212">
        <f t="shared" si="20"/>
        <v>76.123880377920059</v>
      </c>
      <c r="G206" s="224"/>
      <c r="H206" s="224"/>
      <c r="I206" s="228"/>
    </row>
    <row r="207" spans="2:13" ht="15" thickBot="1">
      <c r="B207" s="86">
        <v>2030</v>
      </c>
      <c r="C207" s="227">
        <f t="shared" si="21"/>
        <v>-675.89555195718367</v>
      </c>
      <c r="D207" s="227"/>
      <c r="E207" s="227"/>
      <c r="F207" s="212">
        <f t="shared" si="20"/>
        <v>83.577580983417675</v>
      </c>
      <c r="G207" s="224"/>
      <c r="H207" s="224"/>
      <c r="I207" s="228"/>
    </row>
    <row r="208" spans="2:13">
      <c r="B208" s="86">
        <v>2031</v>
      </c>
      <c r="C208" s="227">
        <f t="shared" si="21"/>
        <v>-686.03398523654141</v>
      </c>
      <c r="D208" s="227"/>
      <c r="E208" s="227"/>
      <c r="F208" s="212">
        <f t="shared" si="20"/>
        <v>91.763956654881497</v>
      </c>
      <c r="G208" s="224"/>
      <c r="H208" s="224"/>
      <c r="I208" s="228"/>
      <c r="K208" s="151" t="s">
        <v>99</v>
      </c>
      <c r="L208" s="152"/>
      <c r="M208" s="153"/>
    </row>
    <row r="209" spans="2:13">
      <c r="B209" s="86">
        <v>2032</v>
      </c>
      <c r="C209" s="227">
        <f t="shared" si="21"/>
        <v>-696.3244950150895</v>
      </c>
      <c r="D209" s="227"/>
      <c r="E209" s="227"/>
      <c r="F209" s="229">
        <f t="shared" si="20"/>
        <v>100.75525929934147</v>
      </c>
      <c r="G209" s="230"/>
      <c r="H209" s="230"/>
      <c r="I209" s="231"/>
      <c r="K209" s="154"/>
      <c r="L209" s="155"/>
      <c r="M209" s="156"/>
    </row>
    <row r="210" spans="2:13">
      <c r="B210" s="86">
        <v>2033</v>
      </c>
      <c r="C210" s="227">
        <f t="shared" si="21"/>
        <v>-706.76936244031572</v>
      </c>
      <c r="D210" s="227"/>
      <c r="E210" s="227"/>
      <c r="F210" s="212">
        <f t="shared" si="20"/>
        <v>110.63088476656517</v>
      </c>
      <c r="G210" s="224"/>
      <c r="H210" s="224"/>
      <c r="I210" s="228"/>
      <c r="K210" s="154"/>
      <c r="L210" s="155"/>
      <c r="M210" s="156"/>
    </row>
    <row r="211" spans="2:13" ht="15" thickBot="1">
      <c r="B211" s="86">
        <v>2034</v>
      </c>
      <c r="C211" s="227">
        <f t="shared" si="21"/>
        <v>-717.37090287692035</v>
      </c>
      <c r="D211" s="227"/>
      <c r="E211" s="227"/>
      <c r="F211" s="212">
        <f t="shared" si="20"/>
        <v>121.47808074349442</v>
      </c>
      <c r="G211" s="224"/>
      <c r="H211" s="224"/>
      <c r="I211" s="228"/>
      <c r="K211" s="157"/>
      <c r="L211" s="158"/>
      <c r="M211" s="159"/>
    </row>
    <row r="212" spans="2:13">
      <c r="B212" s="86">
        <v>2035</v>
      </c>
      <c r="C212" s="227">
        <f t="shared" si="21"/>
        <v>-728.13146642007405</v>
      </c>
      <c r="D212" s="227"/>
      <c r="E212" s="227"/>
      <c r="F212" s="212">
        <f t="shared" si="20"/>
        <v>133.39272491813841</v>
      </c>
      <c r="G212" s="224"/>
      <c r="H212" s="224"/>
      <c r="I212" s="228"/>
    </row>
    <row r="213" spans="2:13">
      <c r="B213" s="86">
        <v>2036</v>
      </c>
      <c r="C213" s="227">
        <f t="shared" si="21"/>
        <v>-739.05343841637512</v>
      </c>
      <c r="D213" s="227"/>
      <c r="E213" s="227"/>
      <c r="F213" s="212">
        <f t="shared" si="20"/>
        <v>146.48018039827036</v>
      </c>
      <c r="G213" s="224"/>
      <c r="H213" s="224"/>
      <c r="I213" s="228"/>
    </row>
    <row r="214" spans="2:13">
      <c r="B214" s="86">
        <v>2037</v>
      </c>
      <c r="C214" s="227">
        <f t="shared" si="21"/>
        <v>-750.13923999262067</v>
      </c>
      <c r="D214" s="227"/>
      <c r="E214" s="227"/>
      <c r="F214" s="229">
        <f t="shared" si="20"/>
        <v>160.85623606548097</v>
      </c>
      <c r="G214" s="230"/>
      <c r="H214" s="230"/>
      <c r="I214" s="231"/>
    </row>
    <row r="215" spans="2:13">
      <c r="B215" s="86">
        <v>2038</v>
      </c>
      <c r="C215" s="227">
        <f t="shared" si="21"/>
        <v>-761.39132859250992</v>
      </c>
      <c r="D215" s="227"/>
      <c r="E215" s="227"/>
      <c r="F215" s="212">
        <f t="shared" si="20"/>
        <v>176.64814030960329</v>
      </c>
      <c r="G215" s="224"/>
      <c r="H215" s="224"/>
      <c r="I215" s="228"/>
    </row>
    <row r="216" spans="2:13">
      <c r="B216" s="86">
        <v>2039</v>
      </c>
      <c r="C216" s="227">
        <f t="shared" si="21"/>
        <v>-772.81219852139748</v>
      </c>
      <c r="D216" s="227"/>
      <c r="E216" s="227"/>
      <c r="F216" s="212">
        <f t="shared" si="20"/>
        <v>193.99573742914382</v>
      </c>
      <c r="G216" s="224"/>
      <c r="H216" s="224"/>
      <c r="I216" s="228"/>
    </row>
    <row r="217" spans="2:13">
      <c r="B217" s="86">
        <v>2040</v>
      </c>
      <c r="C217" s="227">
        <f t="shared" si="21"/>
        <v>-784.4043814992184</v>
      </c>
      <c r="D217" s="227"/>
      <c r="E217" s="227"/>
      <c r="F217" s="229">
        <f t="shared" si="20"/>
        <v>213.0527169077248</v>
      </c>
      <c r="G217" s="230"/>
      <c r="H217" s="230"/>
      <c r="I217" s="231"/>
    </row>
    <row r="218" spans="2:13">
      <c r="B218" s="86">
        <v>2041</v>
      </c>
      <c r="C218" s="227">
        <f t="shared" si="21"/>
        <v>-796.17044722170658</v>
      </c>
      <c r="D218" s="227"/>
      <c r="E218" s="227"/>
      <c r="F218" s="212">
        <f t="shared" si="20"/>
        <v>233.9879867930172</v>
      </c>
      <c r="G218" s="224"/>
      <c r="H218" s="224"/>
      <c r="I218" s="228"/>
    </row>
    <row r="219" spans="2:13">
      <c r="B219" s="86">
        <v>2042</v>
      </c>
      <c r="C219" s="227">
        <f t="shared" si="21"/>
        <v>-808.11300393003205</v>
      </c>
      <c r="D219" s="227"/>
      <c r="E219" s="227"/>
      <c r="F219" s="229">
        <f t="shared" si="20"/>
        <v>256.98718352240047</v>
      </c>
      <c r="G219" s="230"/>
      <c r="H219" s="230"/>
      <c r="I219" s="231"/>
    </row>
    <row r="220" spans="2:13">
      <c r="B220" s="62"/>
      <c r="C220" s="63"/>
      <c r="D220" s="63"/>
      <c r="E220" s="63"/>
      <c r="F220" s="63"/>
      <c r="G220" s="63"/>
      <c r="H220" s="63"/>
      <c r="I220" s="63"/>
    </row>
    <row r="222" spans="2:13" ht="18.5">
      <c r="B222" s="88" t="s">
        <v>100</v>
      </c>
    </row>
    <row r="224" spans="2:13" ht="15.5">
      <c r="B224" s="160" t="s">
        <v>101</v>
      </c>
      <c r="C224" s="161"/>
      <c r="D224" s="161"/>
      <c r="E224" s="161"/>
      <c r="F224" s="162"/>
      <c r="G224" s="68">
        <v>0.05</v>
      </c>
    </row>
    <row r="225" spans="2:14" ht="15.5">
      <c r="B225" s="160" t="s">
        <v>102</v>
      </c>
      <c r="C225" s="161"/>
      <c r="D225" s="161"/>
      <c r="E225" s="161"/>
      <c r="F225" s="162"/>
      <c r="G225" s="68">
        <v>0.1</v>
      </c>
    </row>
    <row r="226" spans="2:14" ht="15.5">
      <c r="B226" s="160" t="s">
        <v>103</v>
      </c>
      <c r="C226" s="161"/>
      <c r="D226" s="161"/>
      <c r="E226" s="161"/>
      <c r="F226" s="162"/>
      <c r="G226" s="68">
        <v>0.06</v>
      </c>
    </row>
    <row r="227" spans="2:14" ht="15" thickBot="1"/>
    <row r="228" spans="2:14" ht="15.5">
      <c r="B228" s="90" t="s">
        <v>10</v>
      </c>
      <c r="C228" s="209" t="s">
        <v>167</v>
      </c>
      <c r="D228" s="209"/>
      <c r="E228" s="209"/>
      <c r="F228" s="209" t="s">
        <v>168</v>
      </c>
      <c r="G228" s="209"/>
      <c r="H228" s="209" t="s">
        <v>169</v>
      </c>
      <c r="I228" s="209"/>
      <c r="J228" s="209"/>
      <c r="K228" s="209" t="s">
        <v>170</v>
      </c>
      <c r="L228" s="209"/>
      <c r="M228" s="209"/>
      <c r="N228" s="211"/>
    </row>
    <row r="229" spans="2:14">
      <c r="B229" s="75">
        <v>2022</v>
      </c>
      <c r="C229" s="176">
        <f t="shared" ref="C229:C248" si="22">$G$224*C72*(-1)</f>
        <v>-249.73920000000004</v>
      </c>
      <c r="D229" s="176"/>
      <c r="E229" s="176"/>
      <c r="F229" s="176">
        <f t="shared" ref="F229:F248" si="23">$G$225*C72*(-1)</f>
        <v>-499.47840000000008</v>
      </c>
      <c r="G229" s="176"/>
      <c r="H229" s="176">
        <f t="shared" ref="H229:H248" si="24">$G$226*C72*(-1)</f>
        <v>-299.68704000000002</v>
      </c>
      <c r="I229" s="176"/>
      <c r="J229" s="176"/>
      <c r="K229" s="176">
        <f>C229+F229+H229</f>
        <v>-1048.9046400000002</v>
      </c>
      <c r="L229" s="171"/>
      <c r="M229" s="171"/>
      <c r="N229" s="173"/>
    </row>
    <row r="230" spans="2:14">
      <c r="B230" s="75">
        <v>2023</v>
      </c>
      <c r="C230" s="176">
        <f t="shared" si="22"/>
        <v>-276.15624679999996</v>
      </c>
      <c r="D230" s="176"/>
      <c r="E230" s="176"/>
      <c r="F230" s="176">
        <f t="shared" si="23"/>
        <v>-552.31249359999993</v>
      </c>
      <c r="G230" s="176"/>
      <c r="H230" s="176">
        <f t="shared" si="24"/>
        <v>-331.38749615999996</v>
      </c>
      <c r="I230" s="176"/>
      <c r="J230" s="176"/>
      <c r="K230" s="176">
        <f t="shared" ref="K230:K249" si="25">C230+F230+H230</f>
        <v>-1159.8562365599998</v>
      </c>
      <c r="L230" s="171"/>
      <c r="M230" s="171"/>
      <c r="N230" s="173"/>
    </row>
    <row r="231" spans="2:14">
      <c r="B231" s="75">
        <v>2024</v>
      </c>
      <c r="C231" s="176">
        <f t="shared" si="22"/>
        <v>-299.63242334970005</v>
      </c>
      <c r="D231" s="176"/>
      <c r="E231" s="176"/>
      <c r="F231" s="176">
        <f t="shared" si="23"/>
        <v>-599.2648466994001</v>
      </c>
      <c r="G231" s="176"/>
      <c r="H231" s="176">
        <f t="shared" si="24"/>
        <v>-359.55890801964006</v>
      </c>
      <c r="I231" s="176"/>
      <c r="J231" s="176"/>
      <c r="K231" s="176">
        <f t="shared" si="25"/>
        <v>-1258.4561780687402</v>
      </c>
      <c r="L231" s="171"/>
      <c r="M231" s="171"/>
      <c r="N231" s="173"/>
    </row>
    <row r="232" spans="2:14">
      <c r="B232" s="75">
        <v>2025</v>
      </c>
      <c r="C232" s="176">
        <f t="shared" si="22"/>
        <v>-325.26848548739321</v>
      </c>
      <c r="D232" s="176"/>
      <c r="E232" s="176"/>
      <c r="F232" s="176">
        <f t="shared" si="23"/>
        <v>-650.53697097478641</v>
      </c>
      <c r="G232" s="176"/>
      <c r="H232" s="176">
        <f t="shared" si="24"/>
        <v>-390.32218258487177</v>
      </c>
      <c r="I232" s="176"/>
      <c r="J232" s="176"/>
      <c r="K232" s="176">
        <f t="shared" si="25"/>
        <v>-1366.1276390470514</v>
      </c>
      <c r="L232" s="171"/>
      <c r="M232" s="171"/>
      <c r="N232" s="173"/>
    </row>
    <row r="233" spans="2:14">
      <c r="B233" s="75">
        <v>2026</v>
      </c>
      <c r="C233" s="176">
        <f t="shared" si="22"/>
        <v>-353.27792789389684</v>
      </c>
      <c r="D233" s="176"/>
      <c r="E233" s="176"/>
      <c r="F233" s="176">
        <f t="shared" si="23"/>
        <v>-706.55585578779369</v>
      </c>
      <c r="G233" s="176"/>
      <c r="H233" s="176">
        <f t="shared" si="24"/>
        <v>-423.93351347267617</v>
      </c>
      <c r="I233" s="176"/>
      <c r="J233" s="176"/>
      <c r="K233" s="176">
        <f t="shared" si="25"/>
        <v>-1483.7672971543666</v>
      </c>
      <c r="L233" s="171"/>
      <c r="M233" s="171"/>
      <c r="N233" s="173"/>
    </row>
    <row r="234" spans="2:14">
      <c r="B234" s="75">
        <v>2027</v>
      </c>
      <c r="C234" s="176">
        <f t="shared" si="22"/>
        <v>-383.8965794285956</v>
      </c>
      <c r="D234" s="176"/>
      <c r="E234" s="176"/>
      <c r="F234" s="176">
        <f t="shared" si="23"/>
        <v>-767.7931588571912</v>
      </c>
      <c r="G234" s="176"/>
      <c r="H234" s="176">
        <f t="shared" si="24"/>
        <v>-460.67589531431469</v>
      </c>
      <c r="I234" s="176"/>
      <c r="J234" s="176"/>
      <c r="K234" s="176">
        <f t="shared" si="25"/>
        <v>-1612.3656336001015</v>
      </c>
      <c r="L234" s="171"/>
      <c r="M234" s="171"/>
      <c r="N234" s="173"/>
    </row>
    <row r="235" spans="2:14">
      <c r="B235" s="75">
        <v>2028</v>
      </c>
      <c r="C235" s="176">
        <f t="shared" si="22"/>
        <v>-417.385035230516</v>
      </c>
      <c r="D235" s="176"/>
      <c r="E235" s="176"/>
      <c r="F235" s="176">
        <f t="shared" si="23"/>
        <v>-834.77007046103199</v>
      </c>
      <c r="G235" s="176"/>
      <c r="H235" s="176">
        <f t="shared" si="24"/>
        <v>-500.86204227661915</v>
      </c>
      <c r="I235" s="176"/>
      <c r="J235" s="176"/>
      <c r="K235" s="176">
        <f t="shared" si="25"/>
        <v>-1753.0171479681671</v>
      </c>
      <c r="L235" s="171"/>
      <c r="M235" s="171"/>
      <c r="N235" s="173"/>
    </row>
    <row r="236" spans="2:14">
      <c r="B236" s="75">
        <v>2029</v>
      </c>
      <c r="C236" s="176">
        <f t="shared" si="22"/>
        <v>-454.03136070801651</v>
      </c>
      <c r="D236" s="176"/>
      <c r="E236" s="176"/>
      <c r="F236" s="176">
        <f t="shared" si="23"/>
        <v>-908.06272141603301</v>
      </c>
      <c r="G236" s="176"/>
      <c r="H236" s="176">
        <f t="shared" si="24"/>
        <v>-544.83763284961969</v>
      </c>
      <c r="I236" s="176"/>
      <c r="J236" s="176"/>
      <c r="K236" s="176">
        <f t="shared" si="25"/>
        <v>-1906.9317149736692</v>
      </c>
      <c r="L236" s="171"/>
      <c r="M236" s="171"/>
      <c r="N236" s="173"/>
    </row>
    <row r="237" spans="2:14">
      <c r="B237" s="75">
        <v>2030</v>
      </c>
      <c r="C237" s="176">
        <f t="shared" si="22"/>
        <v>-494.15409831180432</v>
      </c>
      <c r="D237" s="176"/>
      <c r="E237" s="176"/>
      <c r="F237" s="176">
        <f t="shared" si="23"/>
        <v>-988.30819662360864</v>
      </c>
      <c r="G237" s="176"/>
      <c r="H237" s="176">
        <f t="shared" si="24"/>
        <v>-592.98491797416511</v>
      </c>
      <c r="I237" s="176"/>
      <c r="J237" s="176"/>
      <c r="K237" s="176">
        <f t="shared" si="25"/>
        <v>-2075.447212909578</v>
      </c>
      <c r="L237" s="171"/>
      <c r="M237" s="171"/>
      <c r="N237" s="173"/>
    </row>
    <row r="238" spans="2:14">
      <c r="B238" s="75">
        <v>2031</v>
      </c>
      <c r="C238" s="176">
        <f t="shared" si="22"/>
        <v>-538.10561153128538</v>
      </c>
      <c r="D238" s="176"/>
      <c r="E238" s="176"/>
      <c r="F238" s="176">
        <f t="shared" si="23"/>
        <v>-1076.2112230625708</v>
      </c>
      <c r="G238" s="176"/>
      <c r="H238" s="176">
        <f t="shared" si="24"/>
        <v>-645.72673383754238</v>
      </c>
      <c r="I238" s="176"/>
      <c r="J238" s="176"/>
      <c r="K238" s="176">
        <f t="shared" si="25"/>
        <v>-2260.0435684313984</v>
      </c>
      <c r="L238" s="171"/>
      <c r="M238" s="171"/>
      <c r="N238" s="173"/>
    </row>
    <row r="239" spans="2:14">
      <c r="B239" s="75">
        <v>2032</v>
      </c>
      <c r="C239" s="176">
        <f t="shared" si="22"/>
        <v>-586.27580450877247</v>
      </c>
      <c r="D239" s="176"/>
      <c r="E239" s="176"/>
      <c r="F239" s="176">
        <f t="shared" si="23"/>
        <v>-1172.5516090175449</v>
      </c>
      <c r="G239" s="176"/>
      <c r="H239" s="176">
        <f t="shared" si="24"/>
        <v>-703.53096541052685</v>
      </c>
      <c r="I239" s="176"/>
      <c r="J239" s="176"/>
      <c r="K239" s="176">
        <f t="shared" si="25"/>
        <v>-2462.358378936844</v>
      </c>
      <c r="L239" s="171"/>
      <c r="M239" s="171"/>
      <c r="N239" s="173"/>
    </row>
    <row r="240" spans="2:14">
      <c r="B240" s="75">
        <v>2033</v>
      </c>
      <c r="C240" s="176">
        <f t="shared" si="22"/>
        <v>-639.09626007722579</v>
      </c>
      <c r="D240" s="176"/>
      <c r="E240" s="176"/>
      <c r="F240" s="176">
        <f t="shared" si="23"/>
        <v>-1278.1925201544516</v>
      </c>
      <c r="G240" s="176"/>
      <c r="H240" s="176">
        <f t="shared" si="24"/>
        <v>-766.91551209267084</v>
      </c>
      <c r="I240" s="176"/>
      <c r="J240" s="176"/>
      <c r="K240" s="176">
        <f t="shared" si="25"/>
        <v>-2684.204292324348</v>
      </c>
      <c r="L240" s="171"/>
      <c r="M240" s="171"/>
      <c r="N240" s="173"/>
    </row>
    <row r="241" spans="2:14">
      <c r="B241" s="75">
        <v>2034</v>
      </c>
      <c r="C241" s="176">
        <f t="shared" si="22"/>
        <v>-697.04484394787096</v>
      </c>
      <c r="D241" s="176"/>
      <c r="E241" s="176"/>
      <c r="F241" s="176">
        <f t="shared" si="23"/>
        <v>-1394.0896878957419</v>
      </c>
      <c r="G241" s="176"/>
      <c r="H241" s="176">
        <f t="shared" si="24"/>
        <v>-836.45381273744499</v>
      </c>
      <c r="I241" s="176"/>
      <c r="J241" s="176"/>
      <c r="K241" s="176">
        <f t="shared" si="25"/>
        <v>-2927.5883445810578</v>
      </c>
      <c r="L241" s="171"/>
      <c r="M241" s="171"/>
      <c r="N241" s="173"/>
    </row>
    <row r="242" spans="2:14">
      <c r="B242" s="75">
        <v>2035</v>
      </c>
      <c r="C242" s="176">
        <f t="shared" si="22"/>
        <v>-760.65082826329399</v>
      </c>
      <c r="D242" s="176"/>
      <c r="E242" s="176"/>
      <c r="F242" s="176">
        <f t="shared" si="23"/>
        <v>-1521.301656526588</v>
      </c>
      <c r="G242" s="176"/>
      <c r="H242" s="176">
        <f t="shared" si="24"/>
        <v>-912.78099391595276</v>
      </c>
      <c r="I242" s="176"/>
      <c r="J242" s="176"/>
      <c r="K242" s="176">
        <f t="shared" si="25"/>
        <v>-3194.7334787058348</v>
      </c>
      <c r="L242" s="171"/>
      <c r="M242" s="171"/>
      <c r="N242" s="173"/>
    </row>
    <row r="243" spans="2:14">
      <c r="B243" s="75">
        <v>2036</v>
      </c>
      <c r="C243" s="176">
        <f t="shared" si="22"/>
        <v>-830.5005938553328</v>
      </c>
      <c r="D243" s="176"/>
      <c r="E243" s="176"/>
      <c r="F243" s="176">
        <f t="shared" si="23"/>
        <v>-1661.0011877106656</v>
      </c>
      <c r="G243" s="176"/>
      <c r="H243" s="176">
        <f t="shared" si="24"/>
        <v>-996.60071262639929</v>
      </c>
      <c r="I243" s="176"/>
      <c r="J243" s="176"/>
      <c r="K243" s="176">
        <f t="shared" si="25"/>
        <v>-3488.1024941923979</v>
      </c>
      <c r="L243" s="171"/>
      <c r="M243" s="171"/>
      <c r="N243" s="173"/>
    </row>
    <row r="244" spans="2:14">
      <c r="B244" s="75">
        <v>2037</v>
      </c>
      <c r="C244" s="176">
        <f t="shared" si="22"/>
        <v>-907.24397737882418</v>
      </c>
      <c r="D244" s="176"/>
      <c r="E244" s="176"/>
      <c r="F244" s="176">
        <f t="shared" si="23"/>
        <v>-1814.4879547576484</v>
      </c>
      <c r="G244" s="176"/>
      <c r="H244" s="176">
        <f t="shared" si="24"/>
        <v>-1088.6927728545888</v>
      </c>
      <c r="I244" s="176"/>
      <c r="J244" s="176"/>
      <c r="K244" s="176">
        <f t="shared" si="25"/>
        <v>-3810.4247049910614</v>
      </c>
      <c r="L244" s="171"/>
      <c r="M244" s="171"/>
      <c r="N244" s="173"/>
    </row>
    <row r="245" spans="2:14">
      <c r="B245" s="75">
        <v>2038</v>
      </c>
      <c r="C245" s="176">
        <f t="shared" si="22"/>
        <v>-991.60133711412675</v>
      </c>
      <c r="D245" s="176"/>
      <c r="E245" s="176"/>
      <c r="F245" s="176">
        <f t="shared" si="23"/>
        <v>-1983.2026742282535</v>
      </c>
      <c r="G245" s="176"/>
      <c r="H245" s="176">
        <f t="shared" si="24"/>
        <v>-1189.9216045369519</v>
      </c>
      <c r="I245" s="176"/>
      <c r="J245" s="176"/>
      <c r="K245" s="176">
        <f t="shared" si="25"/>
        <v>-4164.7256158793325</v>
      </c>
      <c r="L245" s="171"/>
      <c r="M245" s="171"/>
      <c r="N245" s="173"/>
    </row>
    <row r="246" spans="2:14">
      <c r="B246" s="75">
        <v>2039</v>
      </c>
      <c r="C246" s="176">
        <f t="shared" si="22"/>
        <v>-1084.3714197349334</v>
      </c>
      <c r="D246" s="176"/>
      <c r="E246" s="176"/>
      <c r="F246" s="176">
        <f t="shared" si="23"/>
        <v>-2168.7428394698668</v>
      </c>
      <c r="G246" s="176"/>
      <c r="H246" s="176">
        <f t="shared" si="24"/>
        <v>-1301.2457036819201</v>
      </c>
      <c r="I246" s="176"/>
      <c r="J246" s="176"/>
      <c r="K246" s="176">
        <f t="shared" si="25"/>
        <v>-4554.3599628867196</v>
      </c>
      <c r="L246" s="171"/>
      <c r="M246" s="171"/>
      <c r="N246" s="173"/>
    </row>
    <row r="247" spans="2:14">
      <c r="B247" s="75">
        <v>2040</v>
      </c>
      <c r="C247" s="176">
        <f t="shared" si="22"/>
        <v>-1186.4401198254895</v>
      </c>
      <c r="D247" s="176"/>
      <c r="E247" s="176"/>
      <c r="F247" s="176">
        <f t="shared" si="23"/>
        <v>-2372.8802396509791</v>
      </c>
      <c r="G247" s="176"/>
      <c r="H247" s="176">
        <f t="shared" si="24"/>
        <v>-1423.7281437905872</v>
      </c>
      <c r="I247" s="176"/>
      <c r="J247" s="176"/>
      <c r="K247" s="176">
        <f t="shared" si="25"/>
        <v>-4983.0485032670558</v>
      </c>
      <c r="L247" s="171"/>
      <c r="M247" s="171"/>
      <c r="N247" s="173"/>
    </row>
    <row r="248" spans="2:14">
      <c r="B248" s="75">
        <v>2041</v>
      </c>
      <c r="C248" s="176">
        <f t="shared" si="22"/>
        <v>-1298.7902345170889</v>
      </c>
      <c r="D248" s="176"/>
      <c r="E248" s="176"/>
      <c r="F248" s="176">
        <f t="shared" si="23"/>
        <v>-2597.5804690341779</v>
      </c>
      <c r="G248" s="176"/>
      <c r="H248" s="176">
        <f t="shared" si="24"/>
        <v>-1558.5482814205066</v>
      </c>
      <c r="I248" s="176"/>
      <c r="J248" s="176"/>
      <c r="K248" s="176">
        <f t="shared" si="25"/>
        <v>-5454.9189849717732</v>
      </c>
      <c r="L248" s="171"/>
      <c r="M248" s="171"/>
      <c r="N248" s="173"/>
    </row>
    <row r="249" spans="2:14" ht="15" thickBot="1">
      <c r="B249" s="76">
        <v>2042</v>
      </c>
      <c r="C249" s="210">
        <v>0</v>
      </c>
      <c r="D249" s="210"/>
      <c r="E249" s="210"/>
      <c r="F249" s="210">
        <v>0</v>
      </c>
      <c r="G249" s="210"/>
      <c r="H249" s="210">
        <v>0</v>
      </c>
      <c r="I249" s="210"/>
      <c r="J249" s="210"/>
      <c r="K249" s="210">
        <f t="shared" si="25"/>
        <v>0</v>
      </c>
      <c r="L249" s="163"/>
      <c r="M249" s="163"/>
      <c r="N249" s="165"/>
    </row>
    <row r="250" spans="2:14">
      <c r="B250" s="62"/>
    </row>
    <row r="251" spans="2:14" ht="18.5">
      <c r="B251" s="225" t="s">
        <v>104</v>
      </c>
      <c r="C251" s="225"/>
      <c r="D251" s="225"/>
      <c r="E251" s="225"/>
    </row>
    <row r="252" spans="2:14" ht="15.5">
      <c r="B252" s="226" t="s">
        <v>58</v>
      </c>
      <c r="C252" s="226"/>
      <c r="D252" s="226"/>
      <c r="E252" s="68">
        <v>0.03</v>
      </c>
      <c r="F252" s="63"/>
      <c r="G252" s="63"/>
      <c r="H252" s="63"/>
      <c r="I252" s="63"/>
      <c r="J252" s="63"/>
      <c r="K252" s="63"/>
      <c r="L252" s="62"/>
      <c r="M252" s="62"/>
      <c r="N252" s="62"/>
    </row>
    <row r="253" spans="2:14" ht="15" thickBot="1">
      <c r="F253" s="63"/>
      <c r="G253" s="63"/>
      <c r="H253" s="63"/>
      <c r="I253" s="63"/>
      <c r="J253" s="63"/>
      <c r="K253" s="63"/>
      <c r="L253" s="62"/>
      <c r="M253" s="62"/>
      <c r="N253" s="62"/>
    </row>
    <row r="254" spans="2:14">
      <c r="B254" s="85" t="s">
        <v>10</v>
      </c>
      <c r="C254" s="221" t="s">
        <v>171</v>
      </c>
      <c r="D254" s="223"/>
      <c r="E254" s="222"/>
      <c r="F254" s="63"/>
      <c r="G254" s="63"/>
      <c r="H254" s="63"/>
      <c r="I254" s="63"/>
      <c r="J254" s="63"/>
      <c r="K254" s="63"/>
      <c r="L254" s="62"/>
      <c r="M254" s="62"/>
      <c r="N254" s="62"/>
    </row>
    <row r="255" spans="2:14">
      <c r="B255" s="75">
        <v>2022</v>
      </c>
      <c r="C255" s="212">
        <v>30</v>
      </c>
      <c r="D255" s="224"/>
      <c r="E255" s="213"/>
      <c r="F255" s="63"/>
      <c r="G255" s="63"/>
      <c r="H255" s="63"/>
      <c r="I255" s="63"/>
      <c r="J255" s="63"/>
      <c r="K255" s="63"/>
      <c r="L255" s="62"/>
      <c r="M255" s="62"/>
      <c r="N255" s="62"/>
    </row>
    <row r="256" spans="2:14">
      <c r="B256" s="75">
        <v>2023</v>
      </c>
      <c r="C256" s="212">
        <f t="shared" ref="C256:C275" si="26">C255*(1+$E$252)</f>
        <v>30.900000000000002</v>
      </c>
      <c r="D256" s="224"/>
      <c r="E256" s="213"/>
      <c r="F256" s="63"/>
      <c r="G256" s="63"/>
      <c r="H256" s="63"/>
      <c r="I256" s="63"/>
      <c r="J256" s="63"/>
      <c r="K256" s="63"/>
      <c r="L256" s="62"/>
      <c r="M256" s="62"/>
      <c r="N256" s="62"/>
    </row>
    <row r="257" spans="2:14">
      <c r="B257" s="75">
        <v>2024</v>
      </c>
      <c r="C257" s="212">
        <f t="shared" si="26"/>
        <v>31.827000000000002</v>
      </c>
      <c r="D257" s="224"/>
      <c r="E257" s="213"/>
      <c r="F257" s="63"/>
      <c r="G257" s="63"/>
      <c r="H257" s="63"/>
      <c r="I257" s="63"/>
      <c r="J257" s="63"/>
      <c r="K257" s="63"/>
      <c r="L257" s="62"/>
      <c r="M257" s="62"/>
      <c r="N257" s="62"/>
    </row>
    <row r="258" spans="2:14">
      <c r="B258" s="75">
        <v>2025</v>
      </c>
      <c r="C258" s="212">
        <f t="shared" si="26"/>
        <v>32.78181</v>
      </c>
      <c r="D258" s="224"/>
      <c r="E258" s="213"/>
      <c r="F258" s="63"/>
      <c r="G258" s="63"/>
      <c r="H258" s="63"/>
      <c r="I258" s="63"/>
      <c r="J258" s="63"/>
      <c r="K258" s="63"/>
      <c r="L258" s="62"/>
      <c r="M258" s="62"/>
      <c r="N258" s="62"/>
    </row>
    <row r="259" spans="2:14">
      <c r="B259" s="75">
        <v>2026</v>
      </c>
      <c r="C259" s="176">
        <f t="shared" si="26"/>
        <v>33.765264299999998</v>
      </c>
      <c r="D259" s="176"/>
      <c r="E259" s="219"/>
      <c r="F259" s="63"/>
      <c r="G259" s="63"/>
      <c r="H259" s="63"/>
      <c r="I259" s="63"/>
      <c r="J259" s="63"/>
      <c r="K259" s="63"/>
      <c r="L259" s="62"/>
      <c r="M259" s="62"/>
      <c r="N259" s="62"/>
    </row>
    <row r="260" spans="2:14">
      <c r="B260" s="75">
        <v>2027</v>
      </c>
      <c r="C260" s="176">
        <f t="shared" si="26"/>
        <v>34.778222229000001</v>
      </c>
      <c r="D260" s="176"/>
      <c r="E260" s="219"/>
      <c r="F260" s="63"/>
      <c r="G260" s="63"/>
      <c r="H260" s="63"/>
      <c r="I260" s="63"/>
      <c r="J260" s="63"/>
      <c r="K260" s="63"/>
      <c r="L260" s="62"/>
      <c r="M260" s="62"/>
      <c r="N260" s="62"/>
    </row>
    <row r="261" spans="2:14">
      <c r="B261" s="75">
        <v>2028</v>
      </c>
      <c r="C261" s="176">
        <f t="shared" si="26"/>
        <v>35.821568895870001</v>
      </c>
      <c r="D261" s="176"/>
      <c r="E261" s="219"/>
      <c r="F261" s="63"/>
      <c r="G261" s="63"/>
      <c r="H261" s="63"/>
      <c r="I261" s="63"/>
      <c r="J261" s="63"/>
      <c r="K261" s="63"/>
      <c r="L261" s="62"/>
      <c r="M261" s="62"/>
      <c r="N261" s="62"/>
    </row>
    <row r="262" spans="2:14">
      <c r="B262" s="75">
        <v>2029</v>
      </c>
      <c r="C262" s="176">
        <f t="shared" si="26"/>
        <v>36.896215962746105</v>
      </c>
      <c r="D262" s="176"/>
      <c r="E262" s="219"/>
      <c r="F262" s="63"/>
      <c r="G262" s="63"/>
      <c r="H262" s="63"/>
      <c r="I262" s="63"/>
      <c r="J262" s="63"/>
      <c r="K262" s="63"/>
      <c r="L262" s="62"/>
      <c r="M262" s="62"/>
      <c r="N262" s="62"/>
    </row>
    <row r="263" spans="2:14">
      <c r="B263" s="75">
        <v>2030</v>
      </c>
      <c r="C263" s="176">
        <f t="shared" si="26"/>
        <v>38.003102441628492</v>
      </c>
      <c r="D263" s="176"/>
      <c r="E263" s="219"/>
      <c r="F263" s="63"/>
      <c r="G263" s="63"/>
      <c r="H263" s="63"/>
      <c r="I263" s="63"/>
      <c r="J263" s="63"/>
      <c r="K263" s="63"/>
      <c r="L263" s="62"/>
      <c r="M263" s="62"/>
      <c r="N263" s="62"/>
    </row>
    <row r="264" spans="2:14">
      <c r="B264" s="75">
        <v>2031</v>
      </c>
      <c r="C264" s="176">
        <f t="shared" si="26"/>
        <v>39.143195514877348</v>
      </c>
      <c r="D264" s="176"/>
      <c r="E264" s="219"/>
    </row>
    <row r="265" spans="2:14">
      <c r="B265" s="75">
        <v>2032</v>
      </c>
      <c r="C265" s="176">
        <f t="shared" si="26"/>
        <v>40.317491380323666</v>
      </c>
      <c r="D265" s="176"/>
      <c r="E265" s="219"/>
    </row>
    <row r="266" spans="2:14">
      <c r="B266" s="75">
        <v>2033</v>
      </c>
      <c r="C266" s="176">
        <f t="shared" si="26"/>
        <v>41.527016121733375</v>
      </c>
      <c r="D266" s="176"/>
      <c r="E266" s="219"/>
    </row>
    <row r="267" spans="2:14">
      <c r="B267" s="75">
        <v>2034</v>
      </c>
      <c r="C267" s="176">
        <f t="shared" si="26"/>
        <v>42.772826605385376</v>
      </c>
      <c r="D267" s="176"/>
      <c r="E267" s="219"/>
    </row>
    <row r="268" spans="2:14">
      <c r="B268" s="75">
        <v>2035</v>
      </c>
      <c r="C268" s="176">
        <f t="shared" si="26"/>
        <v>44.05601140354694</v>
      </c>
      <c r="D268" s="176"/>
      <c r="E268" s="219"/>
    </row>
    <row r="269" spans="2:14">
      <c r="B269" s="75">
        <v>2036</v>
      </c>
      <c r="C269" s="176">
        <f t="shared" si="26"/>
        <v>45.377691745653351</v>
      </c>
      <c r="D269" s="176"/>
      <c r="E269" s="219"/>
    </row>
    <row r="270" spans="2:14">
      <c r="B270" s="75">
        <v>2037</v>
      </c>
      <c r="C270" s="176">
        <f t="shared" si="26"/>
        <v>46.739022498022955</v>
      </c>
      <c r="D270" s="176"/>
      <c r="E270" s="219"/>
    </row>
    <row r="271" spans="2:14">
      <c r="B271" s="75">
        <v>2038</v>
      </c>
      <c r="C271" s="176">
        <f t="shared" si="26"/>
        <v>48.141193172963646</v>
      </c>
      <c r="D271" s="176"/>
      <c r="E271" s="219"/>
    </row>
    <row r="272" spans="2:14">
      <c r="B272" s="75">
        <v>2039</v>
      </c>
      <c r="C272" s="176">
        <f t="shared" si="26"/>
        <v>49.585428968152556</v>
      </c>
      <c r="D272" s="176"/>
      <c r="E272" s="219"/>
    </row>
    <row r="273" spans="2:5">
      <c r="B273" s="75">
        <v>2040</v>
      </c>
      <c r="C273" s="176">
        <f t="shared" si="26"/>
        <v>51.072991837197137</v>
      </c>
      <c r="D273" s="176"/>
      <c r="E273" s="219"/>
    </row>
    <row r="274" spans="2:5">
      <c r="B274" s="75">
        <v>2041</v>
      </c>
      <c r="C274" s="176">
        <f t="shared" si="26"/>
        <v>52.605181592313052</v>
      </c>
      <c r="D274" s="176"/>
      <c r="E274" s="219"/>
    </row>
    <row r="275" spans="2:5" ht="15" thickBot="1">
      <c r="B275" s="76">
        <v>2042</v>
      </c>
      <c r="C275" s="210">
        <f t="shared" si="26"/>
        <v>54.183337040082442</v>
      </c>
      <c r="D275" s="210"/>
      <c r="E275" s="220"/>
    </row>
    <row r="276" spans="2:5">
      <c r="B276" s="62"/>
      <c r="C276" s="63"/>
      <c r="D276" s="63"/>
      <c r="E276" s="63"/>
    </row>
    <row r="277" spans="2:5">
      <c r="B277" s="62"/>
      <c r="C277" s="63"/>
      <c r="D277" s="63"/>
      <c r="E277" s="63"/>
    </row>
    <row r="278" spans="2:5" ht="25.5">
      <c r="B278" s="91" t="s">
        <v>105</v>
      </c>
    </row>
    <row r="279" spans="2:5" ht="15" thickBot="1"/>
    <row r="280" spans="2:5">
      <c r="B280" s="73" t="s">
        <v>10</v>
      </c>
      <c r="C280" s="221" t="s">
        <v>172</v>
      </c>
      <c r="D280" s="222"/>
    </row>
    <row r="281" spans="2:5">
      <c r="B281" s="75">
        <v>2022</v>
      </c>
      <c r="C281" s="212">
        <f>G97+C109+L139+F168+K229+C255</f>
        <v>-3193.9046400000002</v>
      </c>
      <c r="D281" s="213"/>
    </row>
    <row r="282" spans="2:5">
      <c r="B282" s="75">
        <v>2023</v>
      </c>
      <c r="C282" s="212">
        <f>G98+C110+L140+F169+K230+C256</f>
        <v>-2289.89373656</v>
      </c>
      <c r="D282" s="213"/>
    </row>
    <row r="283" spans="2:5">
      <c r="B283" s="75">
        <v>2024</v>
      </c>
      <c r="C283" s="212">
        <f>G99+C111+L141+F170+K231+C257</f>
        <v>-2447.81355306874</v>
      </c>
      <c r="D283" s="213"/>
    </row>
    <row r="284" spans="2:5">
      <c r="B284" s="75">
        <v>2025</v>
      </c>
      <c r="C284" s="212">
        <f>G107+C112+L142+F171+K232+C258+C202</f>
        <v>-3245.4164477970517</v>
      </c>
      <c r="D284" s="213"/>
    </row>
    <row r="285" spans="2:5">
      <c r="B285" s="75">
        <v>2026</v>
      </c>
      <c r="C285" s="212">
        <f t="shared" ref="C285:C290" si="27">G108+C113+L143+F172+K233+C259</f>
        <v>-2801.5608062918668</v>
      </c>
      <c r="D285" s="213"/>
    </row>
    <row r="286" spans="2:5">
      <c r="B286" s="75">
        <v>2027</v>
      </c>
      <c r="C286" s="212">
        <f t="shared" si="27"/>
        <v>-2999.6523234804768</v>
      </c>
      <c r="D286" s="213"/>
    </row>
    <row r="287" spans="2:5">
      <c r="B287" s="75">
        <v>2028</v>
      </c>
      <c r="C287" s="212">
        <f t="shared" si="27"/>
        <v>-3213.5847567871415</v>
      </c>
      <c r="D287" s="213"/>
    </row>
    <row r="288" spans="2:5">
      <c r="B288" s="75">
        <v>2029</v>
      </c>
      <c r="C288" s="212">
        <f t="shared" si="27"/>
        <v>-3444.7872576115096</v>
      </c>
      <c r="D288" s="213"/>
    </row>
    <row r="289" spans="2:8">
      <c r="B289" s="75">
        <v>2030</v>
      </c>
      <c r="C289" s="212">
        <f t="shared" si="27"/>
        <v>-3694.830891198565</v>
      </c>
      <c r="D289" s="213"/>
    </row>
    <row r="290" spans="2:8">
      <c r="B290" s="75">
        <v>2031</v>
      </c>
      <c r="C290" s="212">
        <f t="shared" si="27"/>
        <v>-3965.4436703036681</v>
      </c>
      <c r="D290" s="213"/>
    </row>
    <row r="291" spans="2:8">
      <c r="B291" s="75">
        <v>2032</v>
      </c>
      <c r="C291" s="212">
        <f>G114+C119+L149+F178+K239+C265+C209</f>
        <v>-4954.8517402101133</v>
      </c>
      <c r="D291" s="213"/>
    </row>
    <row r="292" spans="2:8">
      <c r="B292" s="75">
        <v>2033</v>
      </c>
      <c r="C292" s="212">
        <f>G115+C120+L150+F179+K240+C266</f>
        <v>-4576.1754366432442</v>
      </c>
      <c r="D292" s="213"/>
    </row>
    <row r="293" spans="2:8">
      <c r="B293" s="75">
        <v>2034</v>
      </c>
      <c r="C293" s="212">
        <f>G116+C121+L151+F180+K241+C267</f>
        <v>-4920.6948198505534</v>
      </c>
      <c r="D293" s="213"/>
    </row>
    <row r="294" spans="2:8">
      <c r="B294" s="75">
        <v>2035</v>
      </c>
      <c r="C294" s="212">
        <f>G117+C122+L152+F181+K242+C268</f>
        <v>-5294.6275910243548</v>
      </c>
      <c r="D294" s="213"/>
    </row>
    <row r="295" spans="2:8">
      <c r="B295" s="75">
        <v>2036</v>
      </c>
      <c r="C295" s="212">
        <f>G118+C123+L153+F182+K243+C269</f>
        <v>-5700.7769747837019</v>
      </c>
      <c r="D295" s="213"/>
    </row>
    <row r="296" spans="2:8">
      <c r="B296" s="75">
        <v>2037</v>
      </c>
      <c r="C296" s="212">
        <f>G119+C124+L154+F183+K244+C270+C214</f>
        <v>-6892.3747001111296</v>
      </c>
      <c r="D296" s="213"/>
    </row>
    <row r="297" spans="2:8">
      <c r="B297" s="75">
        <v>2038</v>
      </c>
      <c r="C297" s="212">
        <f>G120+C125+L155+F184+K245+C271</f>
        <v>-6622.4161855519433</v>
      </c>
      <c r="D297" s="213"/>
    </row>
    <row r="298" spans="2:8">
      <c r="B298" s="75">
        <v>2039</v>
      </c>
      <c r="C298" s="212">
        <f>G121+C126+L156+F185+K246+C272</f>
        <v>-7145.0878308791343</v>
      </c>
      <c r="D298" s="213"/>
    </row>
    <row r="299" spans="2:8">
      <c r="B299" s="75">
        <v>2040</v>
      </c>
      <c r="C299" s="212">
        <f>G122+C127+L157+F186+K247+C273+C217</f>
        <v>-8498.8177953076593</v>
      </c>
      <c r="D299" s="213"/>
    </row>
    <row r="300" spans="2:8">
      <c r="B300" s="75">
        <v>2041</v>
      </c>
      <c r="C300" s="212">
        <f>G123+C128+L158+F187+K248+C274</f>
        <v>-8334.993435503955</v>
      </c>
      <c r="D300" s="213"/>
    </row>
    <row r="301" spans="2:8" ht="15" thickBot="1">
      <c r="B301" s="76">
        <v>2042</v>
      </c>
      <c r="C301" s="214">
        <f>G124+C129+L159+F188+K249+C275+C219</f>
        <v>-3845.4750987103534</v>
      </c>
      <c r="D301" s="215"/>
    </row>
    <row r="303" spans="2:8" ht="15" thickBot="1"/>
    <row r="304" spans="2:8" ht="32" thickBot="1">
      <c r="B304" s="216" t="s">
        <v>106</v>
      </c>
      <c r="C304" s="217"/>
      <c r="D304" s="217"/>
      <c r="E304" s="217"/>
      <c r="F304" s="217"/>
      <c r="G304" s="217"/>
      <c r="H304" s="218"/>
    </row>
    <row r="305" spans="2:16" ht="26">
      <c r="B305" s="51"/>
      <c r="C305" s="51"/>
      <c r="D305" s="51"/>
      <c r="E305" s="51"/>
      <c r="F305" s="51"/>
    </row>
    <row r="306" spans="2:16" ht="26">
      <c r="B306" s="92" t="s">
        <v>107</v>
      </c>
      <c r="C306" s="93">
        <v>0.1</v>
      </c>
      <c r="D306" s="51"/>
      <c r="E306" s="51"/>
      <c r="F306" s="51"/>
    </row>
    <row r="307" spans="2:16" ht="15" thickBot="1"/>
    <row r="308" spans="2:16">
      <c r="B308" s="73" t="s">
        <v>10</v>
      </c>
      <c r="C308" s="209" t="s">
        <v>151</v>
      </c>
      <c r="D308" s="209"/>
      <c r="E308" s="209" t="s">
        <v>172</v>
      </c>
      <c r="F308" s="209"/>
      <c r="G308" s="209" t="s">
        <v>173</v>
      </c>
      <c r="H308" s="209"/>
      <c r="I308" s="209"/>
      <c r="J308" s="209" t="s">
        <v>174</v>
      </c>
      <c r="K308" s="209"/>
      <c r="L308" s="209" t="s">
        <v>175</v>
      </c>
      <c r="M308" s="209"/>
      <c r="N308" s="209"/>
      <c r="O308" s="209"/>
      <c r="P308" s="211"/>
    </row>
    <row r="309" spans="2:16">
      <c r="B309" s="75">
        <v>2022</v>
      </c>
      <c r="C309" s="176">
        <f t="shared" ref="C309:C329" si="28">C72</f>
        <v>4994.7840000000006</v>
      </c>
      <c r="D309" s="171"/>
      <c r="E309" s="176">
        <f t="shared" ref="E309:E329" si="29">C281</f>
        <v>-3193.9046400000002</v>
      </c>
      <c r="F309" s="171"/>
      <c r="G309" s="176">
        <f>C309+E309</f>
        <v>1800.8793600000004</v>
      </c>
      <c r="H309" s="171"/>
      <c r="I309" s="171"/>
      <c r="J309" s="176">
        <f>G309*$C$306</f>
        <v>180.08793600000004</v>
      </c>
      <c r="K309" s="176"/>
      <c r="L309" s="176">
        <f>G309-J309</f>
        <v>1620.7914240000002</v>
      </c>
      <c r="M309" s="171"/>
      <c r="N309" s="171"/>
      <c r="O309" s="171"/>
      <c r="P309" s="173"/>
    </row>
    <row r="310" spans="2:16">
      <c r="B310" s="75">
        <v>2023</v>
      </c>
      <c r="C310" s="176">
        <f t="shared" si="28"/>
        <v>5523.1249359999993</v>
      </c>
      <c r="D310" s="171"/>
      <c r="E310" s="176">
        <f t="shared" si="29"/>
        <v>-2289.89373656</v>
      </c>
      <c r="F310" s="171"/>
      <c r="G310" s="176">
        <f t="shared" ref="G310:G329" si="30">C310+E310</f>
        <v>3233.2311994399993</v>
      </c>
      <c r="H310" s="171"/>
      <c r="I310" s="171"/>
      <c r="J310" s="176">
        <f t="shared" ref="J310:J329" si="31">G310*$C$306</f>
        <v>323.32311994399993</v>
      </c>
      <c r="K310" s="176"/>
      <c r="L310" s="176">
        <f t="shared" ref="L310:L329" si="32">G310-J310</f>
        <v>2909.9080794959991</v>
      </c>
      <c r="M310" s="171"/>
      <c r="N310" s="171"/>
      <c r="O310" s="171"/>
      <c r="P310" s="173"/>
    </row>
    <row r="311" spans="2:16">
      <c r="B311" s="75">
        <v>2024</v>
      </c>
      <c r="C311" s="176">
        <f t="shared" si="28"/>
        <v>5992.648466994001</v>
      </c>
      <c r="D311" s="171"/>
      <c r="E311" s="176">
        <f t="shared" si="29"/>
        <v>-2447.81355306874</v>
      </c>
      <c r="F311" s="171"/>
      <c r="G311" s="176">
        <f t="shared" si="30"/>
        <v>3544.8349139252609</v>
      </c>
      <c r="H311" s="171"/>
      <c r="I311" s="171"/>
      <c r="J311" s="176">
        <f t="shared" si="31"/>
        <v>354.4834913925261</v>
      </c>
      <c r="K311" s="176"/>
      <c r="L311" s="176">
        <f t="shared" si="32"/>
        <v>3190.3514225327349</v>
      </c>
      <c r="M311" s="171"/>
      <c r="N311" s="171"/>
      <c r="O311" s="171"/>
      <c r="P311" s="173"/>
    </row>
    <row r="312" spans="2:16">
      <c r="B312" s="75">
        <v>2025</v>
      </c>
      <c r="C312" s="176">
        <f t="shared" si="28"/>
        <v>6505.3697097478635</v>
      </c>
      <c r="D312" s="171"/>
      <c r="E312" s="176">
        <f t="shared" si="29"/>
        <v>-3245.4164477970517</v>
      </c>
      <c r="F312" s="171"/>
      <c r="G312" s="176">
        <f t="shared" si="30"/>
        <v>3259.9532619508118</v>
      </c>
      <c r="H312" s="171"/>
      <c r="I312" s="171"/>
      <c r="J312" s="176">
        <f t="shared" si="31"/>
        <v>325.99532619508119</v>
      </c>
      <c r="K312" s="176"/>
      <c r="L312" s="176">
        <f t="shared" si="32"/>
        <v>2933.9579357557304</v>
      </c>
      <c r="M312" s="171"/>
      <c r="N312" s="171"/>
      <c r="O312" s="171"/>
      <c r="P312" s="173"/>
    </row>
    <row r="313" spans="2:16">
      <c r="B313" s="75">
        <v>2026</v>
      </c>
      <c r="C313" s="176">
        <f t="shared" si="28"/>
        <v>7065.5585578779364</v>
      </c>
      <c r="D313" s="171"/>
      <c r="E313" s="176">
        <f t="shared" si="29"/>
        <v>-2801.5608062918668</v>
      </c>
      <c r="F313" s="171"/>
      <c r="G313" s="176">
        <f t="shared" si="30"/>
        <v>4263.9977515860701</v>
      </c>
      <c r="H313" s="171"/>
      <c r="I313" s="171"/>
      <c r="J313" s="176">
        <f t="shared" si="31"/>
        <v>426.39977515860704</v>
      </c>
      <c r="K313" s="176"/>
      <c r="L313" s="176">
        <f t="shared" si="32"/>
        <v>3837.597976427463</v>
      </c>
      <c r="M313" s="171"/>
      <c r="N313" s="171"/>
      <c r="O313" s="171"/>
      <c r="P313" s="173"/>
    </row>
    <row r="314" spans="2:16">
      <c r="B314" s="75">
        <v>2027</v>
      </c>
      <c r="C314" s="176">
        <f t="shared" si="28"/>
        <v>7677.9315885719116</v>
      </c>
      <c r="D314" s="171"/>
      <c r="E314" s="176">
        <f t="shared" si="29"/>
        <v>-2999.6523234804768</v>
      </c>
      <c r="F314" s="171"/>
      <c r="G314" s="176">
        <f t="shared" si="30"/>
        <v>4678.2792650914344</v>
      </c>
      <c r="H314" s="171"/>
      <c r="I314" s="171"/>
      <c r="J314" s="176">
        <f t="shared" si="31"/>
        <v>467.82792650914348</v>
      </c>
      <c r="K314" s="176"/>
      <c r="L314" s="176">
        <f t="shared" si="32"/>
        <v>4210.4513385822911</v>
      </c>
      <c r="M314" s="171"/>
      <c r="N314" s="171"/>
      <c r="O314" s="171"/>
      <c r="P314" s="173"/>
    </row>
    <row r="315" spans="2:16">
      <c r="B315" s="75">
        <v>2028</v>
      </c>
      <c r="C315" s="176">
        <f t="shared" si="28"/>
        <v>8347.700704610319</v>
      </c>
      <c r="D315" s="171"/>
      <c r="E315" s="176">
        <f t="shared" si="29"/>
        <v>-3213.5847567871415</v>
      </c>
      <c r="F315" s="171"/>
      <c r="G315" s="176">
        <f t="shared" si="30"/>
        <v>5134.1159478231775</v>
      </c>
      <c r="H315" s="171"/>
      <c r="I315" s="171"/>
      <c r="J315" s="176">
        <f t="shared" si="31"/>
        <v>513.41159478231782</v>
      </c>
      <c r="K315" s="176"/>
      <c r="L315" s="176">
        <f t="shared" si="32"/>
        <v>4620.70435304086</v>
      </c>
      <c r="M315" s="171"/>
      <c r="N315" s="171"/>
      <c r="O315" s="171"/>
      <c r="P315" s="173"/>
    </row>
    <row r="316" spans="2:16">
      <c r="B316" s="75">
        <v>2029</v>
      </c>
      <c r="C316" s="176">
        <f t="shared" si="28"/>
        <v>9080.6272141603295</v>
      </c>
      <c r="D316" s="171"/>
      <c r="E316" s="176">
        <f t="shared" si="29"/>
        <v>-3444.7872576115096</v>
      </c>
      <c r="F316" s="171"/>
      <c r="G316" s="176">
        <f t="shared" si="30"/>
        <v>5635.8399565488198</v>
      </c>
      <c r="H316" s="171"/>
      <c r="I316" s="171"/>
      <c r="J316" s="176">
        <f t="shared" si="31"/>
        <v>563.58399565488196</v>
      </c>
      <c r="K316" s="176"/>
      <c r="L316" s="176">
        <f t="shared" si="32"/>
        <v>5072.2559608939382</v>
      </c>
      <c r="M316" s="171"/>
      <c r="N316" s="171"/>
      <c r="O316" s="171"/>
      <c r="P316" s="173"/>
    </row>
    <row r="317" spans="2:16">
      <c r="B317" s="75">
        <v>2030</v>
      </c>
      <c r="C317" s="176">
        <f t="shared" si="28"/>
        <v>9883.0819662360864</v>
      </c>
      <c r="D317" s="171"/>
      <c r="E317" s="176">
        <f t="shared" si="29"/>
        <v>-3694.830891198565</v>
      </c>
      <c r="F317" s="171"/>
      <c r="G317" s="176">
        <f t="shared" si="30"/>
        <v>6188.2510750375213</v>
      </c>
      <c r="H317" s="171"/>
      <c r="I317" s="171"/>
      <c r="J317" s="176">
        <f t="shared" si="31"/>
        <v>618.82510750375218</v>
      </c>
      <c r="K317" s="176"/>
      <c r="L317" s="176">
        <f t="shared" si="32"/>
        <v>5569.4259675337689</v>
      </c>
      <c r="M317" s="171"/>
      <c r="N317" s="171"/>
      <c r="O317" s="171"/>
      <c r="P317" s="173"/>
    </row>
    <row r="318" spans="2:16">
      <c r="B318" s="75">
        <v>2031</v>
      </c>
      <c r="C318" s="176">
        <f t="shared" si="28"/>
        <v>10762.112230625708</v>
      </c>
      <c r="D318" s="171"/>
      <c r="E318" s="176">
        <f t="shared" si="29"/>
        <v>-3965.4436703036681</v>
      </c>
      <c r="F318" s="171"/>
      <c r="G318" s="176">
        <f t="shared" si="30"/>
        <v>6796.6685603220394</v>
      </c>
      <c r="H318" s="171"/>
      <c r="I318" s="171"/>
      <c r="J318" s="176">
        <f t="shared" si="31"/>
        <v>679.66685603220401</v>
      </c>
      <c r="K318" s="176"/>
      <c r="L318" s="176">
        <f t="shared" si="32"/>
        <v>6117.0017042898353</v>
      </c>
      <c r="M318" s="171"/>
      <c r="N318" s="171"/>
      <c r="O318" s="171"/>
      <c r="P318" s="173"/>
    </row>
    <row r="319" spans="2:16">
      <c r="B319" s="75">
        <v>2032</v>
      </c>
      <c r="C319" s="176">
        <f t="shared" si="28"/>
        <v>11725.516090175448</v>
      </c>
      <c r="D319" s="171"/>
      <c r="E319" s="176">
        <f t="shared" si="29"/>
        <v>-4954.8517402101133</v>
      </c>
      <c r="F319" s="171"/>
      <c r="G319" s="176">
        <f t="shared" si="30"/>
        <v>6770.6643499653346</v>
      </c>
      <c r="H319" s="171"/>
      <c r="I319" s="171"/>
      <c r="J319" s="176">
        <f t="shared" si="31"/>
        <v>677.06643499653353</v>
      </c>
      <c r="K319" s="176"/>
      <c r="L319" s="176">
        <f t="shared" si="32"/>
        <v>6093.597914968801</v>
      </c>
      <c r="M319" s="171"/>
      <c r="N319" s="171"/>
      <c r="O319" s="171"/>
      <c r="P319" s="173"/>
    </row>
    <row r="320" spans="2:16">
      <c r="B320" s="75">
        <v>2033</v>
      </c>
      <c r="C320" s="176">
        <f t="shared" si="28"/>
        <v>12781.925201544514</v>
      </c>
      <c r="D320" s="171"/>
      <c r="E320" s="176">
        <f t="shared" si="29"/>
        <v>-4576.1754366432442</v>
      </c>
      <c r="F320" s="171"/>
      <c r="G320" s="176">
        <f t="shared" si="30"/>
        <v>8205.7497649012694</v>
      </c>
      <c r="H320" s="171"/>
      <c r="I320" s="171"/>
      <c r="J320" s="176">
        <f t="shared" si="31"/>
        <v>820.57497649012703</v>
      </c>
      <c r="K320" s="176"/>
      <c r="L320" s="176">
        <f t="shared" si="32"/>
        <v>7385.1747884111428</v>
      </c>
      <c r="M320" s="171"/>
      <c r="N320" s="171"/>
      <c r="O320" s="171"/>
      <c r="P320" s="173"/>
    </row>
    <row r="321" spans="2:16">
      <c r="B321" s="75">
        <v>2034</v>
      </c>
      <c r="C321" s="176">
        <f t="shared" si="28"/>
        <v>13940.896878957417</v>
      </c>
      <c r="D321" s="171"/>
      <c r="E321" s="176">
        <f t="shared" si="29"/>
        <v>-4920.6948198505534</v>
      </c>
      <c r="F321" s="171"/>
      <c r="G321" s="176">
        <f t="shared" si="30"/>
        <v>9020.2020591068649</v>
      </c>
      <c r="H321" s="171"/>
      <c r="I321" s="171"/>
      <c r="J321" s="176">
        <f t="shared" si="31"/>
        <v>902.02020591068651</v>
      </c>
      <c r="K321" s="176"/>
      <c r="L321" s="176">
        <f t="shared" si="32"/>
        <v>8118.1818531961781</v>
      </c>
      <c r="M321" s="171"/>
      <c r="N321" s="171"/>
      <c r="O321" s="171"/>
      <c r="P321" s="173"/>
    </row>
    <row r="322" spans="2:16">
      <c r="B322" s="75">
        <v>2035</v>
      </c>
      <c r="C322" s="176">
        <f t="shared" si="28"/>
        <v>15213.01656526588</v>
      </c>
      <c r="D322" s="171"/>
      <c r="E322" s="176">
        <f t="shared" si="29"/>
        <v>-5294.6275910243548</v>
      </c>
      <c r="F322" s="171"/>
      <c r="G322" s="176">
        <f t="shared" si="30"/>
        <v>9918.3889742415249</v>
      </c>
      <c r="H322" s="171"/>
      <c r="I322" s="171"/>
      <c r="J322" s="176">
        <f t="shared" si="31"/>
        <v>991.83889742415249</v>
      </c>
      <c r="K322" s="176"/>
      <c r="L322" s="176">
        <f t="shared" si="32"/>
        <v>8926.5500768173733</v>
      </c>
      <c r="M322" s="171"/>
      <c r="N322" s="171"/>
      <c r="O322" s="171"/>
      <c r="P322" s="173"/>
    </row>
    <row r="323" spans="2:16">
      <c r="B323" s="75">
        <v>2036</v>
      </c>
      <c r="C323" s="176">
        <f t="shared" si="28"/>
        <v>16610.011877106655</v>
      </c>
      <c r="D323" s="171"/>
      <c r="E323" s="176">
        <f t="shared" si="29"/>
        <v>-5700.7769747837019</v>
      </c>
      <c r="F323" s="171"/>
      <c r="G323" s="176">
        <f t="shared" si="30"/>
        <v>10909.234902322954</v>
      </c>
      <c r="H323" s="171"/>
      <c r="I323" s="171"/>
      <c r="J323" s="176">
        <f t="shared" si="31"/>
        <v>1090.9234902322955</v>
      </c>
      <c r="K323" s="176"/>
      <c r="L323" s="176">
        <f t="shared" si="32"/>
        <v>9818.3114120906594</v>
      </c>
      <c r="M323" s="171"/>
      <c r="N323" s="171"/>
      <c r="O323" s="171"/>
      <c r="P323" s="173"/>
    </row>
    <row r="324" spans="2:16">
      <c r="B324" s="75">
        <v>2037</v>
      </c>
      <c r="C324" s="176">
        <f t="shared" si="28"/>
        <v>18144.879547576482</v>
      </c>
      <c r="D324" s="171"/>
      <c r="E324" s="176">
        <f t="shared" si="29"/>
        <v>-6892.3747001111296</v>
      </c>
      <c r="F324" s="171"/>
      <c r="G324" s="176">
        <f t="shared" si="30"/>
        <v>11252.504847465352</v>
      </c>
      <c r="H324" s="171"/>
      <c r="I324" s="171"/>
      <c r="J324" s="176">
        <f t="shared" si="31"/>
        <v>1125.2504847465352</v>
      </c>
      <c r="K324" s="176"/>
      <c r="L324" s="176">
        <f t="shared" si="32"/>
        <v>10127.254362718817</v>
      </c>
      <c r="M324" s="171"/>
      <c r="N324" s="171"/>
      <c r="O324" s="171"/>
      <c r="P324" s="173"/>
    </row>
    <row r="325" spans="2:16">
      <c r="B325" s="75">
        <v>2038</v>
      </c>
      <c r="C325" s="176">
        <f t="shared" si="28"/>
        <v>19832.026742282535</v>
      </c>
      <c r="D325" s="171"/>
      <c r="E325" s="176">
        <f t="shared" si="29"/>
        <v>-6622.4161855519433</v>
      </c>
      <c r="F325" s="171"/>
      <c r="G325" s="176">
        <f t="shared" si="30"/>
        <v>13209.610556730591</v>
      </c>
      <c r="H325" s="171"/>
      <c r="I325" s="171"/>
      <c r="J325" s="176">
        <f t="shared" si="31"/>
        <v>1320.9610556730593</v>
      </c>
      <c r="K325" s="176"/>
      <c r="L325" s="176">
        <f t="shared" si="32"/>
        <v>11888.649501057533</v>
      </c>
      <c r="M325" s="171"/>
      <c r="N325" s="171"/>
      <c r="O325" s="171"/>
      <c r="P325" s="173"/>
    </row>
    <row r="326" spans="2:16">
      <c r="B326" s="75">
        <v>2039</v>
      </c>
      <c r="C326" s="176">
        <f t="shared" si="28"/>
        <v>21687.428394698669</v>
      </c>
      <c r="D326" s="171"/>
      <c r="E326" s="176">
        <f t="shared" si="29"/>
        <v>-7145.0878308791343</v>
      </c>
      <c r="F326" s="171"/>
      <c r="G326" s="176">
        <f t="shared" si="30"/>
        <v>14542.340563819535</v>
      </c>
      <c r="H326" s="171"/>
      <c r="I326" s="171"/>
      <c r="J326" s="176">
        <f t="shared" si="31"/>
        <v>1454.2340563819535</v>
      </c>
      <c r="K326" s="176"/>
      <c r="L326" s="176">
        <f t="shared" si="32"/>
        <v>13088.10650743758</v>
      </c>
      <c r="M326" s="171"/>
      <c r="N326" s="171"/>
      <c r="O326" s="171"/>
      <c r="P326" s="173"/>
    </row>
    <row r="327" spans="2:16">
      <c r="B327" s="75">
        <v>2040</v>
      </c>
      <c r="C327" s="176">
        <f t="shared" si="28"/>
        <v>23728.802396509789</v>
      </c>
      <c r="D327" s="171"/>
      <c r="E327" s="176">
        <f t="shared" si="29"/>
        <v>-8498.8177953076593</v>
      </c>
      <c r="F327" s="171"/>
      <c r="G327" s="176">
        <f t="shared" si="30"/>
        <v>15229.98460120213</v>
      </c>
      <c r="H327" s="171"/>
      <c r="I327" s="171"/>
      <c r="J327" s="176">
        <f t="shared" si="31"/>
        <v>1522.9984601202132</v>
      </c>
      <c r="K327" s="176"/>
      <c r="L327" s="176">
        <f t="shared" si="32"/>
        <v>13706.986141081918</v>
      </c>
      <c r="M327" s="171"/>
      <c r="N327" s="171"/>
      <c r="O327" s="171"/>
      <c r="P327" s="173"/>
    </row>
    <row r="328" spans="2:16">
      <c r="B328" s="75">
        <v>2041</v>
      </c>
      <c r="C328" s="176">
        <f t="shared" si="28"/>
        <v>25975.804690341778</v>
      </c>
      <c r="D328" s="171"/>
      <c r="E328" s="176">
        <f t="shared" si="29"/>
        <v>-8334.993435503955</v>
      </c>
      <c r="F328" s="171"/>
      <c r="G328" s="176">
        <f t="shared" si="30"/>
        <v>17640.811254837823</v>
      </c>
      <c r="H328" s="171"/>
      <c r="I328" s="171"/>
      <c r="J328" s="176">
        <f t="shared" si="31"/>
        <v>1764.0811254837824</v>
      </c>
      <c r="K328" s="176"/>
      <c r="L328" s="176">
        <f t="shared" si="32"/>
        <v>15876.73012935404</v>
      </c>
      <c r="M328" s="171"/>
      <c r="N328" s="171"/>
      <c r="O328" s="171"/>
      <c r="P328" s="173"/>
    </row>
    <row r="329" spans="2:16" ht="15" thickBot="1">
      <c r="B329" s="76">
        <v>2042</v>
      </c>
      <c r="C329" s="210">
        <f t="shared" si="28"/>
        <v>28450.246548500967</v>
      </c>
      <c r="D329" s="163"/>
      <c r="E329" s="210">
        <f t="shared" si="29"/>
        <v>-3845.4750987103534</v>
      </c>
      <c r="F329" s="163"/>
      <c r="G329" s="210">
        <f t="shared" si="30"/>
        <v>24604.771449790613</v>
      </c>
      <c r="H329" s="163"/>
      <c r="I329" s="163"/>
      <c r="J329" s="210">
        <f t="shared" si="31"/>
        <v>2460.4771449790614</v>
      </c>
      <c r="K329" s="210"/>
      <c r="L329" s="210">
        <f t="shared" si="32"/>
        <v>22144.294304811552</v>
      </c>
      <c r="M329" s="163"/>
      <c r="N329" s="163"/>
      <c r="O329" s="163"/>
      <c r="P329" s="165"/>
    </row>
    <row r="332" spans="2:16" ht="31.5">
      <c r="B332" s="206" t="s">
        <v>110</v>
      </c>
      <c r="C332" s="206"/>
      <c r="D332" s="206"/>
      <c r="E332" s="206"/>
      <c r="F332" s="206"/>
      <c r="G332" s="206"/>
      <c r="H332" s="206"/>
      <c r="I332" s="206"/>
      <c r="J332" s="206"/>
      <c r="K332" s="206"/>
    </row>
    <row r="334" spans="2:16" ht="17.5">
      <c r="B334" s="207" t="s">
        <v>111</v>
      </c>
      <c r="C334" s="207"/>
      <c r="D334" s="207"/>
      <c r="E334" s="207"/>
      <c r="F334" s="207"/>
      <c r="G334" s="207"/>
      <c r="H334" s="207"/>
      <c r="I334" s="207"/>
      <c r="J334" s="207"/>
      <c r="K334" s="207"/>
      <c r="L334" s="207"/>
      <c r="M334" s="207"/>
    </row>
    <row r="335" spans="2:16" ht="16" thickBot="1">
      <c r="B335" s="52"/>
    </row>
    <row r="336" spans="2:16">
      <c r="B336" s="208" t="s">
        <v>112</v>
      </c>
      <c r="C336" s="209"/>
      <c r="D336" s="209"/>
      <c r="E336" s="209"/>
      <c r="F336" s="209"/>
      <c r="G336" s="209"/>
      <c r="H336" s="95">
        <v>0.11</v>
      </c>
    </row>
    <row r="337" spans="2:8">
      <c r="B337" s="189" t="s">
        <v>176</v>
      </c>
      <c r="C337" s="190"/>
      <c r="D337" s="190"/>
      <c r="E337" s="190"/>
      <c r="F337" s="190"/>
      <c r="G337" s="190"/>
      <c r="H337" s="94">
        <f>K248*(-1)</f>
        <v>5454.9189849717732</v>
      </c>
    </row>
    <row r="338" spans="2:8">
      <c r="B338" s="189" t="s">
        <v>177</v>
      </c>
      <c r="C338" s="190"/>
      <c r="D338" s="190"/>
      <c r="E338" s="190"/>
      <c r="F338" s="190"/>
      <c r="G338" s="190"/>
      <c r="H338" s="94">
        <f>H337*(1+H336)</f>
        <v>6054.9600733186689</v>
      </c>
    </row>
    <row r="339" spans="2:8">
      <c r="B339" s="189" t="s">
        <v>178</v>
      </c>
      <c r="C339" s="190"/>
      <c r="D339" s="190"/>
      <c r="E339" s="190"/>
      <c r="F339" s="190"/>
      <c r="G339" s="190"/>
      <c r="H339" s="83">
        <v>200</v>
      </c>
    </row>
    <row r="340" spans="2:8" ht="15" thickBot="1">
      <c r="B340" s="199" t="s">
        <v>179</v>
      </c>
      <c r="C340" s="200"/>
      <c r="D340" s="200"/>
      <c r="E340" s="200"/>
      <c r="F340" s="200"/>
      <c r="G340" s="200"/>
      <c r="H340" s="84">
        <f>5*C219*(-1)</f>
        <v>4040.5650196501601</v>
      </c>
    </row>
    <row r="341" spans="2:8" ht="15" thickBot="1">
      <c r="B341" s="201"/>
      <c r="C341" s="202"/>
      <c r="D341" s="202"/>
      <c r="E341" s="202"/>
      <c r="F341" s="202"/>
      <c r="G341" s="203"/>
      <c r="H341" s="96"/>
    </row>
    <row r="342" spans="2:8" ht="15" thickBot="1">
      <c r="B342" s="204" t="s">
        <v>180</v>
      </c>
      <c r="C342" s="205"/>
      <c r="D342" s="205"/>
      <c r="E342" s="205"/>
      <c r="F342" s="205"/>
      <c r="G342" s="205"/>
      <c r="H342" s="97">
        <f>H338+H339+H340</f>
        <v>10295.52509296883</v>
      </c>
    </row>
    <row r="343" spans="2:8" ht="15" thickBot="1">
      <c r="B343" s="201"/>
      <c r="C343" s="202"/>
      <c r="D343" s="202"/>
      <c r="E343" s="202"/>
      <c r="F343" s="202"/>
      <c r="G343" s="203"/>
      <c r="H343" s="96"/>
    </row>
    <row r="344" spans="2:8">
      <c r="B344" s="197" t="s">
        <v>181</v>
      </c>
      <c r="C344" s="198"/>
      <c r="D344" s="198"/>
      <c r="E344" s="198"/>
      <c r="F344" s="198"/>
      <c r="G344" s="198"/>
      <c r="H344" s="98">
        <f>C329</f>
        <v>28450.246548500967</v>
      </c>
    </row>
    <row r="345" spans="2:8">
      <c r="B345" s="189" t="s">
        <v>182</v>
      </c>
      <c r="C345" s="190"/>
      <c r="D345" s="190"/>
      <c r="E345" s="190"/>
      <c r="F345" s="190"/>
      <c r="G345" s="190"/>
      <c r="H345" s="99">
        <f>E329</f>
        <v>-3845.4750987103534</v>
      </c>
    </row>
    <row r="346" spans="2:8">
      <c r="B346" s="189" t="s">
        <v>183</v>
      </c>
      <c r="C346" s="190"/>
      <c r="D346" s="190"/>
      <c r="E346" s="190"/>
      <c r="F346" s="190"/>
      <c r="G346" s="190"/>
      <c r="H346" s="100">
        <f>H344+H345+H342</f>
        <v>34900.296542759446</v>
      </c>
    </row>
    <row r="347" spans="2:8">
      <c r="B347" s="189" t="s">
        <v>174</v>
      </c>
      <c r="C347" s="190"/>
      <c r="D347" s="190"/>
      <c r="E347" s="190"/>
      <c r="F347" s="190"/>
      <c r="G347" s="190"/>
      <c r="H347" s="100">
        <f>10%*H346</f>
        <v>3490.0296542759447</v>
      </c>
    </row>
    <row r="348" spans="2:8" ht="15" thickBot="1">
      <c r="B348" s="195" t="s">
        <v>184</v>
      </c>
      <c r="C348" s="196"/>
      <c r="D348" s="196"/>
      <c r="E348" s="196"/>
      <c r="F348" s="196"/>
      <c r="G348" s="196"/>
      <c r="H348" s="101">
        <f>H346-H347</f>
        <v>31410.2668884835</v>
      </c>
    </row>
    <row r="349" spans="2:8">
      <c r="B349" s="67"/>
      <c r="C349" s="67"/>
      <c r="D349" s="67"/>
      <c r="E349" s="67"/>
      <c r="F349" s="67"/>
      <c r="G349" s="67"/>
    </row>
    <row r="350" spans="2:8" ht="18.5">
      <c r="B350" s="80" t="s">
        <v>115</v>
      </c>
      <c r="C350" s="67"/>
      <c r="D350" s="67"/>
      <c r="E350" s="67"/>
      <c r="F350" s="67"/>
      <c r="G350" s="67"/>
    </row>
    <row r="351" spans="2:8" ht="19" thickBot="1">
      <c r="B351" s="50"/>
      <c r="C351" s="67"/>
      <c r="D351" s="67"/>
      <c r="E351" s="67"/>
      <c r="F351" s="67"/>
      <c r="G351" s="67"/>
    </row>
    <row r="352" spans="2:8">
      <c r="B352" s="197" t="s">
        <v>185</v>
      </c>
      <c r="C352" s="198"/>
      <c r="D352" s="198"/>
      <c r="E352" s="198"/>
      <c r="F352" s="82">
        <v>-150</v>
      </c>
      <c r="G352" s="67"/>
    </row>
    <row r="353" spans="2:12">
      <c r="B353" s="189" t="s">
        <v>117</v>
      </c>
      <c r="C353" s="190"/>
      <c r="D353" s="190"/>
      <c r="E353" s="190"/>
      <c r="F353" s="83">
        <v>-1000</v>
      </c>
      <c r="G353" s="67"/>
    </row>
    <row r="354" spans="2:12">
      <c r="B354" s="189" t="s">
        <v>186</v>
      </c>
      <c r="C354" s="190"/>
      <c r="D354" s="190"/>
      <c r="E354" s="190"/>
      <c r="F354" s="83">
        <v>-525</v>
      </c>
      <c r="G354" s="67"/>
    </row>
    <row r="355" spans="2:12">
      <c r="B355" s="189" t="s">
        <v>187</v>
      </c>
      <c r="C355" s="190"/>
      <c r="D355" s="190"/>
      <c r="E355" s="190"/>
      <c r="F355" s="83">
        <v>-500</v>
      </c>
      <c r="G355" s="67"/>
    </row>
    <row r="356" spans="2:12">
      <c r="B356" s="189" t="s">
        <v>188</v>
      </c>
      <c r="C356" s="190"/>
      <c r="D356" s="190"/>
      <c r="E356" s="190"/>
      <c r="F356" s="94">
        <v>-1048.9046400000002</v>
      </c>
      <c r="G356" s="67"/>
    </row>
    <row r="357" spans="2:12">
      <c r="B357" s="189" t="s">
        <v>189</v>
      </c>
      <c r="C357" s="190"/>
      <c r="D357" s="190"/>
      <c r="E357" s="190"/>
      <c r="F357" s="83">
        <v>30</v>
      </c>
      <c r="G357" s="67"/>
    </row>
    <row r="358" spans="2:12" ht="15" thickBot="1">
      <c r="B358" s="191" t="s">
        <v>190</v>
      </c>
      <c r="C358" s="192"/>
      <c r="D358" s="192"/>
      <c r="E358" s="192"/>
      <c r="F358" s="102">
        <f>SUM(F352:F357)</f>
        <v>-3193.9046400000002</v>
      </c>
      <c r="G358" s="67"/>
    </row>
    <row r="359" spans="2:12" ht="15" thickBot="1">
      <c r="B359" s="67"/>
      <c r="C359" s="67"/>
      <c r="D359" s="67"/>
      <c r="E359" s="67"/>
      <c r="F359" s="67"/>
      <c r="G359" s="67"/>
    </row>
    <row r="360" spans="2:12" ht="15" thickBot="1">
      <c r="B360" s="193" t="s">
        <v>123</v>
      </c>
      <c r="C360" s="194"/>
      <c r="D360" s="194"/>
      <c r="E360" s="103">
        <f>1/(1+H336)</f>
        <v>0.9009009009009008</v>
      </c>
    </row>
    <row r="361" spans="2:12" ht="15" thickBot="1"/>
    <row r="362" spans="2:12">
      <c r="B362" s="104" t="s">
        <v>10</v>
      </c>
      <c r="C362" s="105" t="s">
        <v>124</v>
      </c>
      <c r="D362" s="174" t="s">
        <v>175</v>
      </c>
      <c r="E362" s="174"/>
      <c r="F362" s="174"/>
      <c r="G362" s="174"/>
      <c r="H362" s="174" t="s">
        <v>125</v>
      </c>
      <c r="I362" s="174"/>
      <c r="J362" s="174" t="s">
        <v>191</v>
      </c>
      <c r="K362" s="174"/>
      <c r="L362" s="175"/>
    </row>
    <row r="363" spans="2:12">
      <c r="B363" s="75">
        <v>2022</v>
      </c>
      <c r="C363" s="60">
        <v>0</v>
      </c>
      <c r="D363" s="187">
        <f>$F$358</f>
        <v>-3193.9046400000002</v>
      </c>
      <c r="E363" s="187"/>
      <c r="F363" s="187"/>
      <c r="G363" s="187"/>
      <c r="H363" s="187">
        <f>$E$360^C363</f>
        <v>1</v>
      </c>
      <c r="I363" s="187"/>
      <c r="J363" s="187">
        <f>D363*H363</f>
        <v>-3193.9046400000002</v>
      </c>
      <c r="K363" s="187"/>
      <c r="L363" s="188"/>
    </row>
    <row r="364" spans="2:12">
      <c r="B364" s="75">
        <v>2023</v>
      </c>
      <c r="C364" s="60">
        <v>1</v>
      </c>
      <c r="D364" s="187">
        <v>2909.9080794959991</v>
      </c>
      <c r="E364" s="187"/>
      <c r="F364" s="187"/>
      <c r="G364" s="187"/>
      <c r="H364" s="187">
        <f t="shared" ref="H364:H383" si="33">$E$360^C364</f>
        <v>0.9009009009009008</v>
      </c>
      <c r="I364" s="187"/>
      <c r="J364" s="187">
        <f t="shared" ref="J364:J383" si="34">D364*H364</f>
        <v>2621.5388103567557</v>
      </c>
      <c r="K364" s="187"/>
      <c r="L364" s="188"/>
    </row>
    <row r="365" spans="2:12">
      <c r="B365" s="75">
        <v>2024</v>
      </c>
      <c r="C365" s="60">
        <v>2</v>
      </c>
      <c r="D365" s="187">
        <v>3190.3514225327349</v>
      </c>
      <c r="E365" s="187"/>
      <c r="F365" s="187"/>
      <c r="G365" s="187"/>
      <c r="H365" s="187">
        <f t="shared" si="33"/>
        <v>0.8116224332440547</v>
      </c>
      <c r="I365" s="187"/>
      <c r="J365" s="187">
        <f t="shared" si="34"/>
        <v>2589.3607844596495</v>
      </c>
      <c r="K365" s="187"/>
      <c r="L365" s="188"/>
    </row>
    <row r="366" spans="2:12">
      <c r="B366" s="75">
        <v>2025</v>
      </c>
      <c r="C366" s="60">
        <v>3</v>
      </c>
      <c r="D366" s="187">
        <v>2933.9579357557304</v>
      </c>
      <c r="E366" s="187"/>
      <c r="F366" s="187"/>
      <c r="G366" s="187"/>
      <c r="H366" s="187">
        <f t="shared" si="33"/>
        <v>0.73119138130095007</v>
      </c>
      <c r="I366" s="187"/>
      <c r="J366" s="187">
        <f t="shared" si="34"/>
        <v>2145.2847557241166</v>
      </c>
      <c r="K366" s="187"/>
      <c r="L366" s="188"/>
    </row>
    <row r="367" spans="2:12">
      <c r="B367" s="75">
        <v>2026</v>
      </c>
      <c r="C367" s="60">
        <v>4</v>
      </c>
      <c r="D367" s="187">
        <v>3837.597976427463</v>
      </c>
      <c r="E367" s="187"/>
      <c r="F367" s="187"/>
      <c r="G367" s="187"/>
      <c r="H367" s="187">
        <f t="shared" si="33"/>
        <v>0.65873097414500004</v>
      </c>
      <c r="I367" s="187"/>
      <c r="J367" s="187">
        <f t="shared" si="34"/>
        <v>2527.9446533889436</v>
      </c>
      <c r="K367" s="187"/>
      <c r="L367" s="188"/>
    </row>
    <row r="368" spans="2:12">
      <c r="B368" s="75">
        <v>2027</v>
      </c>
      <c r="C368" s="60">
        <v>5</v>
      </c>
      <c r="D368" s="187">
        <v>4210.4513385822911</v>
      </c>
      <c r="E368" s="187"/>
      <c r="F368" s="187"/>
      <c r="G368" s="187"/>
      <c r="H368" s="187">
        <f t="shared" si="33"/>
        <v>0.59345132805855849</v>
      </c>
      <c r="I368" s="187"/>
      <c r="J368" s="187">
        <f t="shared" si="34"/>
        <v>2498.6979386075959</v>
      </c>
      <c r="K368" s="187"/>
      <c r="L368" s="188"/>
    </row>
    <row r="369" spans="2:12">
      <c r="B369" s="75">
        <v>2028</v>
      </c>
      <c r="C369" s="60">
        <v>6</v>
      </c>
      <c r="D369" s="187">
        <v>4620.70435304086</v>
      </c>
      <c r="E369" s="187"/>
      <c r="F369" s="187"/>
      <c r="G369" s="187"/>
      <c r="H369" s="187">
        <f t="shared" si="33"/>
        <v>0.53464083608879143</v>
      </c>
      <c r="I369" s="187"/>
      <c r="J369" s="187">
        <f t="shared" si="34"/>
        <v>2470.4172386288833</v>
      </c>
      <c r="K369" s="187"/>
      <c r="L369" s="188"/>
    </row>
    <row r="370" spans="2:12">
      <c r="B370" s="75">
        <v>2029</v>
      </c>
      <c r="C370" s="60">
        <v>7</v>
      </c>
      <c r="D370" s="187">
        <v>5072.2559608939382</v>
      </c>
      <c r="E370" s="187"/>
      <c r="F370" s="187"/>
      <c r="G370" s="187"/>
      <c r="H370" s="187">
        <f t="shared" si="33"/>
        <v>0.48165841089080302</v>
      </c>
      <c r="I370" s="187"/>
      <c r="J370" s="187">
        <f t="shared" si="34"/>
        <v>2443.0947457555776</v>
      </c>
      <c r="K370" s="187"/>
      <c r="L370" s="188"/>
    </row>
    <row r="371" spans="2:12">
      <c r="B371" s="75">
        <v>2030</v>
      </c>
      <c r="C371" s="60">
        <v>8</v>
      </c>
      <c r="D371" s="187">
        <v>5569.4259675337689</v>
      </c>
      <c r="E371" s="187"/>
      <c r="F371" s="187"/>
      <c r="G371" s="187"/>
      <c r="H371" s="187">
        <f t="shared" si="33"/>
        <v>0.43392649629802071</v>
      </c>
      <c r="I371" s="187"/>
      <c r="J371" s="187">
        <f t="shared" si="34"/>
        <v>2416.7214964831423</v>
      </c>
      <c r="K371" s="187"/>
      <c r="L371" s="188"/>
    </row>
    <row r="372" spans="2:12">
      <c r="B372" s="75">
        <v>2031</v>
      </c>
      <c r="C372" s="60">
        <v>9</v>
      </c>
      <c r="D372" s="187">
        <v>6117.0017042898353</v>
      </c>
      <c r="E372" s="187"/>
      <c r="F372" s="187"/>
      <c r="G372" s="187"/>
      <c r="H372" s="187">
        <f t="shared" si="33"/>
        <v>0.39092477143965826</v>
      </c>
      <c r="I372" s="187"/>
      <c r="J372" s="187">
        <f t="shared" si="34"/>
        <v>2391.287493145504</v>
      </c>
      <c r="K372" s="187"/>
      <c r="L372" s="188"/>
    </row>
    <row r="373" spans="2:12">
      <c r="B373" s="75">
        <v>2032</v>
      </c>
      <c r="C373" s="60">
        <v>10</v>
      </c>
      <c r="D373" s="187">
        <v>6093.597914968801</v>
      </c>
      <c r="E373" s="187"/>
      <c r="F373" s="187"/>
      <c r="G373" s="187"/>
      <c r="H373" s="187">
        <f t="shared" si="33"/>
        <v>0.35218447877446685</v>
      </c>
      <c r="I373" s="187"/>
      <c r="J373" s="187">
        <f t="shared" si="34"/>
        <v>2146.0706055444653</v>
      </c>
      <c r="K373" s="187"/>
      <c r="L373" s="188"/>
    </row>
    <row r="374" spans="2:12">
      <c r="B374" s="75">
        <v>2033</v>
      </c>
      <c r="C374" s="60">
        <v>11</v>
      </c>
      <c r="D374" s="187">
        <v>7385.1747884111428</v>
      </c>
      <c r="E374" s="187"/>
      <c r="F374" s="187"/>
      <c r="G374" s="187"/>
      <c r="H374" s="187">
        <f t="shared" si="33"/>
        <v>0.31728331421123135</v>
      </c>
      <c r="I374" s="187"/>
      <c r="J374" s="187">
        <f t="shared" si="34"/>
        <v>2343.1927328963166</v>
      </c>
      <c r="K374" s="187"/>
      <c r="L374" s="188"/>
    </row>
    <row r="375" spans="2:12">
      <c r="B375" s="75">
        <v>2034</v>
      </c>
      <c r="C375" s="60">
        <v>12</v>
      </c>
      <c r="D375" s="187">
        <v>8118.1818531961781</v>
      </c>
      <c r="E375" s="187"/>
      <c r="F375" s="187"/>
      <c r="G375" s="187"/>
      <c r="H375" s="187">
        <f t="shared" si="33"/>
        <v>0.28584082361372193</v>
      </c>
      <c r="I375" s="187"/>
      <c r="J375" s="187">
        <f t="shared" si="34"/>
        <v>2320.5077871635667</v>
      </c>
      <c r="K375" s="187"/>
      <c r="L375" s="188"/>
    </row>
    <row r="376" spans="2:12">
      <c r="B376" s="75">
        <v>2035</v>
      </c>
      <c r="C376" s="60">
        <v>13</v>
      </c>
      <c r="D376" s="187">
        <v>8926.5500768173733</v>
      </c>
      <c r="E376" s="187"/>
      <c r="F376" s="187"/>
      <c r="G376" s="187"/>
      <c r="H376" s="187">
        <f t="shared" si="33"/>
        <v>0.25751425550785756</v>
      </c>
      <c r="I376" s="187"/>
      <c r="J376" s="187">
        <f t="shared" si="34"/>
        <v>2298.7138972852345</v>
      </c>
      <c r="K376" s="187"/>
      <c r="L376" s="188"/>
    </row>
    <row r="377" spans="2:12">
      <c r="B377" s="75">
        <v>2036</v>
      </c>
      <c r="C377" s="60">
        <v>14</v>
      </c>
      <c r="D377" s="187">
        <v>9818.3114120906594</v>
      </c>
      <c r="E377" s="187"/>
      <c r="F377" s="187"/>
      <c r="G377" s="187"/>
      <c r="H377" s="187">
        <f t="shared" si="33"/>
        <v>0.23199482478185365</v>
      </c>
      <c r="I377" s="187"/>
      <c r="J377" s="187">
        <f t="shared" si="34"/>
        <v>2277.7974357016465</v>
      </c>
      <c r="K377" s="187"/>
      <c r="L377" s="188"/>
    </row>
    <row r="378" spans="2:12">
      <c r="B378" s="75">
        <v>2037</v>
      </c>
      <c r="C378" s="60">
        <v>15</v>
      </c>
      <c r="D378" s="187">
        <v>10127.254362718817</v>
      </c>
      <c r="E378" s="187"/>
      <c r="F378" s="187"/>
      <c r="G378" s="187"/>
      <c r="H378" s="187">
        <f t="shared" si="33"/>
        <v>0.20900434665031858</v>
      </c>
      <c r="I378" s="187"/>
      <c r="J378" s="187">
        <f t="shared" si="34"/>
        <v>2116.6401814416349</v>
      </c>
      <c r="K378" s="187"/>
      <c r="L378" s="188"/>
    </row>
    <row r="379" spans="2:12">
      <c r="B379" s="75">
        <v>2038</v>
      </c>
      <c r="C379" s="60">
        <v>16</v>
      </c>
      <c r="D379" s="187">
        <v>11888.649501057533</v>
      </c>
      <c r="E379" s="187"/>
      <c r="F379" s="187"/>
      <c r="G379" s="187"/>
      <c r="H379" s="187">
        <f t="shared" si="33"/>
        <v>0.18829220418947618</v>
      </c>
      <c r="I379" s="187"/>
      <c r="J379" s="187">
        <f t="shared" si="34"/>
        <v>2238.5400193902392</v>
      </c>
      <c r="K379" s="187"/>
      <c r="L379" s="188"/>
    </row>
    <row r="380" spans="2:12">
      <c r="B380" s="75">
        <v>2039</v>
      </c>
      <c r="C380" s="60">
        <v>17</v>
      </c>
      <c r="D380" s="187">
        <v>13088.10650743758</v>
      </c>
      <c r="E380" s="187"/>
      <c r="F380" s="187"/>
      <c r="G380" s="187"/>
      <c r="H380" s="187">
        <f t="shared" si="33"/>
        <v>0.16963261638691546</v>
      </c>
      <c r="I380" s="187"/>
      <c r="J380" s="187">
        <f t="shared" si="34"/>
        <v>2220.1697504072508</v>
      </c>
      <c r="K380" s="187"/>
      <c r="L380" s="188"/>
    </row>
    <row r="381" spans="2:12">
      <c r="B381" s="75">
        <v>2040</v>
      </c>
      <c r="C381" s="60">
        <v>18</v>
      </c>
      <c r="D381" s="187">
        <v>13706.986141081918</v>
      </c>
      <c r="E381" s="187"/>
      <c r="F381" s="187"/>
      <c r="G381" s="187"/>
      <c r="H381" s="187">
        <f t="shared" si="33"/>
        <v>0.15282217692514904</v>
      </c>
      <c r="I381" s="187"/>
      <c r="J381" s="187">
        <f t="shared" si="34"/>
        <v>2094.7314611629868</v>
      </c>
      <c r="K381" s="187"/>
      <c r="L381" s="188"/>
    </row>
    <row r="382" spans="2:12">
      <c r="B382" s="75">
        <v>2041</v>
      </c>
      <c r="C382" s="60">
        <v>19</v>
      </c>
      <c r="D382" s="187">
        <v>15876.73012935404</v>
      </c>
      <c r="E382" s="187"/>
      <c r="F382" s="187"/>
      <c r="G382" s="187"/>
      <c r="H382" s="187">
        <f t="shared" si="33"/>
        <v>0.13767763686950363</v>
      </c>
      <c r="I382" s="187"/>
      <c r="J382" s="187">
        <f t="shared" si="34"/>
        <v>2185.8706854243128</v>
      </c>
      <c r="K382" s="187"/>
      <c r="L382" s="188"/>
    </row>
    <row r="383" spans="2:12" ht="15" thickBot="1">
      <c r="B383" s="76">
        <v>2042</v>
      </c>
      <c r="C383" s="106">
        <v>20</v>
      </c>
      <c r="D383" s="183">
        <f>H348</f>
        <v>31410.2668884835</v>
      </c>
      <c r="E383" s="183"/>
      <c r="F383" s="183"/>
      <c r="G383" s="183"/>
      <c r="H383" s="183">
        <f t="shared" si="33"/>
        <v>0.1240339070896429</v>
      </c>
      <c r="I383" s="183"/>
      <c r="J383" s="183">
        <f t="shared" si="34"/>
        <v>3895.9381249070493</v>
      </c>
      <c r="K383" s="183"/>
      <c r="L383" s="184"/>
    </row>
    <row r="386" spans="2:12" ht="28.5">
      <c r="E386" s="185" t="s">
        <v>192</v>
      </c>
      <c r="F386" s="185"/>
      <c r="G386" s="185"/>
      <c r="H386" s="185"/>
      <c r="I386" s="185"/>
      <c r="J386" s="186">
        <f>SUM(J363:L383)</f>
        <v>45048.61595787487</v>
      </c>
      <c r="K386" s="186"/>
      <c r="L386" s="186"/>
    </row>
    <row r="388" spans="2:12" ht="31.5">
      <c r="B388" s="137" t="s">
        <v>127</v>
      </c>
      <c r="C388" s="137"/>
    </row>
    <row r="389" spans="2:12" ht="26.5" thickBot="1">
      <c r="B389" s="55"/>
    </row>
    <row r="390" spans="2:12" ht="15" thickBot="1">
      <c r="B390" s="110" t="s">
        <v>128</v>
      </c>
      <c r="C390" s="111"/>
      <c r="D390" s="111"/>
      <c r="E390" s="112"/>
      <c r="F390" s="109"/>
    </row>
    <row r="391" spans="2:12" ht="15" thickBot="1"/>
    <row r="392" spans="2:12">
      <c r="B392" s="177" t="s">
        <v>127</v>
      </c>
      <c r="C392" s="178"/>
      <c r="D392" s="178"/>
      <c r="E392" s="107">
        <v>0.98752937793535778</v>
      </c>
    </row>
    <row r="393" spans="2:12">
      <c r="B393" s="179" t="s">
        <v>129</v>
      </c>
      <c r="C393" s="180"/>
      <c r="D393" s="180"/>
      <c r="E393" s="83">
        <f>1/(1+E392)</f>
        <v>0.50313721704018199</v>
      </c>
    </row>
    <row r="394" spans="2:12" ht="15" thickBot="1">
      <c r="B394" s="181" t="s">
        <v>192</v>
      </c>
      <c r="C394" s="182"/>
      <c r="D394" s="182"/>
      <c r="E394" s="108">
        <f>SUM(J398:L418)</f>
        <v>5.0508140725380457E-10</v>
      </c>
    </row>
    <row r="396" spans="2:12" ht="15" thickBot="1"/>
    <row r="397" spans="2:12">
      <c r="B397" s="104" t="s">
        <v>10</v>
      </c>
      <c r="C397" s="105" t="s">
        <v>124</v>
      </c>
      <c r="D397" s="174" t="s">
        <v>175</v>
      </c>
      <c r="E397" s="174"/>
      <c r="F397" s="174"/>
      <c r="G397" s="174"/>
      <c r="H397" s="174" t="s">
        <v>125</v>
      </c>
      <c r="I397" s="174"/>
      <c r="J397" s="174" t="s">
        <v>191</v>
      </c>
      <c r="K397" s="174"/>
      <c r="L397" s="175"/>
    </row>
    <row r="398" spans="2:12">
      <c r="B398" s="75">
        <v>2022</v>
      </c>
      <c r="C398" s="60">
        <v>0</v>
      </c>
      <c r="D398" s="176">
        <f>$F$358</f>
        <v>-3193.9046400000002</v>
      </c>
      <c r="E398" s="171"/>
      <c r="F398" s="171"/>
      <c r="G398" s="171"/>
      <c r="H398" s="171">
        <f>$E$393^C398</f>
        <v>1</v>
      </c>
      <c r="I398" s="171"/>
      <c r="J398" s="171">
        <f>D398*H398</f>
        <v>-3193.9046400000002</v>
      </c>
      <c r="K398" s="171"/>
      <c r="L398" s="173"/>
    </row>
    <row r="399" spans="2:12">
      <c r="B399" s="75">
        <v>2023</v>
      </c>
      <c r="C399" s="60">
        <v>1</v>
      </c>
      <c r="D399" s="171">
        <v>2909.9080794959991</v>
      </c>
      <c r="E399" s="171"/>
      <c r="F399" s="171"/>
      <c r="G399" s="171"/>
      <c r="H399" s="171">
        <f t="shared" ref="H399:H418" si="35">$E$393^C399</f>
        <v>0.50313721704018199</v>
      </c>
      <c r="I399" s="171"/>
      <c r="J399" s="171">
        <f t="shared" ref="J399:J418" si="36">D399*H399</f>
        <v>1464.0830529603577</v>
      </c>
      <c r="K399" s="171"/>
      <c r="L399" s="173"/>
    </row>
    <row r="400" spans="2:12">
      <c r="B400" s="75">
        <v>2024</v>
      </c>
      <c r="C400" s="60">
        <v>2</v>
      </c>
      <c r="D400" s="171">
        <v>3190.3514225327349</v>
      </c>
      <c r="E400" s="171"/>
      <c r="F400" s="171"/>
      <c r="G400" s="171"/>
      <c r="H400" s="171">
        <f t="shared" si="35"/>
        <v>0.25314705917093921</v>
      </c>
      <c r="I400" s="171"/>
      <c r="J400" s="171">
        <f t="shared" si="36"/>
        <v>807.62808033598435</v>
      </c>
      <c r="K400" s="171"/>
      <c r="L400" s="173"/>
    </row>
    <row r="401" spans="2:12">
      <c r="B401" s="75">
        <v>2025</v>
      </c>
      <c r="C401" s="60">
        <v>3</v>
      </c>
      <c r="D401" s="171">
        <v>2933.9579357557304</v>
      </c>
      <c r="E401" s="171"/>
      <c r="F401" s="171"/>
      <c r="G401" s="171"/>
      <c r="H401" s="171">
        <f t="shared" si="35"/>
        <v>0.12736770685317264</v>
      </c>
      <c r="I401" s="171"/>
      <c r="J401" s="171">
        <f t="shared" si="36"/>
        <v>373.69149428087542</v>
      </c>
      <c r="K401" s="171"/>
      <c r="L401" s="173"/>
    </row>
    <row r="402" spans="2:12">
      <c r="B402" s="75">
        <v>2026</v>
      </c>
      <c r="C402" s="60">
        <v>4</v>
      </c>
      <c r="D402" s="171">
        <v>3837.597976427463</v>
      </c>
      <c r="E402" s="171"/>
      <c r="F402" s="171"/>
      <c r="G402" s="171"/>
      <c r="H402" s="171">
        <f t="shared" si="35"/>
        <v>6.4083433566894998E-2</v>
      </c>
      <c r="I402" s="171"/>
      <c r="J402" s="171">
        <f t="shared" si="36"/>
        <v>245.92645497884001</v>
      </c>
      <c r="K402" s="171"/>
      <c r="L402" s="173"/>
    </row>
    <row r="403" spans="2:12">
      <c r="B403" s="75">
        <v>2027</v>
      </c>
      <c r="C403" s="60">
        <v>5</v>
      </c>
      <c r="D403" s="171">
        <v>4210.4513385822911</v>
      </c>
      <c r="E403" s="171"/>
      <c r="F403" s="171"/>
      <c r="G403" s="171"/>
      <c r="H403" s="171">
        <f t="shared" si="35"/>
        <v>3.2242760423226935E-2</v>
      </c>
      <c r="I403" s="171"/>
      <c r="J403" s="171">
        <f t="shared" si="36"/>
        <v>135.75657378356397</v>
      </c>
      <c r="K403" s="171"/>
      <c r="L403" s="173"/>
    </row>
    <row r="404" spans="2:12">
      <c r="B404" s="75">
        <v>2028</v>
      </c>
      <c r="C404" s="60">
        <v>6</v>
      </c>
      <c r="D404" s="171">
        <v>4620.70435304086</v>
      </c>
      <c r="E404" s="171"/>
      <c r="F404" s="171"/>
      <c r="G404" s="171"/>
      <c r="H404" s="171">
        <f t="shared" si="35"/>
        <v>1.622253274903572E-2</v>
      </c>
      <c r="I404" s="171"/>
      <c r="J404" s="171">
        <f t="shared" si="36"/>
        <v>74.959527690817268</v>
      </c>
      <c r="K404" s="171"/>
      <c r="L404" s="173"/>
    </row>
    <row r="405" spans="2:12">
      <c r="B405" s="75">
        <v>2029</v>
      </c>
      <c r="C405" s="60">
        <v>7</v>
      </c>
      <c r="D405" s="171">
        <v>5072.2559608939382</v>
      </c>
      <c r="E405" s="171"/>
      <c r="F405" s="171"/>
      <c r="G405" s="171"/>
      <c r="H405" s="171">
        <f t="shared" si="35"/>
        <v>8.1621599806930463E-3</v>
      </c>
      <c r="I405" s="171"/>
      <c r="J405" s="171">
        <f t="shared" si="36"/>
        <v>41.400564615840253</v>
      </c>
      <c r="K405" s="171"/>
      <c r="L405" s="173"/>
    </row>
    <row r="406" spans="2:12">
      <c r="B406" s="75">
        <v>2030</v>
      </c>
      <c r="C406" s="60">
        <v>8</v>
      </c>
      <c r="D406" s="171">
        <v>5569.4259675337689</v>
      </c>
      <c r="E406" s="171"/>
      <c r="F406" s="171"/>
      <c r="G406" s="171"/>
      <c r="H406" s="171">
        <f t="shared" si="35"/>
        <v>4.1066864577226445E-3</v>
      </c>
      <c r="I406" s="171"/>
      <c r="J406" s="171">
        <f t="shared" si="36"/>
        <v>22.871886198159764</v>
      </c>
      <c r="K406" s="171"/>
      <c r="L406" s="173"/>
    </row>
    <row r="407" spans="2:12">
      <c r="B407" s="75">
        <v>2031</v>
      </c>
      <c r="C407" s="60">
        <v>9</v>
      </c>
      <c r="D407" s="171">
        <v>6117.0017042898353</v>
      </c>
      <c r="E407" s="171"/>
      <c r="F407" s="171"/>
      <c r="G407" s="171"/>
      <c r="H407" s="171">
        <f t="shared" si="35"/>
        <v>2.0662267955951744E-3</v>
      </c>
      <c r="I407" s="171"/>
      <c r="J407" s="171">
        <f t="shared" si="36"/>
        <v>12.639112830105006</v>
      </c>
      <c r="K407" s="171"/>
      <c r="L407" s="173"/>
    </row>
    <row r="408" spans="2:12">
      <c r="B408" s="75">
        <v>2032</v>
      </c>
      <c r="C408" s="60">
        <v>10</v>
      </c>
      <c r="D408" s="171">
        <v>6093.597914968801</v>
      </c>
      <c r="E408" s="171"/>
      <c r="F408" s="171"/>
      <c r="G408" s="171"/>
      <c r="H408" s="171">
        <f t="shared" si="35"/>
        <v>1.0395955997096092E-3</v>
      </c>
      <c r="I408" s="171"/>
      <c r="J408" s="171">
        <f t="shared" si="36"/>
        <v>6.3348775788012146</v>
      </c>
      <c r="K408" s="171"/>
      <c r="L408" s="173"/>
    </row>
    <row r="409" spans="2:12">
      <c r="B409" s="75">
        <v>2033</v>
      </c>
      <c r="C409" s="60">
        <v>11</v>
      </c>
      <c r="D409" s="171">
        <v>7385.1747884111428</v>
      </c>
      <c r="E409" s="171"/>
      <c r="F409" s="171"/>
      <c r="G409" s="171"/>
      <c r="H409" s="171">
        <f t="shared" si="35"/>
        <v>5.2305923688511177E-4</v>
      </c>
      <c r="I409" s="171"/>
      <c r="J409" s="171">
        <f t="shared" si="36"/>
        <v>3.862883889089499</v>
      </c>
      <c r="K409" s="171"/>
      <c r="L409" s="173"/>
    </row>
    <row r="410" spans="2:12">
      <c r="B410" s="75">
        <v>2034</v>
      </c>
      <c r="C410" s="60">
        <v>12</v>
      </c>
      <c r="D410" s="171">
        <v>8118.1818531961781</v>
      </c>
      <c r="E410" s="171"/>
      <c r="F410" s="171"/>
      <c r="G410" s="171"/>
      <c r="H410" s="171">
        <f t="shared" si="35"/>
        <v>2.6317056879353643E-4</v>
      </c>
      <c r="I410" s="171"/>
      <c r="J410" s="171">
        <f t="shared" si="36"/>
        <v>2.1364665358750039</v>
      </c>
      <c r="K410" s="171"/>
      <c r="L410" s="173"/>
    </row>
    <row r="411" spans="2:12">
      <c r="B411" s="75">
        <v>2035</v>
      </c>
      <c r="C411" s="60">
        <v>13</v>
      </c>
      <c r="D411" s="171">
        <v>8926.5500768173733</v>
      </c>
      <c r="E411" s="171"/>
      <c r="F411" s="171"/>
      <c r="G411" s="171"/>
      <c r="H411" s="171">
        <f t="shared" si="35"/>
        <v>1.324109075896617E-4</v>
      </c>
      <c r="I411" s="171"/>
      <c r="J411" s="171">
        <f t="shared" si="36"/>
        <v>1.1819725973159527</v>
      </c>
      <c r="K411" s="171"/>
      <c r="L411" s="173"/>
    </row>
    <row r="412" spans="2:12">
      <c r="B412" s="75">
        <v>2036</v>
      </c>
      <c r="C412" s="60">
        <v>14</v>
      </c>
      <c r="D412" s="171">
        <v>9818.3114120906594</v>
      </c>
      <c r="E412" s="171"/>
      <c r="F412" s="171"/>
      <c r="G412" s="171"/>
      <c r="H412" s="172">
        <f t="shared" si="35"/>
        <v>6.6620855550427103E-5</v>
      </c>
      <c r="I412" s="172"/>
      <c r="J412" s="171">
        <f t="shared" si="36"/>
        <v>0.65410430633400174</v>
      </c>
      <c r="K412" s="171"/>
      <c r="L412" s="173"/>
    </row>
    <row r="413" spans="2:12">
      <c r="B413" s="75">
        <v>2037</v>
      </c>
      <c r="C413" s="60">
        <v>15</v>
      </c>
      <c r="D413" s="171">
        <v>10127.254362718817</v>
      </c>
      <c r="E413" s="171"/>
      <c r="F413" s="171"/>
      <c r="G413" s="171"/>
      <c r="H413" s="172">
        <f t="shared" si="35"/>
        <v>3.3519431858477854E-5</v>
      </c>
      <c r="I413" s="172"/>
      <c r="J413" s="171">
        <f t="shared" si="36"/>
        <v>0.33945981252462598</v>
      </c>
      <c r="K413" s="171"/>
      <c r="L413" s="173"/>
    </row>
    <row r="414" spans="2:12">
      <c r="B414" s="75">
        <v>2038</v>
      </c>
      <c r="C414" s="60">
        <v>16</v>
      </c>
      <c r="D414" s="171">
        <v>11888.649501057533</v>
      </c>
      <c r="E414" s="171"/>
      <c r="F414" s="171"/>
      <c r="G414" s="171"/>
      <c r="H414" s="172">
        <f t="shared" si="35"/>
        <v>1.6864873662042562E-5</v>
      </c>
      <c r="I414" s="172"/>
      <c r="J414" s="171">
        <f t="shared" si="36"/>
        <v>0.20050057184764064</v>
      </c>
      <c r="K414" s="171"/>
      <c r="L414" s="173"/>
    </row>
    <row r="415" spans="2:12">
      <c r="B415" s="75">
        <v>2039</v>
      </c>
      <c r="C415" s="60">
        <v>17</v>
      </c>
      <c r="D415" s="171">
        <v>13088.10650743758</v>
      </c>
      <c r="E415" s="171"/>
      <c r="F415" s="171"/>
      <c r="G415" s="171"/>
      <c r="H415" s="172">
        <f t="shared" si="35"/>
        <v>8.4853456000543568E-6</v>
      </c>
      <c r="I415" s="172"/>
      <c r="J415" s="171">
        <f t="shared" si="36"/>
        <v>0.11105710696592827</v>
      </c>
      <c r="K415" s="171"/>
      <c r="L415" s="173"/>
    </row>
    <row r="416" spans="2:12">
      <c r="B416" s="75">
        <v>2040</v>
      </c>
      <c r="C416" s="60">
        <v>18</v>
      </c>
      <c r="D416" s="171">
        <v>13706.986141081918</v>
      </c>
      <c r="E416" s="171"/>
      <c r="F416" s="171"/>
      <c r="G416" s="171"/>
      <c r="H416" s="172">
        <f t="shared" si="35"/>
        <v>4.2692931708355026E-6</v>
      </c>
      <c r="I416" s="172"/>
      <c r="J416" s="171">
        <f t="shared" si="36"/>
        <v>5.8519142324857908E-2</v>
      </c>
      <c r="K416" s="171"/>
      <c r="L416" s="173"/>
    </row>
    <row r="417" spans="2:12">
      <c r="B417" s="75">
        <v>2041</v>
      </c>
      <c r="C417" s="60">
        <v>19</v>
      </c>
      <c r="D417" s="171">
        <v>15876.73012935404</v>
      </c>
      <c r="E417" s="171"/>
      <c r="F417" s="171"/>
      <c r="G417" s="171"/>
      <c r="H417" s="172">
        <f t="shared" si="35"/>
        <v>2.148040284702829E-6</v>
      </c>
      <c r="I417" s="172"/>
      <c r="J417" s="171">
        <f t="shared" si="36"/>
        <v>3.4103855907207638E-2</v>
      </c>
      <c r="K417" s="171"/>
      <c r="L417" s="173"/>
    </row>
    <row r="418" spans="2:12" ht="15" thickBot="1">
      <c r="B418" s="76">
        <v>2042</v>
      </c>
      <c r="C418" s="106">
        <v>20</v>
      </c>
      <c r="D418" s="163">
        <f>H348</f>
        <v>31410.2668884835</v>
      </c>
      <c r="E418" s="163"/>
      <c r="F418" s="163"/>
      <c r="G418" s="163"/>
      <c r="H418" s="164">
        <f t="shared" si="35"/>
        <v>1.0807590109355816E-6</v>
      </c>
      <c r="I418" s="164"/>
      <c r="J418" s="163">
        <f t="shared" si="36"/>
        <v>3.3946928975620079E-2</v>
      </c>
      <c r="K418" s="163"/>
      <c r="L418" s="165"/>
    </row>
    <row r="419" spans="2:12" ht="15" thickBot="1"/>
    <row r="420" spans="2:12" ht="29" thickBot="1">
      <c r="H420" s="166" t="s">
        <v>127</v>
      </c>
      <c r="I420" s="167"/>
      <c r="J420" s="167"/>
      <c r="K420" s="168">
        <f>E392</f>
        <v>0.98752937793535778</v>
      </c>
      <c r="L420" s="169"/>
    </row>
    <row r="1048555" spans="21:22">
      <c r="U1048555" s="170"/>
      <c r="V1048555" s="170"/>
    </row>
  </sheetData>
  <mergeCells count="864">
    <mergeCell ref="B10:F10"/>
    <mergeCell ref="B12:F12"/>
    <mergeCell ref="B13:F13"/>
    <mergeCell ref="B14:F14"/>
    <mergeCell ref="B15:F15"/>
    <mergeCell ref="B17:F17"/>
    <mergeCell ref="C1:N1"/>
    <mergeCell ref="B5:D5"/>
    <mergeCell ref="B7:F7"/>
    <mergeCell ref="B8:F8"/>
    <mergeCell ref="B9:F9"/>
    <mergeCell ref="A3:C3"/>
    <mergeCell ref="C20:F20"/>
    <mergeCell ref="H20:I20"/>
    <mergeCell ref="J20:K20"/>
    <mergeCell ref="N20:Q20"/>
    <mergeCell ref="S20:T20"/>
    <mergeCell ref="U20:V20"/>
    <mergeCell ref="C19:F19"/>
    <mergeCell ref="H19:I19"/>
    <mergeCell ref="J19:K19"/>
    <mergeCell ref="N19:Q19"/>
    <mergeCell ref="S19:T19"/>
    <mergeCell ref="U19:V19"/>
    <mergeCell ref="C22:F22"/>
    <mergeCell ref="H22:I22"/>
    <mergeCell ref="J22:K22"/>
    <mergeCell ref="N22:Q22"/>
    <mergeCell ref="S22:T22"/>
    <mergeCell ref="U22:V22"/>
    <mergeCell ref="C21:F21"/>
    <mergeCell ref="H21:I21"/>
    <mergeCell ref="J21:K21"/>
    <mergeCell ref="N21:Q21"/>
    <mergeCell ref="S21:T21"/>
    <mergeCell ref="U21:V21"/>
    <mergeCell ref="C24:F24"/>
    <mergeCell ref="H24:I24"/>
    <mergeCell ref="J24:K24"/>
    <mergeCell ref="N24:Q24"/>
    <mergeCell ref="S24:T24"/>
    <mergeCell ref="U24:V24"/>
    <mergeCell ref="C23:F23"/>
    <mergeCell ref="H23:I23"/>
    <mergeCell ref="J23:K23"/>
    <mergeCell ref="N23:Q23"/>
    <mergeCell ref="S23:T23"/>
    <mergeCell ref="U23:V23"/>
    <mergeCell ref="C26:F26"/>
    <mergeCell ref="H26:I26"/>
    <mergeCell ref="J26:K26"/>
    <mergeCell ref="N26:Q26"/>
    <mergeCell ref="S26:T26"/>
    <mergeCell ref="U26:V26"/>
    <mergeCell ref="C25:F25"/>
    <mergeCell ref="H25:I25"/>
    <mergeCell ref="J25:K25"/>
    <mergeCell ref="N25:Q25"/>
    <mergeCell ref="S25:T25"/>
    <mergeCell ref="U25:V25"/>
    <mergeCell ref="C28:F28"/>
    <mergeCell ref="H28:I28"/>
    <mergeCell ref="J28:K28"/>
    <mergeCell ref="N28:Q28"/>
    <mergeCell ref="S28:T28"/>
    <mergeCell ref="U28:V28"/>
    <mergeCell ref="C27:F27"/>
    <mergeCell ref="H27:I27"/>
    <mergeCell ref="J27:K27"/>
    <mergeCell ref="N27:Q27"/>
    <mergeCell ref="S27:T27"/>
    <mergeCell ref="U27:V27"/>
    <mergeCell ref="C30:F30"/>
    <mergeCell ref="H30:I30"/>
    <mergeCell ref="J30:K30"/>
    <mergeCell ref="N30:Q30"/>
    <mergeCell ref="S30:T30"/>
    <mergeCell ref="U30:V30"/>
    <mergeCell ref="C29:F29"/>
    <mergeCell ref="H29:I29"/>
    <mergeCell ref="J29:K29"/>
    <mergeCell ref="N29:Q29"/>
    <mergeCell ref="S29:T29"/>
    <mergeCell ref="U29:V29"/>
    <mergeCell ref="C32:F32"/>
    <mergeCell ref="H32:I32"/>
    <mergeCell ref="J32:K32"/>
    <mergeCell ref="N32:Q32"/>
    <mergeCell ref="S32:T32"/>
    <mergeCell ref="U32:V32"/>
    <mergeCell ref="C31:F31"/>
    <mergeCell ref="H31:I31"/>
    <mergeCell ref="J31:K31"/>
    <mergeCell ref="N31:Q31"/>
    <mergeCell ref="S31:T31"/>
    <mergeCell ref="U31:V31"/>
    <mergeCell ref="C34:F34"/>
    <mergeCell ref="H34:I34"/>
    <mergeCell ref="J34:K34"/>
    <mergeCell ref="N34:Q34"/>
    <mergeCell ref="S34:T34"/>
    <mergeCell ref="U34:V34"/>
    <mergeCell ref="C33:F33"/>
    <mergeCell ref="H33:I33"/>
    <mergeCell ref="J33:K33"/>
    <mergeCell ref="N33:Q33"/>
    <mergeCell ref="S33:T33"/>
    <mergeCell ref="U33:V33"/>
    <mergeCell ref="C36:F36"/>
    <mergeCell ref="H36:I36"/>
    <mergeCell ref="J36:K36"/>
    <mergeCell ref="N36:Q36"/>
    <mergeCell ref="S36:T36"/>
    <mergeCell ref="U36:V36"/>
    <mergeCell ref="C35:F35"/>
    <mergeCell ref="H35:I35"/>
    <mergeCell ref="J35:K35"/>
    <mergeCell ref="N35:Q35"/>
    <mergeCell ref="S35:T35"/>
    <mergeCell ref="U35:V35"/>
    <mergeCell ref="C38:F38"/>
    <mergeCell ref="H38:I38"/>
    <mergeCell ref="J38:K38"/>
    <mergeCell ref="N38:Q38"/>
    <mergeCell ref="S38:T38"/>
    <mergeCell ref="U38:V38"/>
    <mergeCell ref="C37:F37"/>
    <mergeCell ref="H37:I37"/>
    <mergeCell ref="J37:K37"/>
    <mergeCell ref="N37:Q37"/>
    <mergeCell ref="S37:T37"/>
    <mergeCell ref="U37:V37"/>
    <mergeCell ref="A42:E42"/>
    <mergeCell ref="C40:F40"/>
    <mergeCell ref="H40:I40"/>
    <mergeCell ref="J40:K40"/>
    <mergeCell ref="N40:Q40"/>
    <mergeCell ref="S40:T40"/>
    <mergeCell ref="U40:V40"/>
    <mergeCell ref="C39:F39"/>
    <mergeCell ref="H39:I39"/>
    <mergeCell ref="J39:K39"/>
    <mergeCell ref="N39:Q39"/>
    <mergeCell ref="S39:T39"/>
    <mergeCell ref="U39:V39"/>
    <mergeCell ref="C48:E48"/>
    <mergeCell ref="H48:I48"/>
    <mergeCell ref="C49:E49"/>
    <mergeCell ref="H49:I49"/>
    <mergeCell ref="C50:E50"/>
    <mergeCell ref="H50:I50"/>
    <mergeCell ref="B44:E44"/>
    <mergeCell ref="C46:E46"/>
    <mergeCell ref="H46:I46"/>
    <mergeCell ref="C47:E47"/>
    <mergeCell ref="H47:I47"/>
    <mergeCell ref="C54:E54"/>
    <mergeCell ref="H54:I54"/>
    <mergeCell ref="C55:E55"/>
    <mergeCell ref="H55:I55"/>
    <mergeCell ref="C56:E56"/>
    <mergeCell ref="H56:I56"/>
    <mergeCell ref="C51:E51"/>
    <mergeCell ref="H51:I51"/>
    <mergeCell ref="C52:E52"/>
    <mergeCell ref="H52:I52"/>
    <mergeCell ref="C53:E53"/>
    <mergeCell ref="H53:I53"/>
    <mergeCell ref="C60:E60"/>
    <mergeCell ref="H60:I60"/>
    <mergeCell ref="C61:E61"/>
    <mergeCell ref="H61:I61"/>
    <mergeCell ref="C62:E62"/>
    <mergeCell ref="H62:I62"/>
    <mergeCell ref="C57:E57"/>
    <mergeCell ref="H57:I57"/>
    <mergeCell ref="C58:E58"/>
    <mergeCell ref="H58:I58"/>
    <mergeCell ref="C59:E59"/>
    <mergeCell ref="H59:I59"/>
    <mergeCell ref="C66:E66"/>
    <mergeCell ref="H66:I66"/>
    <mergeCell ref="C67:E67"/>
    <mergeCell ref="H67:I67"/>
    <mergeCell ref="B69:D69"/>
    <mergeCell ref="C71:D71"/>
    <mergeCell ref="C63:E63"/>
    <mergeCell ref="H63:I63"/>
    <mergeCell ref="C64:E64"/>
    <mergeCell ref="H64:I64"/>
    <mergeCell ref="C65:E65"/>
    <mergeCell ref="H65:I65"/>
    <mergeCell ref="C78:D78"/>
    <mergeCell ref="C79:D79"/>
    <mergeCell ref="C80:D80"/>
    <mergeCell ref="C81:D81"/>
    <mergeCell ref="C82:D82"/>
    <mergeCell ref="C83:D83"/>
    <mergeCell ref="C72:D72"/>
    <mergeCell ref="C73:D73"/>
    <mergeCell ref="C74:D74"/>
    <mergeCell ref="C75:D75"/>
    <mergeCell ref="C76:D76"/>
    <mergeCell ref="C77:D77"/>
    <mergeCell ref="C90:D90"/>
    <mergeCell ref="C91:D91"/>
    <mergeCell ref="C92:D92"/>
    <mergeCell ref="A95:D95"/>
    <mergeCell ref="B101:E101"/>
    <mergeCell ref="B102:E102"/>
    <mergeCell ref="B97:F97"/>
    <mergeCell ref="C84:D84"/>
    <mergeCell ref="C85:D85"/>
    <mergeCell ref="C86:D86"/>
    <mergeCell ref="C87:D87"/>
    <mergeCell ref="C88:D88"/>
    <mergeCell ref="C89:D89"/>
    <mergeCell ref="C110:E110"/>
    <mergeCell ref="F110:G110"/>
    <mergeCell ref="C111:E111"/>
    <mergeCell ref="F111:G111"/>
    <mergeCell ref="C112:E112"/>
    <mergeCell ref="F112:G112"/>
    <mergeCell ref="B103:E103"/>
    <mergeCell ref="B104:E104"/>
    <mergeCell ref="C108:E108"/>
    <mergeCell ref="F108:G108"/>
    <mergeCell ref="C109:E109"/>
    <mergeCell ref="F109:G109"/>
    <mergeCell ref="C116:E116"/>
    <mergeCell ref="F116:G116"/>
    <mergeCell ref="C117:E117"/>
    <mergeCell ref="F117:G117"/>
    <mergeCell ref="C118:E118"/>
    <mergeCell ref="F118:G118"/>
    <mergeCell ref="C113:E113"/>
    <mergeCell ref="F113:G113"/>
    <mergeCell ref="C114:E114"/>
    <mergeCell ref="F114:G114"/>
    <mergeCell ref="C115:E115"/>
    <mergeCell ref="F115:G115"/>
    <mergeCell ref="C122:E122"/>
    <mergeCell ref="F122:G122"/>
    <mergeCell ref="C123:E123"/>
    <mergeCell ref="F123:G123"/>
    <mergeCell ref="C124:E124"/>
    <mergeCell ref="F124:G124"/>
    <mergeCell ref="C119:E119"/>
    <mergeCell ref="F119:G119"/>
    <mergeCell ref="C120:E120"/>
    <mergeCell ref="F120:G120"/>
    <mergeCell ref="C121:E121"/>
    <mergeCell ref="F121:G121"/>
    <mergeCell ref="C128:E128"/>
    <mergeCell ref="F128:G128"/>
    <mergeCell ref="C129:E129"/>
    <mergeCell ref="F129:G129"/>
    <mergeCell ref="B132:E132"/>
    <mergeCell ref="B134:E134"/>
    <mergeCell ref="C125:E125"/>
    <mergeCell ref="F125:G125"/>
    <mergeCell ref="C126:E126"/>
    <mergeCell ref="F126:G126"/>
    <mergeCell ref="C127:E127"/>
    <mergeCell ref="F127:G127"/>
    <mergeCell ref="C139:E139"/>
    <mergeCell ref="F139:H139"/>
    <mergeCell ref="I139:K139"/>
    <mergeCell ref="L139:N139"/>
    <mergeCell ref="C140:E140"/>
    <mergeCell ref="F140:H140"/>
    <mergeCell ref="I140:K140"/>
    <mergeCell ref="L140:N140"/>
    <mergeCell ref="B135:E135"/>
    <mergeCell ref="B136:E136"/>
    <mergeCell ref="C138:E138"/>
    <mergeCell ref="F138:H138"/>
    <mergeCell ref="I138:K138"/>
    <mergeCell ref="L138:N138"/>
    <mergeCell ref="C143:E143"/>
    <mergeCell ref="F143:H143"/>
    <mergeCell ref="I143:K143"/>
    <mergeCell ref="L143:N143"/>
    <mergeCell ref="C144:E144"/>
    <mergeCell ref="F144:H144"/>
    <mergeCell ref="I144:K144"/>
    <mergeCell ref="L144:N144"/>
    <mergeCell ref="C141:E141"/>
    <mergeCell ref="F141:H141"/>
    <mergeCell ref="I141:K141"/>
    <mergeCell ref="L141:N141"/>
    <mergeCell ref="C142:E142"/>
    <mergeCell ref="F142:H142"/>
    <mergeCell ref="I142:K142"/>
    <mergeCell ref="L142:N142"/>
    <mergeCell ref="C147:E147"/>
    <mergeCell ref="F147:H147"/>
    <mergeCell ref="I147:K147"/>
    <mergeCell ref="L147:N147"/>
    <mergeCell ref="C148:E148"/>
    <mergeCell ref="F148:H148"/>
    <mergeCell ref="I148:K148"/>
    <mergeCell ref="L148:N148"/>
    <mergeCell ref="C145:E145"/>
    <mergeCell ref="F145:H145"/>
    <mergeCell ref="I145:K145"/>
    <mergeCell ref="L145:N145"/>
    <mergeCell ref="C146:E146"/>
    <mergeCell ref="F146:H146"/>
    <mergeCell ref="I146:K146"/>
    <mergeCell ref="L146:N146"/>
    <mergeCell ref="C151:E151"/>
    <mergeCell ref="F151:H151"/>
    <mergeCell ref="I151:K151"/>
    <mergeCell ref="L151:N151"/>
    <mergeCell ref="C152:E152"/>
    <mergeCell ref="F152:H152"/>
    <mergeCell ref="I152:K152"/>
    <mergeCell ref="L152:N152"/>
    <mergeCell ref="C149:E149"/>
    <mergeCell ref="F149:H149"/>
    <mergeCell ref="I149:K149"/>
    <mergeCell ref="L149:N149"/>
    <mergeCell ref="C150:E150"/>
    <mergeCell ref="F150:H150"/>
    <mergeCell ref="I150:K150"/>
    <mergeCell ref="L150:N150"/>
    <mergeCell ref="C155:E155"/>
    <mergeCell ref="F155:H155"/>
    <mergeCell ref="I155:K155"/>
    <mergeCell ref="L155:N155"/>
    <mergeCell ref="C156:E156"/>
    <mergeCell ref="F156:H156"/>
    <mergeCell ref="I156:K156"/>
    <mergeCell ref="L156:N156"/>
    <mergeCell ref="C153:E153"/>
    <mergeCell ref="F153:H153"/>
    <mergeCell ref="I153:K153"/>
    <mergeCell ref="L153:N153"/>
    <mergeCell ref="C154:E154"/>
    <mergeCell ref="F154:H154"/>
    <mergeCell ref="I154:K154"/>
    <mergeCell ref="L154:N154"/>
    <mergeCell ref="C159:E159"/>
    <mergeCell ref="F159:H159"/>
    <mergeCell ref="I159:K159"/>
    <mergeCell ref="L159:N159"/>
    <mergeCell ref="B161:E161"/>
    <mergeCell ref="B163:E163"/>
    <mergeCell ref="C157:E157"/>
    <mergeCell ref="F157:H157"/>
    <mergeCell ref="I157:K157"/>
    <mergeCell ref="L157:N157"/>
    <mergeCell ref="C158:E158"/>
    <mergeCell ref="F158:H158"/>
    <mergeCell ref="I158:K158"/>
    <mergeCell ref="L158:N158"/>
    <mergeCell ref="C169:E169"/>
    <mergeCell ref="F169:G169"/>
    <mergeCell ref="C170:E170"/>
    <mergeCell ref="F170:G170"/>
    <mergeCell ref="C171:E171"/>
    <mergeCell ref="F171:G171"/>
    <mergeCell ref="B164:E164"/>
    <mergeCell ref="B165:E165"/>
    <mergeCell ref="C167:E167"/>
    <mergeCell ref="F167:G167"/>
    <mergeCell ref="C168:E168"/>
    <mergeCell ref="F168:G168"/>
    <mergeCell ref="C175:E175"/>
    <mergeCell ref="F175:G175"/>
    <mergeCell ref="C176:E176"/>
    <mergeCell ref="F176:G176"/>
    <mergeCell ref="C177:E177"/>
    <mergeCell ref="F177:G177"/>
    <mergeCell ref="C172:E172"/>
    <mergeCell ref="F172:G172"/>
    <mergeCell ref="C173:E173"/>
    <mergeCell ref="F173:G173"/>
    <mergeCell ref="C174:E174"/>
    <mergeCell ref="F174:G174"/>
    <mergeCell ref="C181:E181"/>
    <mergeCell ref="F181:G181"/>
    <mergeCell ref="C182:E182"/>
    <mergeCell ref="F182:G182"/>
    <mergeCell ref="C183:E183"/>
    <mergeCell ref="F183:G183"/>
    <mergeCell ref="C178:E178"/>
    <mergeCell ref="F178:G178"/>
    <mergeCell ref="C179:E179"/>
    <mergeCell ref="F179:G179"/>
    <mergeCell ref="C180:E180"/>
    <mergeCell ref="F180:G180"/>
    <mergeCell ref="C187:E187"/>
    <mergeCell ref="F187:G187"/>
    <mergeCell ref="C188:E188"/>
    <mergeCell ref="F188:G188"/>
    <mergeCell ref="B193:G193"/>
    <mergeCell ref="B194:G194"/>
    <mergeCell ref="C184:E184"/>
    <mergeCell ref="F184:G184"/>
    <mergeCell ref="C185:E185"/>
    <mergeCell ref="F185:G185"/>
    <mergeCell ref="C186:E186"/>
    <mergeCell ref="F186:G186"/>
    <mergeCell ref="C200:E200"/>
    <mergeCell ref="F200:I200"/>
    <mergeCell ref="C201:E201"/>
    <mergeCell ref="F201:I201"/>
    <mergeCell ref="C202:E202"/>
    <mergeCell ref="F202:I202"/>
    <mergeCell ref="B195:G195"/>
    <mergeCell ref="B196:G196"/>
    <mergeCell ref="C198:E198"/>
    <mergeCell ref="F198:I198"/>
    <mergeCell ref="C199:E199"/>
    <mergeCell ref="F199:I199"/>
    <mergeCell ref="C206:E206"/>
    <mergeCell ref="F206:I206"/>
    <mergeCell ref="C207:E207"/>
    <mergeCell ref="F207:I207"/>
    <mergeCell ref="C208:E208"/>
    <mergeCell ref="F208:I208"/>
    <mergeCell ref="C203:E203"/>
    <mergeCell ref="F203:I203"/>
    <mergeCell ref="C204:E204"/>
    <mergeCell ref="F204:I204"/>
    <mergeCell ref="C205:E205"/>
    <mergeCell ref="F205:I205"/>
    <mergeCell ref="C212:E212"/>
    <mergeCell ref="F212:I212"/>
    <mergeCell ref="C213:E213"/>
    <mergeCell ref="F213:I213"/>
    <mergeCell ref="C214:E214"/>
    <mergeCell ref="F214:I214"/>
    <mergeCell ref="C209:E209"/>
    <mergeCell ref="F209:I209"/>
    <mergeCell ref="C210:E210"/>
    <mergeCell ref="F210:I210"/>
    <mergeCell ref="C211:E211"/>
    <mergeCell ref="F211:I211"/>
    <mergeCell ref="C218:E218"/>
    <mergeCell ref="F218:I218"/>
    <mergeCell ref="C219:E219"/>
    <mergeCell ref="F219:I219"/>
    <mergeCell ref="C228:E228"/>
    <mergeCell ref="F228:G228"/>
    <mergeCell ref="H228:J228"/>
    <mergeCell ref="C215:E215"/>
    <mergeCell ref="F215:I215"/>
    <mergeCell ref="C216:E216"/>
    <mergeCell ref="F216:I216"/>
    <mergeCell ref="C217:E217"/>
    <mergeCell ref="F217:I217"/>
    <mergeCell ref="K228:N228"/>
    <mergeCell ref="C229:E229"/>
    <mergeCell ref="F229:G229"/>
    <mergeCell ref="H229:J229"/>
    <mergeCell ref="K229:N229"/>
    <mergeCell ref="C230:E230"/>
    <mergeCell ref="F230:G230"/>
    <mergeCell ref="H230:J230"/>
    <mergeCell ref="K230:N230"/>
    <mergeCell ref="C233:E233"/>
    <mergeCell ref="F233:G233"/>
    <mergeCell ref="H233:J233"/>
    <mergeCell ref="K233:N233"/>
    <mergeCell ref="C234:E234"/>
    <mergeCell ref="F234:G234"/>
    <mergeCell ref="H234:J234"/>
    <mergeCell ref="K234:N234"/>
    <mergeCell ref="C231:E231"/>
    <mergeCell ref="F231:G231"/>
    <mergeCell ref="H231:J231"/>
    <mergeCell ref="K231:N231"/>
    <mergeCell ref="C232:E232"/>
    <mergeCell ref="F232:G232"/>
    <mergeCell ref="H232:J232"/>
    <mergeCell ref="K232:N232"/>
    <mergeCell ref="C237:E237"/>
    <mergeCell ref="F237:G237"/>
    <mergeCell ref="H237:J237"/>
    <mergeCell ref="K237:N237"/>
    <mergeCell ref="C238:E238"/>
    <mergeCell ref="F238:G238"/>
    <mergeCell ref="H238:J238"/>
    <mergeCell ref="K238:N238"/>
    <mergeCell ref="C235:E235"/>
    <mergeCell ref="F235:G235"/>
    <mergeCell ref="H235:J235"/>
    <mergeCell ref="K235:N235"/>
    <mergeCell ref="C236:E236"/>
    <mergeCell ref="F236:G236"/>
    <mergeCell ref="H236:J236"/>
    <mergeCell ref="K236:N236"/>
    <mergeCell ref="C241:E241"/>
    <mergeCell ref="F241:G241"/>
    <mergeCell ref="H241:J241"/>
    <mergeCell ref="K241:N241"/>
    <mergeCell ref="C242:E242"/>
    <mergeCell ref="F242:G242"/>
    <mergeCell ref="H242:J242"/>
    <mergeCell ref="K242:N242"/>
    <mergeCell ref="C239:E239"/>
    <mergeCell ref="F239:G239"/>
    <mergeCell ref="H239:J239"/>
    <mergeCell ref="K239:N239"/>
    <mergeCell ref="C240:E240"/>
    <mergeCell ref="F240:G240"/>
    <mergeCell ref="H240:J240"/>
    <mergeCell ref="K240:N240"/>
    <mergeCell ref="C245:E245"/>
    <mergeCell ref="F245:G245"/>
    <mergeCell ref="H245:J245"/>
    <mergeCell ref="K245:N245"/>
    <mergeCell ref="C246:E246"/>
    <mergeCell ref="F246:G246"/>
    <mergeCell ref="H246:J246"/>
    <mergeCell ref="K246:N246"/>
    <mergeCell ref="C243:E243"/>
    <mergeCell ref="F243:G243"/>
    <mergeCell ref="H243:J243"/>
    <mergeCell ref="K243:N243"/>
    <mergeCell ref="C244:E244"/>
    <mergeCell ref="F244:G244"/>
    <mergeCell ref="H244:J244"/>
    <mergeCell ref="K244:N244"/>
    <mergeCell ref="K249:N249"/>
    <mergeCell ref="B251:E251"/>
    <mergeCell ref="B252:D252"/>
    <mergeCell ref="C247:E247"/>
    <mergeCell ref="F247:G247"/>
    <mergeCell ref="H247:J247"/>
    <mergeCell ref="K247:N247"/>
    <mergeCell ref="C248:E248"/>
    <mergeCell ref="F248:G248"/>
    <mergeCell ref="H248:J248"/>
    <mergeCell ref="K248:N248"/>
    <mergeCell ref="C254:E254"/>
    <mergeCell ref="C255:E255"/>
    <mergeCell ref="C256:E256"/>
    <mergeCell ref="C257:E257"/>
    <mergeCell ref="C258:E258"/>
    <mergeCell ref="C259:E259"/>
    <mergeCell ref="C249:E249"/>
    <mergeCell ref="F249:G249"/>
    <mergeCell ref="H249:J249"/>
    <mergeCell ref="C266:E266"/>
    <mergeCell ref="C267:E267"/>
    <mergeCell ref="C268:E268"/>
    <mergeCell ref="C269:E269"/>
    <mergeCell ref="C270:E270"/>
    <mergeCell ref="C271:E271"/>
    <mergeCell ref="C260:E260"/>
    <mergeCell ref="C261:E261"/>
    <mergeCell ref="C262:E262"/>
    <mergeCell ref="C263:E263"/>
    <mergeCell ref="C264:E264"/>
    <mergeCell ref="C265:E265"/>
    <mergeCell ref="C282:D282"/>
    <mergeCell ref="C283:D283"/>
    <mergeCell ref="C284:D284"/>
    <mergeCell ref="C285:D285"/>
    <mergeCell ref="C286:D286"/>
    <mergeCell ref="C287:D287"/>
    <mergeCell ref="C272:E272"/>
    <mergeCell ref="C273:E273"/>
    <mergeCell ref="C274:E274"/>
    <mergeCell ref="C275:E275"/>
    <mergeCell ref="C280:D280"/>
    <mergeCell ref="C281:D281"/>
    <mergeCell ref="C294:D294"/>
    <mergeCell ref="C295:D295"/>
    <mergeCell ref="C296:D296"/>
    <mergeCell ref="C297:D297"/>
    <mergeCell ref="C298:D298"/>
    <mergeCell ref="C299:D299"/>
    <mergeCell ref="C288:D288"/>
    <mergeCell ref="C289:D289"/>
    <mergeCell ref="C290:D290"/>
    <mergeCell ref="C291:D291"/>
    <mergeCell ref="C292:D292"/>
    <mergeCell ref="C293:D293"/>
    <mergeCell ref="J308:K308"/>
    <mergeCell ref="L308:P308"/>
    <mergeCell ref="C309:D309"/>
    <mergeCell ref="E309:F309"/>
    <mergeCell ref="G309:I309"/>
    <mergeCell ref="J309:K309"/>
    <mergeCell ref="L309:P309"/>
    <mergeCell ref="C300:D300"/>
    <mergeCell ref="C301:D301"/>
    <mergeCell ref="B304:H304"/>
    <mergeCell ref="C308:D308"/>
    <mergeCell ref="E308:F308"/>
    <mergeCell ref="G308:I308"/>
    <mergeCell ref="C310:D310"/>
    <mergeCell ref="E310:F310"/>
    <mergeCell ref="G310:I310"/>
    <mergeCell ref="J310:K310"/>
    <mergeCell ref="L310:P310"/>
    <mergeCell ref="C311:D311"/>
    <mergeCell ref="E311:F311"/>
    <mergeCell ref="G311:I311"/>
    <mergeCell ref="J311:K311"/>
    <mergeCell ref="L311:P311"/>
    <mergeCell ref="C312:D312"/>
    <mergeCell ref="E312:F312"/>
    <mergeCell ref="G312:I312"/>
    <mergeCell ref="J312:K312"/>
    <mergeCell ref="L312:P312"/>
    <mergeCell ref="C313:D313"/>
    <mergeCell ref="E313:F313"/>
    <mergeCell ref="G313:I313"/>
    <mergeCell ref="J313:K313"/>
    <mergeCell ref="L313:P313"/>
    <mergeCell ref="C314:D314"/>
    <mergeCell ref="E314:F314"/>
    <mergeCell ref="G314:I314"/>
    <mergeCell ref="J314:K314"/>
    <mergeCell ref="L314:P314"/>
    <mergeCell ref="C315:D315"/>
    <mergeCell ref="E315:F315"/>
    <mergeCell ref="G315:I315"/>
    <mergeCell ref="J315:K315"/>
    <mergeCell ref="L315:P315"/>
    <mergeCell ref="C316:D316"/>
    <mergeCell ref="E316:F316"/>
    <mergeCell ref="G316:I316"/>
    <mergeCell ref="J316:K316"/>
    <mergeCell ref="L316:P316"/>
    <mergeCell ref="C317:D317"/>
    <mergeCell ref="E317:F317"/>
    <mergeCell ref="G317:I317"/>
    <mergeCell ref="J317:K317"/>
    <mergeCell ref="L317:P317"/>
    <mergeCell ref="C318:D318"/>
    <mergeCell ref="E318:F318"/>
    <mergeCell ref="G318:I318"/>
    <mergeCell ref="J318:K318"/>
    <mergeCell ref="L318:P318"/>
    <mergeCell ref="C319:D319"/>
    <mergeCell ref="E319:F319"/>
    <mergeCell ref="G319:I319"/>
    <mergeCell ref="J319:K319"/>
    <mergeCell ref="L319:P319"/>
    <mergeCell ref="C320:D320"/>
    <mergeCell ref="E320:F320"/>
    <mergeCell ref="G320:I320"/>
    <mergeCell ref="J320:K320"/>
    <mergeCell ref="L320:P320"/>
    <mergeCell ref="C321:D321"/>
    <mergeCell ref="E321:F321"/>
    <mergeCell ref="G321:I321"/>
    <mergeCell ref="J321:K321"/>
    <mergeCell ref="L321:P321"/>
    <mergeCell ref="C322:D322"/>
    <mergeCell ref="E322:F322"/>
    <mergeCell ref="G322:I322"/>
    <mergeCell ref="J322:K322"/>
    <mergeCell ref="L322:P322"/>
    <mergeCell ref="C323:D323"/>
    <mergeCell ref="E323:F323"/>
    <mergeCell ref="G323:I323"/>
    <mergeCell ref="J323:K323"/>
    <mergeCell ref="L323:P323"/>
    <mergeCell ref="C324:D324"/>
    <mergeCell ref="E324:F324"/>
    <mergeCell ref="G324:I324"/>
    <mergeCell ref="J324:K324"/>
    <mergeCell ref="L324:P324"/>
    <mergeCell ref="C325:D325"/>
    <mergeCell ref="E325:F325"/>
    <mergeCell ref="G325:I325"/>
    <mergeCell ref="J325:K325"/>
    <mergeCell ref="L325:P325"/>
    <mergeCell ref="C326:D326"/>
    <mergeCell ref="E326:F326"/>
    <mergeCell ref="G326:I326"/>
    <mergeCell ref="J326:K326"/>
    <mergeCell ref="L326:P326"/>
    <mergeCell ref="C327:D327"/>
    <mergeCell ref="E327:F327"/>
    <mergeCell ref="G327:I327"/>
    <mergeCell ref="J327:K327"/>
    <mergeCell ref="L327:P327"/>
    <mergeCell ref="C328:D328"/>
    <mergeCell ref="E328:F328"/>
    <mergeCell ref="G328:I328"/>
    <mergeCell ref="J328:K328"/>
    <mergeCell ref="L328:P328"/>
    <mergeCell ref="C329:D329"/>
    <mergeCell ref="E329:F329"/>
    <mergeCell ref="G329:I329"/>
    <mergeCell ref="J329:K329"/>
    <mergeCell ref="L329:P329"/>
    <mergeCell ref="B340:G340"/>
    <mergeCell ref="B341:G341"/>
    <mergeCell ref="B342:G342"/>
    <mergeCell ref="B343:G343"/>
    <mergeCell ref="B344:G344"/>
    <mergeCell ref="B345:G345"/>
    <mergeCell ref="B332:K332"/>
    <mergeCell ref="B334:M334"/>
    <mergeCell ref="B336:G336"/>
    <mergeCell ref="B337:G337"/>
    <mergeCell ref="B338:G338"/>
    <mergeCell ref="B339:G339"/>
    <mergeCell ref="B355:E355"/>
    <mergeCell ref="B356:E356"/>
    <mergeCell ref="B357:E357"/>
    <mergeCell ref="B358:E358"/>
    <mergeCell ref="B360:D360"/>
    <mergeCell ref="D362:G362"/>
    <mergeCell ref="B346:G346"/>
    <mergeCell ref="B347:G347"/>
    <mergeCell ref="B348:G348"/>
    <mergeCell ref="B352:E352"/>
    <mergeCell ref="B353:E353"/>
    <mergeCell ref="B354:E354"/>
    <mergeCell ref="D365:G365"/>
    <mergeCell ref="H365:I365"/>
    <mergeCell ref="J365:L365"/>
    <mergeCell ref="D366:G366"/>
    <mergeCell ref="H366:I366"/>
    <mergeCell ref="J366:L366"/>
    <mergeCell ref="H362:I362"/>
    <mergeCell ref="J362:L362"/>
    <mergeCell ref="D363:G363"/>
    <mergeCell ref="H363:I363"/>
    <mergeCell ref="J363:L363"/>
    <mergeCell ref="D364:G364"/>
    <mergeCell ref="H364:I364"/>
    <mergeCell ref="J364:L364"/>
    <mergeCell ref="D369:G369"/>
    <mergeCell ref="H369:I369"/>
    <mergeCell ref="J369:L369"/>
    <mergeCell ref="D370:G370"/>
    <mergeCell ref="H370:I370"/>
    <mergeCell ref="J370:L370"/>
    <mergeCell ref="D367:G367"/>
    <mergeCell ref="H367:I367"/>
    <mergeCell ref="J367:L367"/>
    <mergeCell ref="D368:G368"/>
    <mergeCell ref="H368:I368"/>
    <mergeCell ref="J368:L368"/>
    <mergeCell ref="D373:G373"/>
    <mergeCell ref="H373:I373"/>
    <mergeCell ref="J373:L373"/>
    <mergeCell ref="D374:G374"/>
    <mergeCell ref="H374:I374"/>
    <mergeCell ref="J374:L374"/>
    <mergeCell ref="D371:G371"/>
    <mergeCell ref="H371:I371"/>
    <mergeCell ref="J371:L371"/>
    <mergeCell ref="D372:G372"/>
    <mergeCell ref="H372:I372"/>
    <mergeCell ref="J372:L372"/>
    <mergeCell ref="D377:G377"/>
    <mergeCell ref="H377:I377"/>
    <mergeCell ref="J377:L377"/>
    <mergeCell ref="D378:G378"/>
    <mergeCell ref="H378:I378"/>
    <mergeCell ref="J378:L378"/>
    <mergeCell ref="D375:G375"/>
    <mergeCell ref="H375:I375"/>
    <mergeCell ref="J375:L375"/>
    <mergeCell ref="D376:G376"/>
    <mergeCell ref="H376:I376"/>
    <mergeCell ref="J376:L376"/>
    <mergeCell ref="D381:G381"/>
    <mergeCell ref="H381:I381"/>
    <mergeCell ref="J381:L381"/>
    <mergeCell ref="D382:G382"/>
    <mergeCell ref="H382:I382"/>
    <mergeCell ref="J382:L382"/>
    <mergeCell ref="D379:G379"/>
    <mergeCell ref="H379:I379"/>
    <mergeCell ref="J379:L379"/>
    <mergeCell ref="D380:G380"/>
    <mergeCell ref="H380:I380"/>
    <mergeCell ref="J380:L380"/>
    <mergeCell ref="B392:D392"/>
    <mergeCell ref="B393:D393"/>
    <mergeCell ref="B394:D394"/>
    <mergeCell ref="D397:G397"/>
    <mergeCell ref="H397:I397"/>
    <mergeCell ref="D383:G383"/>
    <mergeCell ref="H383:I383"/>
    <mergeCell ref="J383:L383"/>
    <mergeCell ref="E386:I386"/>
    <mergeCell ref="J386:L386"/>
    <mergeCell ref="B388:C388"/>
    <mergeCell ref="D400:G400"/>
    <mergeCell ref="H400:I400"/>
    <mergeCell ref="J400:L400"/>
    <mergeCell ref="D401:G401"/>
    <mergeCell ref="H401:I401"/>
    <mergeCell ref="J401:L401"/>
    <mergeCell ref="J397:L397"/>
    <mergeCell ref="D398:G398"/>
    <mergeCell ref="H398:I398"/>
    <mergeCell ref="J398:L398"/>
    <mergeCell ref="D399:G399"/>
    <mergeCell ref="H399:I399"/>
    <mergeCell ref="J399:L399"/>
    <mergeCell ref="D404:G404"/>
    <mergeCell ref="H404:I404"/>
    <mergeCell ref="J404:L404"/>
    <mergeCell ref="D405:G405"/>
    <mergeCell ref="H405:I405"/>
    <mergeCell ref="J405:L405"/>
    <mergeCell ref="D402:G402"/>
    <mergeCell ref="H402:I402"/>
    <mergeCell ref="J402:L402"/>
    <mergeCell ref="D403:G403"/>
    <mergeCell ref="H403:I403"/>
    <mergeCell ref="J403:L403"/>
    <mergeCell ref="D409:G409"/>
    <mergeCell ref="H409:I409"/>
    <mergeCell ref="J409:L409"/>
    <mergeCell ref="D406:G406"/>
    <mergeCell ref="H406:I406"/>
    <mergeCell ref="J406:L406"/>
    <mergeCell ref="D407:G407"/>
    <mergeCell ref="H407:I407"/>
    <mergeCell ref="J407:L407"/>
    <mergeCell ref="U1048555:V1048555"/>
    <mergeCell ref="D416:G416"/>
    <mergeCell ref="H416:I416"/>
    <mergeCell ref="J416:L416"/>
    <mergeCell ref="D417:G417"/>
    <mergeCell ref="H417:I417"/>
    <mergeCell ref="J417:L417"/>
    <mergeCell ref="D414:G414"/>
    <mergeCell ref="H414:I414"/>
    <mergeCell ref="J414:L414"/>
    <mergeCell ref="D415:G415"/>
    <mergeCell ref="H415:I415"/>
    <mergeCell ref="J415:L415"/>
    <mergeCell ref="K208:M211"/>
    <mergeCell ref="B224:F224"/>
    <mergeCell ref="B225:F225"/>
    <mergeCell ref="B226:F226"/>
    <mergeCell ref="D418:G418"/>
    <mergeCell ref="H418:I418"/>
    <mergeCell ref="J418:L418"/>
    <mergeCell ref="H420:J420"/>
    <mergeCell ref="K420:L420"/>
    <mergeCell ref="D412:G412"/>
    <mergeCell ref="H412:I412"/>
    <mergeCell ref="J412:L412"/>
    <mergeCell ref="D413:G413"/>
    <mergeCell ref="H413:I413"/>
    <mergeCell ref="J413:L413"/>
    <mergeCell ref="D410:G410"/>
    <mergeCell ref="H410:I410"/>
    <mergeCell ref="J410:L410"/>
    <mergeCell ref="D411:G411"/>
    <mergeCell ref="H411:I411"/>
    <mergeCell ref="J411:L411"/>
    <mergeCell ref="D408:G408"/>
    <mergeCell ref="H408:I408"/>
    <mergeCell ref="J408:L40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CCE35-7394-4DF5-BF49-67EF7F905A31}">
  <dimension ref="A2:Q70"/>
  <sheetViews>
    <sheetView workbookViewId="0">
      <selection activeCell="F73" sqref="F73"/>
    </sheetView>
  </sheetViews>
  <sheetFormatPr defaultRowHeight="14.5"/>
  <cols>
    <col min="2" max="2" width="10.81640625" customWidth="1"/>
    <col min="4" max="4" width="9.1796875" bestFit="1" customWidth="1"/>
    <col min="5" max="5" width="11.54296875" bestFit="1" customWidth="1"/>
    <col min="6" max="6" width="9.1796875" bestFit="1" customWidth="1"/>
    <col min="8" max="8" width="12.6328125" customWidth="1"/>
    <col min="11" max="11" width="22.36328125" bestFit="1" customWidth="1"/>
    <col min="13" max="14" width="10.453125" bestFit="1" customWidth="1"/>
  </cols>
  <sheetData>
    <row r="2" spans="1:17" ht="34">
      <c r="C2" s="306" t="s">
        <v>131</v>
      </c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</row>
    <row r="4" spans="1:17" ht="17.5">
      <c r="B4" s="308" t="s">
        <v>132</v>
      </c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</row>
    <row r="5" spans="1:17" ht="16" thickBot="1">
      <c r="B5" s="52"/>
    </row>
    <row r="6" spans="1:17">
      <c r="B6" s="309" t="s">
        <v>112</v>
      </c>
      <c r="C6" s="310"/>
      <c r="D6" s="310"/>
      <c r="E6" s="310"/>
      <c r="F6" s="310"/>
      <c r="G6" s="310"/>
      <c r="H6" s="119">
        <v>0.11</v>
      </c>
    </row>
    <row r="7" spans="1:17">
      <c r="A7" s="48"/>
      <c r="B7" s="294" t="s">
        <v>133</v>
      </c>
      <c r="C7" s="289"/>
      <c r="D7" s="289"/>
      <c r="E7" s="289"/>
      <c r="F7" s="289"/>
      <c r="G7" s="289"/>
      <c r="H7" s="116">
        <v>2260.0435684314002</v>
      </c>
    </row>
    <row r="8" spans="1:17">
      <c r="A8" s="48"/>
      <c r="B8" s="294" t="s">
        <v>134</v>
      </c>
      <c r="C8" s="289"/>
      <c r="D8" s="289"/>
      <c r="E8" s="289"/>
      <c r="F8" s="289"/>
      <c r="G8" s="289"/>
      <c r="H8" s="116">
        <f>H7*(1+H6)</f>
        <v>2508.6483609588545</v>
      </c>
    </row>
    <row r="9" spans="1:17">
      <c r="A9" s="48"/>
      <c r="B9" s="294" t="s">
        <v>135</v>
      </c>
      <c r="C9" s="289"/>
      <c r="D9" s="289"/>
      <c r="E9" s="289"/>
      <c r="F9" s="289"/>
      <c r="G9" s="289"/>
      <c r="H9" s="117">
        <v>200</v>
      </c>
    </row>
    <row r="10" spans="1:17" ht="15" thickBot="1">
      <c r="A10" s="48"/>
      <c r="B10" s="297" t="s">
        <v>136</v>
      </c>
      <c r="C10" s="298"/>
      <c r="D10" s="298"/>
      <c r="E10" s="298"/>
      <c r="F10" s="298"/>
      <c r="G10" s="298"/>
      <c r="H10" s="118">
        <f>2*696.324</f>
        <v>1392.6479999999999</v>
      </c>
    </row>
    <row r="11" spans="1:17" ht="15" thickBot="1">
      <c r="A11" s="48"/>
      <c r="B11" s="299"/>
      <c r="C11" s="300"/>
      <c r="D11" s="300"/>
      <c r="E11" s="300"/>
      <c r="F11" s="300"/>
      <c r="G11" s="301"/>
      <c r="H11" s="120"/>
    </row>
    <row r="12" spans="1:17" ht="15" thickBot="1">
      <c r="A12" s="48"/>
      <c r="B12" s="302" t="s">
        <v>113</v>
      </c>
      <c r="C12" s="303"/>
      <c r="D12" s="303"/>
      <c r="E12" s="303"/>
      <c r="F12" s="303"/>
      <c r="G12" s="303"/>
      <c r="H12" s="121">
        <f>H8+H9+H10</f>
        <v>4101.2963609588542</v>
      </c>
    </row>
    <row r="13" spans="1:17" ht="15" thickBot="1">
      <c r="A13" s="48"/>
      <c r="B13" s="299"/>
      <c r="C13" s="300"/>
      <c r="D13" s="300"/>
      <c r="E13" s="300"/>
      <c r="F13" s="300"/>
      <c r="G13" s="301"/>
      <c r="H13" s="122"/>
    </row>
    <row r="14" spans="1:17">
      <c r="A14" s="48"/>
      <c r="B14" s="304" t="s">
        <v>137</v>
      </c>
      <c r="C14" s="305"/>
      <c r="D14" s="305"/>
      <c r="E14" s="305"/>
      <c r="F14" s="305"/>
      <c r="G14" s="305"/>
      <c r="H14" s="123">
        <v>11725.516090175448</v>
      </c>
    </row>
    <row r="15" spans="1:17">
      <c r="A15" s="48"/>
      <c r="B15" s="294" t="s">
        <v>138</v>
      </c>
      <c r="C15" s="289"/>
      <c r="D15" s="289"/>
      <c r="E15" s="289"/>
      <c r="F15" s="289"/>
      <c r="G15" s="289"/>
      <c r="H15" s="124">
        <v>-2572.4933612732702</v>
      </c>
    </row>
    <row r="16" spans="1:17">
      <c r="A16" s="48"/>
      <c r="B16" s="294" t="s">
        <v>114</v>
      </c>
      <c r="C16" s="289"/>
      <c r="D16" s="289"/>
      <c r="E16" s="289"/>
      <c r="F16" s="289"/>
      <c r="G16" s="289"/>
      <c r="H16" s="124">
        <f>H14+H15+H12</f>
        <v>13254.319089861034</v>
      </c>
    </row>
    <row r="17" spans="2:8">
      <c r="B17" s="294" t="s">
        <v>108</v>
      </c>
      <c r="C17" s="289"/>
      <c r="D17" s="289"/>
      <c r="E17" s="289"/>
      <c r="F17" s="289"/>
      <c r="G17" s="289"/>
      <c r="H17" s="124">
        <f>10%*H16</f>
        <v>1325.4319089861035</v>
      </c>
    </row>
    <row r="18" spans="2:8" ht="15" thickBot="1">
      <c r="B18" s="295" t="s">
        <v>139</v>
      </c>
      <c r="C18" s="296"/>
      <c r="D18" s="296"/>
      <c r="E18" s="296"/>
      <c r="F18" s="296"/>
      <c r="G18" s="296"/>
      <c r="H18" s="125">
        <f>H16-H17</f>
        <v>11928.88718087493</v>
      </c>
    </row>
    <row r="19" spans="2:8">
      <c r="B19" s="53"/>
      <c r="C19" s="53"/>
      <c r="D19" s="53"/>
      <c r="E19" s="53"/>
      <c r="F19" s="53"/>
      <c r="G19" s="53"/>
    </row>
    <row r="20" spans="2:8" ht="19.5">
      <c r="B20" s="126" t="s">
        <v>115</v>
      </c>
      <c r="C20" s="53"/>
      <c r="D20" s="53"/>
      <c r="E20" s="53"/>
      <c r="F20" s="53"/>
      <c r="G20" s="53"/>
    </row>
    <row r="21" spans="2:8" ht="18.5">
      <c r="B21" s="50"/>
      <c r="C21" s="53"/>
      <c r="D21" s="53"/>
      <c r="E21" s="53"/>
      <c r="F21" s="53"/>
      <c r="G21" s="53"/>
    </row>
    <row r="22" spans="2:8">
      <c r="B22" s="289" t="s">
        <v>116</v>
      </c>
      <c r="C22" s="289"/>
      <c r="D22" s="289"/>
      <c r="E22" s="289"/>
      <c r="F22" s="47">
        <v>-150</v>
      </c>
      <c r="G22" s="53"/>
    </row>
    <row r="23" spans="2:8">
      <c r="B23" s="289" t="s">
        <v>117</v>
      </c>
      <c r="C23" s="289"/>
      <c r="D23" s="289"/>
      <c r="E23" s="289"/>
      <c r="F23" s="47">
        <v>-1000</v>
      </c>
      <c r="G23" s="53"/>
    </row>
    <row r="24" spans="2:8">
      <c r="B24" s="289" t="s">
        <v>118</v>
      </c>
      <c r="C24" s="289"/>
      <c r="D24" s="289"/>
      <c r="E24" s="289"/>
      <c r="F24" s="47">
        <v>-525</v>
      </c>
      <c r="G24" s="53"/>
    </row>
    <row r="25" spans="2:8">
      <c r="B25" s="289" t="s">
        <v>119</v>
      </c>
      <c r="C25" s="289"/>
      <c r="D25" s="289"/>
      <c r="E25" s="289"/>
      <c r="F25" s="47">
        <v>-500</v>
      </c>
      <c r="G25" s="53"/>
    </row>
    <row r="26" spans="2:8">
      <c r="B26" s="289" t="s">
        <v>120</v>
      </c>
      <c r="C26" s="289"/>
      <c r="D26" s="289"/>
      <c r="E26" s="289"/>
      <c r="F26" s="49">
        <v>-1048.9046400000002</v>
      </c>
      <c r="G26" s="53"/>
    </row>
    <row r="27" spans="2:8">
      <c r="B27" s="289" t="s">
        <v>121</v>
      </c>
      <c r="C27" s="289"/>
      <c r="D27" s="289"/>
      <c r="E27" s="289"/>
      <c r="F27" s="47">
        <v>30</v>
      </c>
      <c r="G27" s="53"/>
    </row>
    <row r="28" spans="2:8">
      <c r="B28" s="290" t="s">
        <v>122</v>
      </c>
      <c r="C28" s="291"/>
      <c r="D28" s="291"/>
      <c r="E28" s="292"/>
      <c r="F28" s="127">
        <f>SUM(F22:F27)</f>
        <v>-3193.9046400000002</v>
      </c>
      <c r="G28" s="53"/>
    </row>
    <row r="29" spans="2:8">
      <c r="B29" s="53"/>
      <c r="C29" s="53"/>
      <c r="D29" s="53"/>
      <c r="E29" s="53"/>
      <c r="F29" s="53"/>
      <c r="G29" s="53"/>
    </row>
    <row r="30" spans="2:8">
      <c r="B30" s="293" t="s">
        <v>123</v>
      </c>
      <c r="C30" s="293"/>
      <c r="D30" s="293"/>
      <c r="E30">
        <f>1/(1+H6)</f>
        <v>0.9009009009009008</v>
      </c>
    </row>
    <row r="31" spans="2:8">
      <c r="B31" s="53"/>
      <c r="C31" s="53"/>
      <c r="D31" s="53"/>
      <c r="E31" s="53"/>
      <c r="F31" s="53"/>
      <c r="G31" s="53"/>
    </row>
    <row r="32" spans="2:8">
      <c r="B32" s="48"/>
    </row>
    <row r="33" spans="2:15">
      <c r="B33" s="54" t="s">
        <v>10</v>
      </c>
      <c r="C33" s="54" t="s">
        <v>124</v>
      </c>
      <c r="D33" s="286" t="s">
        <v>109</v>
      </c>
      <c r="E33" s="286"/>
      <c r="F33" s="286"/>
      <c r="G33" s="286"/>
      <c r="H33" s="286"/>
      <c r="I33" s="286" t="s">
        <v>140</v>
      </c>
      <c r="J33" s="286"/>
      <c r="K33" s="113" t="s">
        <v>141</v>
      </c>
      <c r="O33" s="114"/>
    </row>
    <row r="34" spans="2:15">
      <c r="B34" s="47">
        <v>2022</v>
      </c>
      <c r="C34" s="47">
        <v>0</v>
      </c>
      <c r="D34" s="279">
        <f>F28</f>
        <v>-3193.9046400000002</v>
      </c>
      <c r="E34" s="273"/>
      <c r="F34" s="273"/>
      <c r="G34" s="273"/>
      <c r="H34" s="273"/>
      <c r="I34" s="273">
        <f>$E$30^C34</f>
        <v>1</v>
      </c>
      <c r="J34" s="273"/>
      <c r="K34" s="47">
        <f>D34*I34</f>
        <v>-3193.9046400000002</v>
      </c>
      <c r="M34" s="114"/>
    </row>
    <row r="35" spans="2:15">
      <c r="B35" s="47">
        <v>2023</v>
      </c>
      <c r="C35" s="47">
        <v>1</v>
      </c>
      <c r="D35" s="270">
        <v>2837.9080794959991</v>
      </c>
      <c r="E35" s="271"/>
      <c r="F35" s="271"/>
      <c r="G35" s="271"/>
      <c r="H35" s="272"/>
      <c r="I35" s="273">
        <f t="shared" ref="I35:I44" si="0">$E$30^C35</f>
        <v>0.9009009009009008</v>
      </c>
      <c r="J35" s="273"/>
      <c r="K35" s="47">
        <f t="shared" ref="K35:K44" si="1">D35*I35</f>
        <v>2556.6739454918907</v>
      </c>
      <c r="M35" s="115"/>
    </row>
    <row r="36" spans="2:15">
      <c r="B36" s="47">
        <v>2024</v>
      </c>
      <c r="C36" s="47">
        <v>2</v>
      </c>
      <c r="D36" s="270">
        <v>3118.3514225327349</v>
      </c>
      <c r="E36" s="271"/>
      <c r="F36" s="271"/>
      <c r="G36" s="271"/>
      <c r="H36" s="272"/>
      <c r="I36" s="273">
        <f t="shared" si="0"/>
        <v>0.8116224332440547</v>
      </c>
      <c r="J36" s="273"/>
      <c r="K36" s="47">
        <f t="shared" si="1"/>
        <v>2530.9239692660776</v>
      </c>
      <c r="M36" s="115"/>
    </row>
    <row r="37" spans="2:15">
      <c r="B37" s="47">
        <v>2025</v>
      </c>
      <c r="C37" s="47">
        <v>3</v>
      </c>
      <c r="D37" s="270">
        <v>2861.9579357557304</v>
      </c>
      <c r="E37" s="271"/>
      <c r="F37" s="271"/>
      <c r="G37" s="271"/>
      <c r="H37" s="272"/>
      <c r="I37" s="273">
        <f t="shared" si="0"/>
        <v>0.73119138130095007</v>
      </c>
      <c r="J37" s="273"/>
      <c r="K37" s="47">
        <f t="shared" si="1"/>
        <v>2092.6389762704484</v>
      </c>
    </row>
    <row r="38" spans="2:15">
      <c r="B38" s="47">
        <v>2026</v>
      </c>
      <c r="C38" s="47">
        <v>4</v>
      </c>
      <c r="D38" s="270">
        <v>3765.597976427463</v>
      </c>
      <c r="E38" s="271"/>
      <c r="F38" s="271"/>
      <c r="G38" s="271"/>
      <c r="H38" s="272"/>
      <c r="I38" s="273">
        <f t="shared" si="0"/>
        <v>0.65873097414500004</v>
      </c>
      <c r="J38" s="273"/>
      <c r="K38" s="47">
        <f t="shared" si="1"/>
        <v>2480.5160232505036</v>
      </c>
    </row>
    <row r="39" spans="2:15">
      <c r="B39" s="47">
        <v>2027</v>
      </c>
      <c r="C39" s="47">
        <v>5</v>
      </c>
      <c r="D39" s="270">
        <v>4138.4513385822911</v>
      </c>
      <c r="E39" s="271"/>
      <c r="F39" s="271"/>
      <c r="G39" s="271"/>
      <c r="H39" s="272"/>
      <c r="I39" s="273">
        <f t="shared" si="0"/>
        <v>0.59345132805855849</v>
      </c>
      <c r="J39" s="273"/>
      <c r="K39" s="47">
        <f t="shared" si="1"/>
        <v>2455.9694429873798</v>
      </c>
    </row>
    <row r="40" spans="2:15">
      <c r="B40" s="47">
        <v>2028</v>
      </c>
      <c r="C40" s="47">
        <v>6</v>
      </c>
      <c r="D40" s="270">
        <v>4548.70435304086</v>
      </c>
      <c r="E40" s="271"/>
      <c r="F40" s="271"/>
      <c r="G40" s="271"/>
      <c r="H40" s="272"/>
      <c r="I40" s="273">
        <f t="shared" si="0"/>
        <v>0.53464083608879143</v>
      </c>
      <c r="J40" s="273"/>
      <c r="K40" s="47">
        <f t="shared" si="1"/>
        <v>2431.9230984304904</v>
      </c>
      <c r="M40" s="114"/>
    </row>
    <row r="41" spans="2:15">
      <c r="B41" s="47">
        <v>2029</v>
      </c>
      <c r="C41" s="47">
        <v>7</v>
      </c>
      <c r="D41" s="270">
        <v>5000.2559608939382</v>
      </c>
      <c r="E41" s="271"/>
      <c r="F41" s="271"/>
      <c r="G41" s="271"/>
      <c r="H41" s="272"/>
      <c r="I41" s="273">
        <f t="shared" si="0"/>
        <v>0.48165841089080302</v>
      </c>
      <c r="J41" s="273"/>
      <c r="K41" s="47">
        <f t="shared" si="1"/>
        <v>2408.4153401714398</v>
      </c>
    </row>
    <row r="42" spans="2:15">
      <c r="B42" s="47">
        <v>2030</v>
      </c>
      <c r="C42" s="47">
        <v>8</v>
      </c>
      <c r="D42" s="270">
        <v>5497.4259675337689</v>
      </c>
      <c r="E42" s="271"/>
      <c r="F42" s="271"/>
      <c r="G42" s="271"/>
      <c r="H42" s="272"/>
      <c r="I42" s="273">
        <f t="shared" si="0"/>
        <v>0.43392649629802071</v>
      </c>
      <c r="J42" s="273"/>
      <c r="K42" s="47">
        <f t="shared" si="1"/>
        <v>2385.478788749685</v>
      </c>
    </row>
    <row r="43" spans="2:15">
      <c r="B43" s="47">
        <v>2031</v>
      </c>
      <c r="C43" s="47">
        <v>9</v>
      </c>
      <c r="D43" s="270">
        <v>6045.0017042898353</v>
      </c>
      <c r="E43" s="271"/>
      <c r="F43" s="271"/>
      <c r="G43" s="271"/>
      <c r="H43" s="272"/>
      <c r="I43" s="273">
        <f t="shared" si="0"/>
        <v>0.39092477143965826</v>
      </c>
      <c r="J43" s="273"/>
      <c r="K43" s="47">
        <f t="shared" si="1"/>
        <v>2363.1409096018483</v>
      </c>
    </row>
    <row r="44" spans="2:15">
      <c r="B44" s="47">
        <v>2032</v>
      </c>
      <c r="C44" s="47">
        <v>10</v>
      </c>
      <c r="D44" s="270">
        <f>H18</f>
        <v>11928.88718087493</v>
      </c>
      <c r="E44" s="271"/>
      <c r="F44" s="271"/>
      <c r="G44" s="271"/>
      <c r="H44" s="272"/>
      <c r="I44" s="273">
        <f t="shared" si="0"/>
        <v>0.35218447877446685</v>
      </c>
      <c r="J44" s="273"/>
      <c r="K44" s="47">
        <f t="shared" si="1"/>
        <v>4201.1689141558563</v>
      </c>
    </row>
    <row r="45" spans="2:15" ht="15" thickBot="1"/>
    <row r="46" spans="2:15" ht="21.5" thickBot="1">
      <c r="E46" s="287" t="s">
        <v>126</v>
      </c>
      <c r="F46" s="288"/>
      <c r="G46" s="288"/>
      <c r="H46" s="288"/>
      <c r="I46" s="288"/>
      <c r="J46" s="288"/>
      <c r="K46" s="128">
        <f>SUM(K34:K44)</f>
        <v>22712.944768375619</v>
      </c>
      <c r="N46" s="115"/>
    </row>
    <row r="47" spans="2:15" ht="15" thickBot="1"/>
    <row r="48" spans="2:15" ht="32" thickBot="1">
      <c r="B48" s="216" t="s">
        <v>127</v>
      </c>
      <c r="C48" s="218"/>
    </row>
    <row r="49" spans="2:16" ht="26.5" thickBot="1">
      <c r="B49" s="55"/>
    </row>
    <row r="50" spans="2:16" ht="15" thickBot="1">
      <c r="B50" s="276" t="s">
        <v>142</v>
      </c>
      <c r="C50" s="277"/>
      <c r="D50" s="277"/>
      <c r="E50" s="278"/>
      <c r="F50" s="132"/>
      <c r="G50" s="132"/>
      <c r="O50" s="114"/>
      <c r="P50" s="114"/>
    </row>
    <row r="51" spans="2:16" ht="15" thickBot="1">
      <c r="O51" s="114"/>
      <c r="P51" s="114"/>
    </row>
    <row r="52" spans="2:16">
      <c r="B52" s="280" t="s">
        <v>127</v>
      </c>
      <c r="C52" s="281"/>
      <c r="D52" s="281"/>
      <c r="E52" s="129">
        <v>0.96628098481032221</v>
      </c>
    </row>
    <row r="53" spans="2:16">
      <c r="B53" s="282" t="s">
        <v>129</v>
      </c>
      <c r="C53" s="283"/>
      <c r="D53" s="283"/>
      <c r="E53" s="130">
        <f>1/(1+E52)</f>
        <v>0.50857431248386165</v>
      </c>
    </row>
    <row r="54" spans="2:16" ht="15" thickBot="1">
      <c r="B54" s="284" t="s">
        <v>130</v>
      </c>
      <c r="C54" s="285"/>
      <c r="D54" s="285"/>
      <c r="E54" s="131">
        <f>SUM(K58:K68)</f>
        <v>-9.9426574440286686E-6</v>
      </c>
    </row>
    <row r="56" spans="2:16">
      <c r="B56" s="48"/>
      <c r="C56" s="48"/>
      <c r="D56" s="48"/>
    </row>
    <row r="57" spans="2:16">
      <c r="B57" s="54" t="s">
        <v>10</v>
      </c>
      <c r="C57" s="54" t="s">
        <v>124</v>
      </c>
      <c r="D57" s="286" t="s">
        <v>109</v>
      </c>
      <c r="E57" s="286"/>
      <c r="F57" s="286"/>
      <c r="G57" s="286"/>
      <c r="H57" s="286"/>
      <c r="I57" s="286" t="s">
        <v>140</v>
      </c>
      <c r="J57" s="286"/>
      <c r="K57" s="113" t="s">
        <v>141</v>
      </c>
    </row>
    <row r="58" spans="2:16">
      <c r="B58" s="47">
        <v>2022</v>
      </c>
      <c r="C58" s="47">
        <v>0</v>
      </c>
      <c r="D58" s="279">
        <f>$F$28</f>
        <v>-3193.9046400000002</v>
      </c>
      <c r="E58" s="273"/>
      <c r="F58" s="273"/>
      <c r="G58" s="273"/>
      <c r="H58" s="273"/>
      <c r="I58" s="273">
        <f>$E$53^C58</f>
        <v>1</v>
      </c>
      <c r="J58" s="273"/>
      <c r="K58" s="47">
        <f>D58*I58</f>
        <v>-3193.9046400000002</v>
      </c>
    </row>
    <row r="59" spans="2:16">
      <c r="B59" s="47">
        <v>2023</v>
      </c>
      <c r="C59" s="47">
        <v>1</v>
      </c>
      <c r="D59" s="270">
        <v>2837.9080794959991</v>
      </c>
      <c r="E59" s="271"/>
      <c r="F59" s="271"/>
      <c r="G59" s="271"/>
      <c r="H59" s="272"/>
      <c r="I59" s="273">
        <f t="shared" ref="I59:I68" si="2">$E$53^C59</f>
        <v>0.50857431248386165</v>
      </c>
      <c r="J59" s="273"/>
      <c r="K59" s="47">
        <f t="shared" ref="K59:K68" si="3">D59*I59</f>
        <v>1443.2871504220739</v>
      </c>
    </row>
    <row r="60" spans="2:16">
      <c r="B60" s="47">
        <v>2024</v>
      </c>
      <c r="C60" s="47">
        <v>2</v>
      </c>
      <c r="D60" s="270">
        <v>3118.3514225327349</v>
      </c>
      <c r="E60" s="271"/>
      <c r="F60" s="271"/>
      <c r="G60" s="271"/>
      <c r="H60" s="272"/>
      <c r="I60" s="273">
        <f t="shared" si="2"/>
        <v>0.25864783131843255</v>
      </c>
      <c r="J60" s="273"/>
      <c r="K60" s="47">
        <f t="shared" si="3"/>
        <v>806.55483272684103</v>
      </c>
    </row>
    <row r="61" spans="2:16">
      <c r="B61" s="47">
        <v>2025</v>
      </c>
      <c r="C61" s="47">
        <v>3</v>
      </c>
      <c r="D61" s="270">
        <v>2861.9579357557304</v>
      </c>
      <c r="E61" s="271"/>
      <c r="F61" s="271"/>
      <c r="G61" s="271"/>
      <c r="H61" s="272"/>
      <c r="I61" s="273">
        <f t="shared" si="2"/>
        <v>0.13154164298821366</v>
      </c>
      <c r="J61" s="273"/>
      <c r="K61" s="47">
        <f t="shared" si="3"/>
        <v>376.46664903246523</v>
      </c>
    </row>
    <row r="62" spans="2:16">
      <c r="B62" s="47">
        <v>2026</v>
      </c>
      <c r="C62" s="47">
        <v>4</v>
      </c>
      <c r="D62" s="270">
        <v>3765.597976427463</v>
      </c>
      <c r="E62" s="271"/>
      <c r="F62" s="271"/>
      <c r="G62" s="271"/>
      <c r="H62" s="272"/>
      <c r="I62" s="273">
        <f t="shared" si="2"/>
        <v>6.6898700645728337E-2</v>
      </c>
      <c r="J62" s="273"/>
      <c r="K62" s="47">
        <f t="shared" si="3"/>
        <v>251.91361177718125</v>
      </c>
    </row>
    <row r="63" spans="2:16">
      <c r="B63" s="47">
        <v>2027</v>
      </c>
      <c r="C63" s="47">
        <v>5</v>
      </c>
      <c r="D63" s="270">
        <v>4138.4513385822911</v>
      </c>
      <c r="E63" s="271"/>
      <c r="F63" s="271"/>
      <c r="G63" s="271"/>
      <c r="H63" s="272"/>
      <c r="I63" s="273">
        <f t="shared" si="2"/>
        <v>3.4022960686964962E-2</v>
      </c>
      <c r="J63" s="273"/>
      <c r="K63" s="47">
        <f t="shared" si="3"/>
        <v>140.8023671975028</v>
      </c>
    </row>
    <row r="64" spans="2:16">
      <c r="B64" s="47">
        <v>2028</v>
      </c>
      <c r="C64" s="47">
        <v>6</v>
      </c>
      <c r="D64" s="270">
        <v>4548.70435304086</v>
      </c>
      <c r="E64" s="271"/>
      <c r="F64" s="271"/>
      <c r="G64" s="271"/>
      <c r="H64" s="272"/>
      <c r="I64" s="273">
        <f t="shared" si="2"/>
        <v>1.7303203840038656E-2</v>
      </c>
      <c r="J64" s="273"/>
      <c r="K64" s="47">
        <f t="shared" si="3"/>
        <v>78.707158628737162</v>
      </c>
    </row>
    <row r="65" spans="2:11">
      <c r="B65" s="47">
        <v>2029</v>
      </c>
      <c r="C65" s="47">
        <v>7</v>
      </c>
      <c r="D65" s="270">
        <v>5000.2559608939382</v>
      </c>
      <c r="E65" s="271"/>
      <c r="F65" s="271"/>
      <c r="G65" s="271"/>
      <c r="H65" s="272"/>
      <c r="I65" s="273">
        <f t="shared" si="2"/>
        <v>8.7999649967157763E-3</v>
      </c>
      <c r="J65" s="273"/>
      <c r="K65" s="47">
        <f t="shared" si="3"/>
        <v>44.002077430486068</v>
      </c>
    </row>
    <row r="66" spans="2:11">
      <c r="B66" s="47">
        <v>2030</v>
      </c>
      <c r="C66" s="47">
        <v>8</v>
      </c>
      <c r="D66" s="270">
        <v>5497.4259675337689</v>
      </c>
      <c r="E66" s="271"/>
      <c r="F66" s="271"/>
      <c r="G66" s="271"/>
      <c r="H66" s="272"/>
      <c r="I66" s="273">
        <f t="shared" si="2"/>
        <v>4.475436148086773E-3</v>
      </c>
      <c r="J66" s="273"/>
      <c r="K66" s="47">
        <f t="shared" si="3"/>
        <v>24.603378896531531</v>
      </c>
    </row>
    <row r="67" spans="2:11">
      <c r="B67" s="47">
        <v>2031</v>
      </c>
      <c r="C67" s="47">
        <v>9</v>
      </c>
      <c r="D67" s="270">
        <v>6045.0017042898353</v>
      </c>
      <c r="E67" s="271"/>
      <c r="F67" s="271"/>
      <c r="G67" s="271"/>
      <c r="H67" s="272"/>
      <c r="I67" s="273">
        <f t="shared" si="2"/>
        <v>2.2760918620786524E-3</v>
      </c>
      <c r="J67" s="273"/>
      <c r="K67" s="47">
        <f t="shared" si="3"/>
        <v>13.758979185385678</v>
      </c>
    </row>
    <row r="68" spans="2:11">
      <c r="B68" s="47">
        <v>2032</v>
      </c>
      <c r="C68" s="47">
        <v>10</v>
      </c>
      <c r="D68" s="270">
        <f>H18</f>
        <v>11928.88718087493</v>
      </c>
      <c r="E68" s="271"/>
      <c r="F68" s="271"/>
      <c r="G68" s="271"/>
      <c r="H68" s="272"/>
      <c r="I68" s="273">
        <f t="shared" si="2"/>
        <v>1.1575618539067631E-3</v>
      </c>
      <c r="J68" s="273"/>
      <c r="K68" s="47">
        <f t="shared" si="3"/>
        <v>13.808424760138205</v>
      </c>
    </row>
    <row r="69" spans="2:11" ht="15" thickBot="1"/>
    <row r="70" spans="2:11" ht="24" thickBot="1">
      <c r="H70" s="274" t="s">
        <v>127</v>
      </c>
      <c r="I70" s="275"/>
      <c r="J70" s="275"/>
      <c r="K70" s="133">
        <f>E52</f>
        <v>0.96628098481032221</v>
      </c>
    </row>
  </sheetData>
  <mergeCells count="78">
    <mergeCell ref="B9:G9"/>
    <mergeCell ref="C2:Q2"/>
    <mergeCell ref="B4:M4"/>
    <mergeCell ref="B6:G6"/>
    <mergeCell ref="B7:G7"/>
    <mergeCell ref="B8:G8"/>
    <mergeCell ref="B24:E24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22:E22"/>
    <mergeCell ref="B23:E23"/>
    <mergeCell ref="D36:H36"/>
    <mergeCell ref="I36:J36"/>
    <mergeCell ref="B25:E25"/>
    <mergeCell ref="B26:E26"/>
    <mergeCell ref="B27:E27"/>
    <mergeCell ref="B28:E28"/>
    <mergeCell ref="B30:D30"/>
    <mergeCell ref="D33:H33"/>
    <mergeCell ref="I33:J33"/>
    <mergeCell ref="D34:H34"/>
    <mergeCell ref="I34:J34"/>
    <mergeCell ref="D35:H35"/>
    <mergeCell ref="I35:J35"/>
    <mergeCell ref="D37:H37"/>
    <mergeCell ref="I37:J37"/>
    <mergeCell ref="D38:H38"/>
    <mergeCell ref="I38:J38"/>
    <mergeCell ref="D39:H39"/>
    <mergeCell ref="I39:J39"/>
    <mergeCell ref="B48:C48"/>
    <mergeCell ref="D40:H40"/>
    <mergeCell ref="I40:J40"/>
    <mergeCell ref="D41:H41"/>
    <mergeCell ref="I41:J41"/>
    <mergeCell ref="D42:H42"/>
    <mergeCell ref="I42:J42"/>
    <mergeCell ref="D43:H43"/>
    <mergeCell ref="I43:J43"/>
    <mergeCell ref="D44:H44"/>
    <mergeCell ref="I44:J44"/>
    <mergeCell ref="E46:J46"/>
    <mergeCell ref="D66:H66"/>
    <mergeCell ref="I66:J66"/>
    <mergeCell ref="D61:H61"/>
    <mergeCell ref="I61:J61"/>
    <mergeCell ref="D62:H62"/>
    <mergeCell ref="I62:J62"/>
    <mergeCell ref="D63:H63"/>
    <mergeCell ref="I63:J63"/>
    <mergeCell ref="B50:E50"/>
    <mergeCell ref="D64:H64"/>
    <mergeCell ref="I64:J64"/>
    <mergeCell ref="D65:H65"/>
    <mergeCell ref="I65:J65"/>
    <mergeCell ref="D58:H58"/>
    <mergeCell ref="I58:J58"/>
    <mergeCell ref="D59:H59"/>
    <mergeCell ref="I59:J59"/>
    <mergeCell ref="D60:H60"/>
    <mergeCell ref="I60:J60"/>
    <mergeCell ref="B52:D52"/>
    <mergeCell ref="B53:D53"/>
    <mergeCell ref="B54:D54"/>
    <mergeCell ref="D57:H57"/>
    <mergeCell ref="I57:J57"/>
    <mergeCell ref="D67:H67"/>
    <mergeCell ref="I67:J67"/>
    <mergeCell ref="D68:H68"/>
    <mergeCell ref="I68:J68"/>
    <mergeCell ref="H70:J7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TAX INCREMENTAL CASHFLOW</vt:lpstr>
      <vt:lpstr>Sheet1</vt:lpstr>
      <vt:lpstr>INCREASED LIFE</vt:lpstr>
      <vt:lpstr>IRR &amp; NPV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2022-02-16T06:10:16Z</dcterms:created>
  <dcterms:modified xsi:type="dcterms:W3CDTF">2022-02-22T13:27:44Z</dcterms:modified>
</cp:coreProperties>
</file>