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A1F437A3-D4B2-4D63-87B7-C2E7906430BB}" xr6:coauthVersionLast="47" xr6:coauthVersionMax="47" xr10:uidLastSave="{00000000-0000-0000-0000-000000000000}"/>
  <bookViews>
    <workbookView xWindow="-108" yWindow="-108" windowWidth="23256" windowHeight="13176" tabRatio="911" xr2:uid="{00000000-000D-0000-FFFF-FFFF00000000}"/>
  </bookViews>
  <sheets>
    <sheet name="Overview" sheetId="5" r:id="rId1"/>
    <sheet name="Working Capital" sheetId="20" r:id="rId2"/>
    <sheet name="Debt" sheetId="16" r:id="rId3"/>
    <sheet name="Income (without Alternium )" sheetId="24" r:id="rId4"/>
    <sheet name="Expense (without Alternium )" sheetId="25" r:id="rId5"/>
    <sheet name="Net Present Value" sheetId="9" r:id="rId6"/>
    <sheet name="Income (with Alternium )" sheetId="6" r:id="rId7"/>
    <sheet name="Expense (with Alternium )" sheetId="7" r:id="rId8"/>
    <sheet name="Net Present Value " sheetId="21" r:id="rId9"/>
    <sheet name="IRR Calculation" sheetId="30" r:id="rId10"/>
  </sheets>
  <externalReferences>
    <externalReference r:id="rId11"/>
  </externalReferences>
  <definedNames>
    <definedName name="Annual_Inf">Overview!$B$3</definedName>
    <definedName name="coc" localSheetId="9">[1]Overview!$B$4</definedName>
    <definedName name="coc">Overview!$B$4</definedName>
    <definedName name="inf_rate" localSheetId="9">[1]Overview!$B$2</definedName>
    <definedName name="inf_rate">Overview!$B$2</definedName>
    <definedName name="inf_rate_mon" localSheetId="9">[1]Overview!$B$3</definedName>
    <definedName name="monthly_rate">Overview!$H$11</definedName>
    <definedName name="sp" localSheetId="9">[1]Overview!$E$8</definedName>
    <definedName name="sp">Overview!$E$8</definedName>
    <definedName name="wacc">Debt!$B$2</definedName>
    <definedName name="wor_cap" localSheetId="9">'[1]Working Capital'!$B$24</definedName>
    <definedName name="wor_cap">'Working Capital'!$B$24</definedName>
    <definedName name="yearly_rate">Overview!$H$6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21" l="1"/>
  <c r="F4" i="21"/>
  <c r="A10" i="21"/>
  <c r="B10" i="21"/>
  <c r="D10" i="21"/>
  <c r="E10" i="21"/>
  <c r="A11" i="21"/>
  <c r="B11" i="21"/>
  <c r="D11" i="21"/>
  <c r="E11" i="21"/>
  <c r="A12" i="21"/>
  <c r="B12" i="21"/>
  <c r="D12" i="21"/>
  <c r="E12" i="21"/>
  <c r="A13" i="21"/>
  <c r="B13" i="21"/>
  <c r="D13" i="21"/>
  <c r="D14" i="21" s="1"/>
  <c r="D15" i="21" s="1"/>
  <c r="D16" i="21" s="1"/>
  <c r="D17" i="21" s="1"/>
  <c r="D18" i="21" s="1"/>
  <c r="D19" i="21" s="1"/>
  <c r="E13" i="21"/>
  <c r="A14" i="21"/>
  <c r="B14" i="21"/>
  <c r="E14" i="21"/>
  <c r="A15" i="21"/>
  <c r="B15" i="21"/>
  <c r="E15" i="21"/>
  <c r="A16" i="21"/>
  <c r="A17" i="21" s="1"/>
  <c r="A18" i="21" s="1"/>
  <c r="A19" i="21" s="1"/>
  <c r="B16" i="21"/>
  <c r="E16" i="21"/>
  <c r="B17" i="21"/>
  <c r="E17" i="21"/>
  <c r="B18" i="21"/>
  <c r="E18" i="21"/>
  <c r="B19" i="21"/>
  <c r="E19" i="21"/>
  <c r="J20" i="24"/>
  <c r="I32" i="7" l="1"/>
  <c r="V34" i="30"/>
  <c r="E10" i="5"/>
  <c r="E9" i="5"/>
  <c r="U13" i="30"/>
  <c r="U14" i="30" s="1"/>
  <c r="U15" i="30" s="1"/>
  <c r="U16" i="30" s="1"/>
  <c r="U17" i="30" s="1"/>
  <c r="U18" i="30" s="1"/>
  <c r="U19" i="30" s="1"/>
  <c r="U20" i="30" s="1"/>
  <c r="U12" i="30"/>
  <c r="U11" i="30"/>
  <c r="T13" i="30"/>
  <c r="T14" i="30" s="1"/>
  <c r="T15" i="30" s="1"/>
  <c r="T16" i="30" s="1"/>
  <c r="T17" i="30" s="1"/>
  <c r="T18" i="30" s="1"/>
  <c r="T19" i="30" s="1"/>
  <c r="T20" i="30" s="1"/>
  <c r="T12" i="30"/>
  <c r="T11" i="30"/>
  <c r="S13" i="30"/>
  <c r="S14" i="30" s="1"/>
  <c r="S15" i="30" s="1"/>
  <c r="S16" i="30" s="1"/>
  <c r="S17" i="30" s="1"/>
  <c r="S18" i="30" s="1"/>
  <c r="S19" i="30" s="1"/>
  <c r="S20" i="30" s="1"/>
  <c r="S12" i="30"/>
  <c r="S11" i="30"/>
  <c r="I9" i="30"/>
  <c r="H9" i="30"/>
  <c r="G10" i="30"/>
  <c r="G11" i="30" s="1"/>
  <c r="B3" i="30"/>
  <c r="J11" i="30" s="1"/>
  <c r="E8" i="20"/>
  <c r="D8" i="24"/>
  <c r="D10" i="24"/>
  <c r="G12" i="30" l="1"/>
  <c r="H11" i="30"/>
  <c r="I11" i="30" s="1"/>
  <c r="K11" i="30"/>
  <c r="H10" i="30"/>
  <c r="I10" i="30" s="1"/>
  <c r="G13" i="30" l="1"/>
  <c r="H12" i="30"/>
  <c r="I12" i="30" s="1"/>
  <c r="G14" i="30" l="1"/>
  <c r="H13" i="30"/>
  <c r="I13" i="30" s="1"/>
  <c r="G15" i="30" l="1"/>
  <c r="H14" i="30"/>
  <c r="I14" i="30" s="1"/>
  <c r="G16" i="30" l="1"/>
  <c r="H15" i="30"/>
  <c r="I15" i="30" s="1"/>
  <c r="G17" i="30" l="1"/>
  <c r="H16" i="30"/>
  <c r="I16" i="30" s="1"/>
  <c r="H17" i="30" l="1"/>
  <c r="I17" i="30" s="1"/>
  <c r="G18" i="30"/>
  <c r="H18" i="30" s="1"/>
  <c r="I18" i="30" s="1"/>
  <c r="E9" i="6" l="1"/>
  <c r="J9" i="6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28" i="30"/>
  <c r="C2" i="7"/>
  <c r="J8" i="25"/>
  <c r="I8" i="24"/>
  <c r="B3" i="25"/>
  <c r="B5" i="20"/>
  <c r="J9" i="30" l="1"/>
  <c r="K9" i="30" s="1"/>
  <c r="J10" i="30"/>
  <c r="K10" i="30" s="1"/>
  <c r="AB10" i="30"/>
  <c r="AC10" i="30" s="1"/>
  <c r="AB11" i="30"/>
  <c r="AC11" i="30" s="1"/>
  <c r="J12" i="30"/>
  <c r="K12" i="30" s="1"/>
  <c r="AB12" i="30"/>
  <c r="AC12" i="30" s="1"/>
  <c r="J13" i="30"/>
  <c r="K13" i="30" s="1"/>
  <c r="AB13" i="30"/>
  <c r="AC13" i="30" s="1"/>
  <c r="J14" i="30"/>
  <c r="K14" i="30" s="1"/>
  <c r="AB14" i="30"/>
  <c r="AC14" i="30" s="1"/>
  <c r="J15" i="30"/>
  <c r="K15" i="30" s="1"/>
  <c r="AB15" i="30"/>
  <c r="AC15" i="30" s="1"/>
  <c r="J16" i="30"/>
  <c r="K16" i="30" s="1"/>
  <c r="AB16" i="30"/>
  <c r="AC16" i="30" s="1"/>
  <c r="J17" i="30"/>
  <c r="K17" i="30" s="1"/>
  <c r="AB17" i="30"/>
  <c r="AC17" i="30" s="1"/>
  <c r="J18" i="30"/>
  <c r="K18" i="30" s="1"/>
  <c r="AB18" i="30"/>
  <c r="AC18" i="30" s="1"/>
  <c r="AB19" i="30"/>
  <c r="AC19" i="30" s="1"/>
  <c r="AB20" i="30"/>
  <c r="AC20" i="30" s="1"/>
  <c r="J28" i="30"/>
  <c r="K28" i="30" s="1"/>
  <c r="J29" i="30"/>
  <c r="K29" i="30" s="1"/>
  <c r="AB29" i="30"/>
  <c r="AC29" i="30" s="1"/>
  <c r="J30" i="30"/>
  <c r="K30" i="30" s="1"/>
  <c r="AB30" i="30"/>
  <c r="AC30" i="30" s="1"/>
  <c r="J31" i="30"/>
  <c r="K31" i="30" s="1"/>
  <c r="AB31" i="30"/>
  <c r="AC31" i="30" s="1"/>
  <c r="J32" i="30"/>
  <c r="K32" i="30" s="1"/>
  <c r="AB32" i="30"/>
  <c r="AC32" i="30" s="1"/>
  <c r="J33" i="30"/>
  <c r="K33" i="30" s="1"/>
  <c r="AB33" i="30"/>
  <c r="AC33" i="30" s="1"/>
  <c r="J34" i="30"/>
  <c r="K34" i="30" s="1"/>
  <c r="AB34" i="30"/>
  <c r="AC34" i="30" s="1"/>
  <c r="J35" i="30"/>
  <c r="K35" i="30" s="1"/>
  <c r="AB35" i="30"/>
  <c r="AC35" i="30" s="1"/>
  <c r="J36" i="30"/>
  <c r="K36" i="30" s="1"/>
  <c r="AB36" i="30"/>
  <c r="AC36" i="30" s="1"/>
  <c r="J37" i="30"/>
  <c r="K37" i="30" s="1"/>
  <c r="AB37" i="30"/>
  <c r="AC37" i="30" s="1"/>
  <c r="J38" i="30"/>
  <c r="K38" i="30" s="1"/>
  <c r="AB38" i="30"/>
  <c r="AC38" i="30" s="1"/>
  <c r="J39" i="30"/>
  <c r="K39" i="30" s="1"/>
  <c r="AB39" i="30"/>
  <c r="AC39" i="30" s="1"/>
  <c r="J40" i="30"/>
  <c r="K40" i="30" s="1"/>
  <c r="AB40" i="30"/>
  <c r="AC40" i="30" s="1"/>
  <c r="J41" i="30"/>
  <c r="K41" i="30" s="1"/>
  <c r="AB41" i="30"/>
  <c r="AC41" i="30" s="1"/>
  <c r="J42" i="30"/>
  <c r="K42" i="30" s="1"/>
  <c r="AB42" i="30"/>
  <c r="AC42" i="30" s="1"/>
  <c r="J43" i="30"/>
  <c r="K43" i="30" s="1"/>
  <c r="AB43" i="30"/>
  <c r="AC43" i="30" s="1"/>
  <c r="J44" i="30"/>
  <c r="K44" i="30" s="1"/>
  <c r="AB44" i="30"/>
  <c r="AC44" i="30" s="1"/>
  <c r="J45" i="30"/>
  <c r="K45" i="30" s="1"/>
  <c r="AB45" i="30"/>
  <c r="AC45" i="30" s="1"/>
  <c r="J46" i="30"/>
  <c r="K46" i="30" s="1"/>
  <c r="AB46" i="30"/>
  <c r="AC46" i="30" s="1"/>
  <c r="J47" i="30"/>
  <c r="K47" i="30" s="1"/>
  <c r="AB47" i="30"/>
  <c r="AC47" i="30" s="1"/>
  <c r="AB48" i="30"/>
  <c r="AC48" i="30" s="1"/>
  <c r="AB49" i="30"/>
  <c r="AC49" i="30" s="1"/>
  <c r="K21" i="30" l="1"/>
  <c r="AC22" i="30"/>
  <c r="K50" i="30"/>
  <c r="M3" i="30" s="1"/>
  <c r="M2" i="30" l="1"/>
  <c r="F18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B4" i="24"/>
  <c r="M47" i="7"/>
  <c r="B30" i="20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E30" i="21"/>
  <c r="D20" i="2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8" i="25" l="1"/>
  <c r="I8" i="25" s="1"/>
  <c r="C9" i="25"/>
  <c r="E8" i="24"/>
  <c r="F8" i="24"/>
  <c r="C9" i="24"/>
  <c r="E9" i="25" l="1"/>
  <c r="J9" i="25"/>
  <c r="E9" i="24"/>
  <c r="I9" i="24"/>
  <c r="H9" i="25"/>
  <c r="F9" i="25"/>
  <c r="C10" i="25"/>
  <c r="K8" i="25"/>
  <c r="B8" i="9" s="1"/>
  <c r="D9" i="24"/>
  <c r="C10" i="24"/>
  <c r="I10" i="24" s="1"/>
  <c r="E39" i="20"/>
  <c r="E32" i="20"/>
  <c r="E33" i="20"/>
  <c r="E40" i="20"/>
  <c r="E41" i="20"/>
  <c r="E34" i="20"/>
  <c r="E48" i="20"/>
  <c r="E42" i="20"/>
  <c r="E35" i="20"/>
  <c r="E43" i="20"/>
  <c r="E36" i="20"/>
  <c r="E47" i="20"/>
  <c r="E30" i="20"/>
  <c r="E44" i="20"/>
  <c r="E37" i="20"/>
  <c r="E29" i="20"/>
  <c r="E31" i="20"/>
  <c r="E45" i="20"/>
  <c r="E38" i="20"/>
  <c r="E46" i="20"/>
  <c r="F9" i="24"/>
  <c r="G8" i="24"/>
  <c r="C11" i="25"/>
  <c r="J11" i="25" s="1"/>
  <c r="I9" i="25" l="1"/>
  <c r="K9" i="25" s="1"/>
  <c r="B9" i="9" s="1"/>
  <c r="H8" i="24"/>
  <c r="J8" i="24" s="1"/>
  <c r="F8" i="9" s="1"/>
  <c r="E10" i="25"/>
  <c r="J10" i="25"/>
  <c r="G9" i="24"/>
  <c r="H9" i="24" s="1"/>
  <c r="F10" i="25"/>
  <c r="I10" i="25" s="1"/>
  <c r="H10" i="25"/>
  <c r="E10" i="24"/>
  <c r="F10" i="24"/>
  <c r="C11" i="24"/>
  <c r="I11" i="24" s="1"/>
  <c r="F11" i="25"/>
  <c r="H11" i="25"/>
  <c r="C12" i="25"/>
  <c r="J12" i="25" s="1"/>
  <c r="E11" i="25"/>
  <c r="K10" i="25" l="1"/>
  <c r="B10" i="9" s="1"/>
  <c r="J9" i="24"/>
  <c r="F9" i="9" s="1"/>
  <c r="D11" i="24"/>
  <c r="F11" i="24"/>
  <c r="C12" i="24"/>
  <c r="I12" i="24" s="1"/>
  <c r="E11" i="24"/>
  <c r="G10" i="24"/>
  <c r="H10" i="24" s="1"/>
  <c r="J10" i="24" s="1"/>
  <c r="F10" i="9" s="1"/>
  <c r="I11" i="25"/>
  <c r="K11" i="25" s="1"/>
  <c r="B11" i="9" s="1"/>
  <c r="H12" i="25"/>
  <c r="C13" i="25"/>
  <c r="J13" i="25" s="1"/>
  <c r="E12" i="25"/>
  <c r="F12" i="25"/>
  <c r="G11" i="24" l="1"/>
  <c r="D12" i="24"/>
  <c r="F12" i="24"/>
  <c r="E12" i="24"/>
  <c r="C13" i="24"/>
  <c r="I12" i="25"/>
  <c r="K12" i="25" s="1"/>
  <c r="B12" i="9" s="1"/>
  <c r="E13" i="25"/>
  <c r="F13" i="25"/>
  <c r="H13" i="25"/>
  <c r="C14" i="25"/>
  <c r="J14" i="25" s="1"/>
  <c r="I13" i="24" l="1"/>
  <c r="G20" i="24"/>
  <c r="H11" i="24"/>
  <c r="J11" i="24" s="1"/>
  <c r="F11" i="9" s="1"/>
  <c r="E13" i="24"/>
  <c r="D13" i="24"/>
  <c r="C14" i="24"/>
  <c r="I14" i="24" s="1"/>
  <c r="F13" i="24"/>
  <c r="G12" i="24"/>
  <c r="H12" i="24" s="1"/>
  <c r="J12" i="24" s="1"/>
  <c r="F12" i="9" s="1"/>
  <c r="E14" i="25"/>
  <c r="F14" i="25"/>
  <c r="H14" i="25"/>
  <c r="C15" i="25"/>
  <c r="J15" i="25" s="1"/>
  <c r="I13" i="25"/>
  <c r="K13" i="25" s="1"/>
  <c r="B13" i="9" s="1"/>
  <c r="C15" i="24" l="1"/>
  <c r="I15" i="24" s="1"/>
  <c r="E14" i="24"/>
  <c r="F14" i="24"/>
  <c r="D14" i="24"/>
  <c r="G14" i="24" s="1"/>
  <c r="H14" i="24" s="1"/>
  <c r="J14" i="24" s="1"/>
  <c r="F14" i="9" s="1"/>
  <c r="G13" i="24"/>
  <c r="H13" i="24" s="1"/>
  <c r="J13" i="24" s="1"/>
  <c r="F13" i="9" s="1"/>
  <c r="I14" i="25"/>
  <c r="K14" i="25" s="1"/>
  <c r="B14" i="9" s="1"/>
  <c r="F15" i="25"/>
  <c r="H15" i="25"/>
  <c r="C16" i="25"/>
  <c r="J16" i="25" s="1"/>
  <c r="E15" i="25"/>
  <c r="D15" i="24" l="1"/>
  <c r="C16" i="24"/>
  <c r="I16" i="24" s="1"/>
  <c r="E15" i="24"/>
  <c r="F15" i="24"/>
  <c r="I15" i="25"/>
  <c r="K15" i="25" s="1"/>
  <c r="B15" i="9" s="1"/>
  <c r="H16" i="25"/>
  <c r="C17" i="25"/>
  <c r="J17" i="25" s="1"/>
  <c r="E16" i="25"/>
  <c r="F16" i="25"/>
  <c r="F16" i="24" l="1"/>
  <c r="D16" i="24"/>
  <c r="E16" i="24"/>
  <c r="C17" i="24"/>
  <c r="I17" i="24" s="1"/>
  <c r="G15" i="24"/>
  <c r="H15" i="24" s="1"/>
  <c r="J15" i="24" s="1"/>
  <c r="F15" i="9" s="1"/>
  <c r="E17" i="25"/>
  <c r="F17" i="25"/>
  <c r="H17" i="25"/>
  <c r="C18" i="25"/>
  <c r="J18" i="25" s="1"/>
  <c r="I16" i="25"/>
  <c r="K16" i="25" s="1"/>
  <c r="B16" i="9" s="1"/>
  <c r="G16" i="24" l="1"/>
  <c r="H16" i="24" s="1"/>
  <c r="J16" i="24" s="1"/>
  <c r="F16" i="9" s="1"/>
  <c r="C18" i="24"/>
  <c r="D17" i="24"/>
  <c r="F17" i="24"/>
  <c r="E17" i="24"/>
  <c r="E18" i="25"/>
  <c r="F18" i="25"/>
  <c r="H18" i="25"/>
  <c r="I17" i="25"/>
  <c r="K17" i="25" s="1"/>
  <c r="G17" i="24" l="1"/>
  <c r="H17" i="24" s="1"/>
  <c r="J17" i="24" s="1"/>
  <c r="K20" i="25"/>
  <c r="B17" i="9"/>
  <c r="I18" i="25"/>
  <c r="K18" i="25" s="1"/>
  <c r="B18" i="9" s="1"/>
  <c r="B20" i="9" s="1"/>
  <c r="F17" i="9" l="1"/>
  <c r="F20" i="9" s="1"/>
  <c r="F2" i="9" s="1"/>
  <c r="D8" i="7"/>
  <c r="K28" i="7"/>
  <c r="H28" i="7"/>
  <c r="C29" i="20" s="1"/>
  <c r="D29" i="20" s="1"/>
  <c r="F29" i="20" s="1"/>
  <c r="M8" i="7" s="1"/>
  <c r="N8" i="7" s="1"/>
  <c r="G28" i="7"/>
  <c r="F28" i="7"/>
  <c r="C28" i="7"/>
  <c r="K29" i="7" s="1"/>
  <c r="O27" i="7"/>
  <c r="L27" i="7"/>
  <c r="F28" i="6"/>
  <c r="J27" i="6"/>
  <c r="G27" i="6"/>
  <c r="F27" i="6"/>
  <c r="E27" i="6"/>
  <c r="D27" i="6"/>
  <c r="L8" i="7"/>
  <c r="K9" i="7"/>
  <c r="J8" i="7"/>
  <c r="J27" i="7" s="1"/>
  <c r="H9" i="7"/>
  <c r="G9" i="7"/>
  <c r="F9" i="7"/>
  <c r="E8" i="7"/>
  <c r="E27" i="7" s="1"/>
  <c r="G8" i="6"/>
  <c r="F8" i="6"/>
  <c r="E8" i="6"/>
  <c r="D8" i="6"/>
  <c r="C28" i="6"/>
  <c r="E28" i="6" s="1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O8" i="7"/>
  <c r="B21" i="16"/>
  <c r="B22" i="16" s="1"/>
  <c r="B23" i="16" s="1"/>
  <c r="B24" i="16" s="1"/>
  <c r="B25" i="16" s="1"/>
  <c r="B26" i="16" s="1"/>
  <c r="B27" i="16" s="1"/>
  <c r="B28" i="16" s="1"/>
  <c r="G28" i="6" l="1"/>
  <c r="J28" i="6"/>
  <c r="C29" i="6"/>
  <c r="C30" i="6" s="1"/>
  <c r="D28" i="6"/>
  <c r="H28" i="6" s="1"/>
  <c r="I28" i="6" s="1"/>
  <c r="M27" i="7"/>
  <c r="H8" i="6"/>
  <c r="I8" i="6" s="1"/>
  <c r="D27" i="7"/>
  <c r="H27" i="6"/>
  <c r="I27" i="6" s="1"/>
  <c r="K27" i="6" s="1"/>
  <c r="L28" i="7"/>
  <c r="O28" i="7"/>
  <c r="G29" i="7"/>
  <c r="H29" i="7"/>
  <c r="C30" i="20" s="1"/>
  <c r="D30" i="20" s="1"/>
  <c r="F30" i="20" s="1"/>
  <c r="F29" i="7"/>
  <c r="C29" i="7"/>
  <c r="K28" i="6" l="1"/>
  <c r="J30" i="6"/>
  <c r="G30" i="6"/>
  <c r="F30" i="6"/>
  <c r="E30" i="6"/>
  <c r="D30" i="6"/>
  <c r="J29" i="6"/>
  <c r="G29" i="6"/>
  <c r="F29" i="6"/>
  <c r="E29" i="6"/>
  <c r="D29" i="6"/>
  <c r="M9" i="7"/>
  <c r="M28" i="7"/>
  <c r="F30" i="7"/>
  <c r="O29" i="7"/>
  <c r="K30" i="7"/>
  <c r="C30" i="7"/>
  <c r="H30" i="7"/>
  <c r="C31" i="20" s="1"/>
  <c r="D31" i="20" s="1"/>
  <c r="F31" i="20" s="1"/>
  <c r="G30" i="7"/>
  <c r="L29" i="7"/>
  <c r="C31" i="6"/>
  <c r="H29" i="6" l="1"/>
  <c r="I29" i="6" s="1"/>
  <c r="K29" i="6" s="1"/>
  <c r="H30" i="6"/>
  <c r="I30" i="6" s="1"/>
  <c r="K30" i="6" s="1"/>
  <c r="F31" i="6"/>
  <c r="E31" i="6"/>
  <c r="D31" i="6"/>
  <c r="J31" i="6"/>
  <c r="G31" i="6"/>
  <c r="M10" i="7"/>
  <c r="M29" i="7"/>
  <c r="G31" i="7"/>
  <c r="O30" i="7"/>
  <c r="L30" i="7"/>
  <c r="F31" i="7"/>
  <c r="K31" i="7"/>
  <c r="C31" i="7"/>
  <c r="H31" i="7"/>
  <c r="C32" i="20" s="1"/>
  <c r="D32" i="20" s="1"/>
  <c r="F32" i="20" s="1"/>
  <c r="C32" i="6"/>
  <c r="H31" i="6" l="1"/>
  <c r="I31" i="6" s="1"/>
  <c r="K31" i="6" s="1"/>
  <c r="J32" i="6"/>
  <c r="G32" i="6"/>
  <c r="F32" i="6"/>
  <c r="E32" i="6"/>
  <c r="D32" i="6"/>
  <c r="M11" i="7"/>
  <c r="M30" i="7"/>
  <c r="H32" i="7"/>
  <c r="C33" i="20" s="1"/>
  <c r="D33" i="20" s="1"/>
  <c r="F33" i="20" s="1"/>
  <c r="K32" i="7"/>
  <c r="G32" i="7"/>
  <c r="O31" i="7"/>
  <c r="L31" i="7"/>
  <c r="F32" i="7"/>
  <c r="C32" i="7"/>
  <c r="C33" i="6"/>
  <c r="H32" i="6" l="1"/>
  <c r="I32" i="6" s="1"/>
  <c r="K32" i="6" s="1"/>
  <c r="J33" i="6"/>
  <c r="G33" i="6"/>
  <c r="F33" i="6"/>
  <c r="E33" i="6"/>
  <c r="D33" i="6"/>
  <c r="M12" i="7"/>
  <c r="M31" i="7"/>
  <c r="K33" i="7"/>
  <c r="C33" i="7"/>
  <c r="F33" i="7"/>
  <c r="H33" i="7"/>
  <c r="C34" i="20" s="1"/>
  <c r="D34" i="20" s="1"/>
  <c r="F34" i="20" s="1"/>
  <c r="G33" i="7"/>
  <c r="O32" i="7"/>
  <c r="L32" i="7"/>
  <c r="C34" i="6"/>
  <c r="G34" i="6" l="1"/>
  <c r="F34" i="6"/>
  <c r="E34" i="6"/>
  <c r="D34" i="6"/>
  <c r="J34" i="6"/>
  <c r="H33" i="6"/>
  <c r="I33" i="6" s="1"/>
  <c r="K33" i="6" s="1"/>
  <c r="M13" i="7"/>
  <c r="M32" i="7"/>
  <c r="F34" i="7"/>
  <c r="O33" i="7"/>
  <c r="K34" i="7"/>
  <c r="C34" i="7"/>
  <c r="H34" i="7"/>
  <c r="C35" i="20" s="1"/>
  <c r="D35" i="20" s="1"/>
  <c r="F35" i="20" s="1"/>
  <c r="G34" i="7"/>
  <c r="L33" i="7"/>
  <c r="C35" i="6"/>
  <c r="D35" i="6" l="1"/>
  <c r="J35" i="6"/>
  <c r="G35" i="6"/>
  <c r="F35" i="6"/>
  <c r="E35" i="6"/>
  <c r="H34" i="6"/>
  <c r="I34" i="6" s="1"/>
  <c r="K34" i="6" s="1"/>
  <c r="M14" i="7"/>
  <c r="M33" i="7"/>
  <c r="G35" i="7"/>
  <c r="O34" i="7"/>
  <c r="L34" i="7"/>
  <c r="F35" i="7"/>
  <c r="K35" i="7"/>
  <c r="C35" i="7"/>
  <c r="H35" i="7"/>
  <c r="C36" i="20" s="1"/>
  <c r="D36" i="20" s="1"/>
  <c r="F36" i="20" s="1"/>
  <c r="C36" i="6"/>
  <c r="H35" i="6" l="1"/>
  <c r="I35" i="6" s="1"/>
  <c r="K35" i="6" s="1"/>
  <c r="J36" i="6"/>
  <c r="G36" i="6"/>
  <c r="F36" i="6"/>
  <c r="E36" i="6"/>
  <c r="D36" i="6"/>
  <c r="M15" i="7"/>
  <c r="M34" i="7"/>
  <c r="H36" i="7"/>
  <c r="C37" i="20" s="1"/>
  <c r="D37" i="20" s="1"/>
  <c r="F37" i="20" s="1"/>
  <c r="K36" i="7"/>
  <c r="G36" i="7"/>
  <c r="O35" i="7"/>
  <c r="L35" i="7"/>
  <c r="F36" i="7"/>
  <c r="C36" i="7"/>
  <c r="K37" i="7" s="1"/>
  <c r="C37" i="6"/>
  <c r="H36" i="6" l="1"/>
  <c r="I36" i="6" s="1"/>
  <c r="K36" i="6" s="1"/>
  <c r="F37" i="6"/>
  <c r="E37" i="6"/>
  <c r="C38" i="6"/>
  <c r="D37" i="6"/>
  <c r="G37" i="6"/>
  <c r="J37" i="6"/>
  <c r="M16" i="7"/>
  <c r="M35" i="7"/>
  <c r="G37" i="7"/>
  <c r="O36" i="7"/>
  <c r="F37" i="7"/>
  <c r="C37" i="7"/>
  <c r="L36" i="7"/>
  <c r="H37" i="7"/>
  <c r="C38" i="20" s="1"/>
  <c r="D38" i="20" s="1"/>
  <c r="F38" i="20" s="1"/>
  <c r="H37" i="6" l="1"/>
  <c r="I37" i="6" s="1"/>
  <c r="K37" i="6" s="1"/>
  <c r="E20" i="21" s="1"/>
  <c r="O37" i="7"/>
  <c r="C38" i="7"/>
  <c r="H38" i="7"/>
  <c r="C39" i="20" s="1"/>
  <c r="D39" i="20" s="1"/>
  <c r="F39" i="20" s="1"/>
  <c r="M37" i="7" s="1"/>
  <c r="N37" i="7" s="1"/>
  <c r="P37" i="7" s="1"/>
  <c r="F38" i="7"/>
  <c r="K38" i="7"/>
  <c r="L37" i="7"/>
  <c r="G38" i="7"/>
  <c r="G38" i="6"/>
  <c r="J38" i="6"/>
  <c r="F38" i="6"/>
  <c r="D38" i="6"/>
  <c r="C39" i="6"/>
  <c r="E38" i="6"/>
  <c r="M17" i="7"/>
  <c r="M36" i="7"/>
  <c r="N36" i="7" s="1"/>
  <c r="P36" i="7" s="1"/>
  <c r="H38" i="6" l="1"/>
  <c r="I38" i="6" s="1"/>
  <c r="K38" i="6" s="1"/>
  <c r="E21" i="21" s="1"/>
  <c r="J39" i="6"/>
  <c r="D39" i="6"/>
  <c r="E39" i="6"/>
  <c r="F39" i="6"/>
  <c r="G39" i="6"/>
  <c r="C40" i="6"/>
  <c r="C39" i="7"/>
  <c r="O38" i="7"/>
  <c r="H39" i="7"/>
  <c r="C40" i="20" s="1"/>
  <c r="D40" i="20" s="1"/>
  <c r="F40" i="20" s="1"/>
  <c r="M38" i="7" s="1"/>
  <c r="G39" i="7"/>
  <c r="F39" i="7"/>
  <c r="K39" i="7"/>
  <c r="L38" i="7"/>
  <c r="B20" i="21"/>
  <c r="B8" i="16"/>
  <c r="B9" i="16" s="1"/>
  <c r="B10" i="16" s="1"/>
  <c r="B11" i="16" s="1"/>
  <c r="B12" i="16" s="1"/>
  <c r="B13" i="16" s="1"/>
  <c r="B14" i="16" s="1"/>
  <c r="B15" i="16" s="1"/>
  <c r="B2" i="16"/>
  <c r="D24" i="16" l="1"/>
  <c r="E24" i="16" s="1"/>
  <c r="D13" i="16"/>
  <c r="E13" i="16" s="1"/>
  <c r="D8" i="16"/>
  <c r="D7" i="16"/>
  <c r="H39" i="6"/>
  <c r="I39" i="6" s="1"/>
  <c r="K39" i="6" s="1"/>
  <c r="E22" i="21" s="1"/>
  <c r="N38" i="7"/>
  <c r="P38" i="7" s="1"/>
  <c r="B21" i="21" s="1"/>
  <c r="C41" i="6"/>
  <c r="F40" i="6"/>
  <c r="D40" i="6"/>
  <c r="J40" i="6"/>
  <c r="E40" i="6"/>
  <c r="G40" i="6"/>
  <c r="L39" i="7"/>
  <c r="C40" i="7"/>
  <c r="O39" i="7"/>
  <c r="H40" i="7"/>
  <c r="C41" i="20" s="1"/>
  <c r="D41" i="20" s="1"/>
  <c r="F41" i="20" s="1"/>
  <c r="M39" i="7" s="1"/>
  <c r="F40" i="7"/>
  <c r="K40" i="7"/>
  <c r="G40" i="7"/>
  <c r="D21" i="16"/>
  <c r="E21" i="16" s="1"/>
  <c r="D25" i="16"/>
  <c r="D20" i="16"/>
  <c r="E20" i="16" s="1"/>
  <c r="D22" i="16"/>
  <c r="E22" i="16" s="1"/>
  <c r="D26" i="16"/>
  <c r="E26" i="16" s="1"/>
  <c r="D23" i="16"/>
  <c r="E23" i="16" s="1"/>
  <c r="D27" i="16"/>
  <c r="E27" i="16" s="1"/>
  <c r="D28" i="16"/>
  <c r="E28" i="16" s="1"/>
  <c r="E8" i="16"/>
  <c r="D14" i="16"/>
  <c r="E14" i="16" s="1"/>
  <c r="D10" i="16"/>
  <c r="E10" i="16" s="1"/>
  <c r="D11" i="16"/>
  <c r="E11" i="16" s="1"/>
  <c r="D9" i="16"/>
  <c r="E9" i="16" s="1"/>
  <c r="D15" i="16"/>
  <c r="E15" i="16" s="1"/>
  <c r="E7" i="16"/>
  <c r="D12" i="16"/>
  <c r="E12" i="16" s="1"/>
  <c r="B14" i="20"/>
  <c r="B15" i="20" s="1"/>
  <c r="B16" i="20" s="1"/>
  <c r="B17" i="20" s="1"/>
  <c r="B18" i="20" s="1"/>
  <c r="B19" i="20" s="1"/>
  <c r="B20" i="20" s="1"/>
  <c r="B21" i="20" s="1"/>
  <c r="B22" i="20" s="1"/>
  <c r="D13" i="20"/>
  <c r="E13" i="20"/>
  <c r="F13" i="20"/>
  <c r="D14" i="20"/>
  <c r="E14" i="20"/>
  <c r="F14" i="20"/>
  <c r="D15" i="20"/>
  <c r="E15" i="20"/>
  <c r="F15" i="20"/>
  <c r="D16" i="20"/>
  <c r="E16" i="20"/>
  <c r="F16" i="20"/>
  <c r="D17" i="20"/>
  <c r="E17" i="20"/>
  <c r="F17" i="20"/>
  <c r="D18" i="20"/>
  <c r="E18" i="20"/>
  <c r="F18" i="20"/>
  <c r="D19" i="20"/>
  <c r="E19" i="20"/>
  <c r="F19" i="20"/>
  <c r="D20" i="20"/>
  <c r="E20" i="20"/>
  <c r="F20" i="20"/>
  <c r="D21" i="20"/>
  <c r="E21" i="20"/>
  <c r="F21" i="20"/>
  <c r="D22" i="20"/>
  <c r="E22" i="20"/>
  <c r="F22" i="20"/>
  <c r="E25" i="16" l="1"/>
  <c r="P8" i="7"/>
  <c r="H40" i="6"/>
  <c r="I40" i="6" s="1"/>
  <c r="K40" i="6" s="1"/>
  <c r="E23" i="21" s="1"/>
  <c r="N39" i="7"/>
  <c r="P39" i="7" s="1"/>
  <c r="B22" i="21" s="1"/>
  <c r="L40" i="7"/>
  <c r="G41" i="7"/>
  <c r="C41" i="7"/>
  <c r="O40" i="7"/>
  <c r="H41" i="7"/>
  <c r="C42" i="20" s="1"/>
  <c r="D42" i="20" s="1"/>
  <c r="F42" i="20" s="1"/>
  <c r="M40" i="7" s="1"/>
  <c r="F41" i="7"/>
  <c r="K41" i="7"/>
  <c r="C42" i="6"/>
  <c r="G41" i="6"/>
  <c r="E41" i="6"/>
  <c r="F41" i="6"/>
  <c r="J41" i="6"/>
  <c r="D41" i="6"/>
  <c r="C9" i="7"/>
  <c r="J8" i="6"/>
  <c r="K8" i="6" s="1"/>
  <c r="C9" i="6"/>
  <c r="N40" i="7" l="1"/>
  <c r="P40" i="7" s="1"/>
  <c r="B23" i="21" s="1"/>
  <c r="N29" i="7"/>
  <c r="P29" i="7" s="1"/>
  <c r="F42" i="6"/>
  <c r="D42" i="6"/>
  <c r="C43" i="6"/>
  <c r="J42" i="6"/>
  <c r="G42" i="6"/>
  <c r="E42" i="6"/>
  <c r="N30" i="7"/>
  <c r="P30" i="7" s="1"/>
  <c r="C42" i="7"/>
  <c r="L41" i="7"/>
  <c r="G42" i="7"/>
  <c r="O41" i="7"/>
  <c r="H42" i="7"/>
  <c r="C43" i="20" s="1"/>
  <c r="D43" i="20" s="1"/>
  <c r="F43" i="20" s="1"/>
  <c r="M41" i="7" s="1"/>
  <c r="F42" i="7"/>
  <c r="K42" i="7"/>
  <c r="H10" i="7"/>
  <c r="K10" i="7"/>
  <c r="G10" i="7"/>
  <c r="L9" i="7"/>
  <c r="N9" i="7" s="1"/>
  <c r="F10" i="7"/>
  <c r="N31" i="7"/>
  <c r="P31" i="7" s="1"/>
  <c r="N34" i="7"/>
  <c r="P34" i="7" s="1"/>
  <c r="N33" i="7"/>
  <c r="P33" i="7" s="1"/>
  <c r="N35" i="7"/>
  <c r="P35" i="7" s="1"/>
  <c r="H41" i="6"/>
  <c r="I41" i="6" s="1"/>
  <c r="K41" i="6" s="1"/>
  <c r="N27" i="7"/>
  <c r="P27" i="7" s="1"/>
  <c r="C10" i="6"/>
  <c r="F9" i="6"/>
  <c r="D9" i="6"/>
  <c r="G9" i="6"/>
  <c r="N28" i="7"/>
  <c r="P28" i="7" s="1"/>
  <c r="N32" i="7"/>
  <c r="P32" i="7" s="1"/>
  <c r="C10" i="7"/>
  <c r="O10" i="7" s="1"/>
  <c r="O9" i="7"/>
  <c r="H9" i="6" l="1"/>
  <c r="I9" i="6" s="1"/>
  <c r="C11" i="6"/>
  <c r="J10" i="6"/>
  <c r="N41" i="7"/>
  <c r="P41" i="7" s="1"/>
  <c r="B24" i="21" s="1"/>
  <c r="P9" i="7"/>
  <c r="C43" i="7"/>
  <c r="L42" i="7"/>
  <c r="G43" i="7"/>
  <c r="K43" i="7"/>
  <c r="O42" i="7"/>
  <c r="H43" i="7"/>
  <c r="C44" i="20" s="1"/>
  <c r="D44" i="20" s="1"/>
  <c r="F44" i="20" s="1"/>
  <c r="M42" i="7" s="1"/>
  <c r="N42" i="7" s="1"/>
  <c r="F43" i="7"/>
  <c r="E24" i="21"/>
  <c r="J11" i="6"/>
  <c r="E11" i="6"/>
  <c r="D11" i="6"/>
  <c r="F11" i="6"/>
  <c r="G11" i="6"/>
  <c r="K9" i="6"/>
  <c r="H42" i="6"/>
  <c r="I42" i="6" s="1"/>
  <c r="K42" i="6" s="1"/>
  <c r="E25" i="21" s="1"/>
  <c r="C11" i="7"/>
  <c r="C12" i="7" s="1"/>
  <c r="F11" i="7"/>
  <c r="H11" i="7"/>
  <c r="K11" i="7"/>
  <c r="G11" i="7"/>
  <c r="L10" i="7"/>
  <c r="N10" i="7" s="1"/>
  <c r="P10" i="7" s="1"/>
  <c r="D43" i="6"/>
  <c r="C44" i="6"/>
  <c r="J43" i="6"/>
  <c r="F43" i="6"/>
  <c r="G43" i="6"/>
  <c r="E43" i="6"/>
  <c r="E10" i="6"/>
  <c r="F10" i="6"/>
  <c r="G10" i="6"/>
  <c r="D10" i="6"/>
  <c r="C12" i="6"/>
  <c r="O11" i="7" l="1"/>
  <c r="H43" i="6"/>
  <c r="I43" i="6" s="1"/>
  <c r="K43" i="6" s="1"/>
  <c r="E26" i="21" s="1"/>
  <c r="P42" i="7"/>
  <c r="B25" i="21" s="1"/>
  <c r="J12" i="6"/>
  <c r="E12" i="6"/>
  <c r="F12" i="6"/>
  <c r="D12" i="6"/>
  <c r="G12" i="6"/>
  <c r="H13" i="7"/>
  <c r="F13" i="7"/>
  <c r="K13" i="7"/>
  <c r="G13" i="7"/>
  <c r="L12" i="7"/>
  <c r="H10" i="6"/>
  <c r="I10" i="6" s="1"/>
  <c r="K10" i="6" s="1"/>
  <c r="C44" i="7"/>
  <c r="L43" i="7"/>
  <c r="G44" i="7"/>
  <c r="O43" i="7"/>
  <c r="K44" i="7"/>
  <c r="H44" i="7"/>
  <c r="C45" i="20" s="1"/>
  <c r="D45" i="20" s="1"/>
  <c r="F45" i="20" s="1"/>
  <c r="M43" i="7" s="1"/>
  <c r="F44" i="7"/>
  <c r="F12" i="7"/>
  <c r="K12" i="7"/>
  <c r="G12" i="7"/>
  <c r="L11" i="7"/>
  <c r="N11" i="7" s="1"/>
  <c r="P11" i="7" s="1"/>
  <c r="H12" i="7"/>
  <c r="C45" i="6"/>
  <c r="E44" i="6"/>
  <c r="J44" i="6"/>
  <c r="F44" i="6"/>
  <c r="G44" i="6"/>
  <c r="D44" i="6"/>
  <c r="H11" i="6"/>
  <c r="I11" i="6" s="1"/>
  <c r="K11" i="6" s="1"/>
  <c r="C13" i="7"/>
  <c r="O12" i="7"/>
  <c r="C13" i="6"/>
  <c r="N43" i="7" l="1"/>
  <c r="P43" i="7" s="1"/>
  <c r="B26" i="21" s="1"/>
  <c r="H12" i="6"/>
  <c r="I12" i="6" s="1"/>
  <c r="K12" i="6" s="1"/>
  <c r="N12" i="7"/>
  <c r="P12" i="7" s="1"/>
  <c r="E45" i="6"/>
  <c r="F45" i="6"/>
  <c r="C46" i="6"/>
  <c r="G45" i="6"/>
  <c r="D45" i="6"/>
  <c r="J45" i="6"/>
  <c r="J13" i="6"/>
  <c r="E13" i="6"/>
  <c r="D13" i="6"/>
  <c r="F13" i="6"/>
  <c r="G13" i="6"/>
  <c r="F14" i="7"/>
  <c r="K14" i="7"/>
  <c r="H14" i="7"/>
  <c r="G14" i="7"/>
  <c r="L13" i="7"/>
  <c r="N13" i="7" s="1"/>
  <c r="H44" i="6"/>
  <c r="I44" i="6" s="1"/>
  <c r="K44" i="6" s="1"/>
  <c r="C45" i="7"/>
  <c r="K45" i="7"/>
  <c r="L44" i="7"/>
  <c r="G45" i="7"/>
  <c r="O44" i="7"/>
  <c r="F45" i="7"/>
  <c r="H45" i="7"/>
  <c r="C46" i="20" s="1"/>
  <c r="D46" i="20" s="1"/>
  <c r="F46" i="20" s="1"/>
  <c r="M44" i="7" s="1"/>
  <c r="C14" i="7"/>
  <c r="O13" i="7"/>
  <c r="C14" i="6"/>
  <c r="N44" i="7" l="1"/>
  <c r="P44" i="7" s="1"/>
  <c r="B27" i="21" s="1"/>
  <c r="H13" i="6"/>
  <c r="I13" i="6" s="1"/>
  <c r="K13" i="6" s="1"/>
  <c r="H45" i="6"/>
  <c r="I45" i="6" s="1"/>
  <c r="K45" i="6" s="1"/>
  <c r="E28" i="21" s="1"/>
  <c r="C46" i="7"/>
  <c r="K46" i="7"/>
  <c r="F46" i="7"/>
  <c r="L45" i="7"/>
  <c r="G46" i="7"/>
  <c r="O45" i="7"/>
  <c r="H46" i="7"/>
  <c r="C47" i="20" s="1"/>
  <c r="D47" i="20" s="1"/>
  <c r="F47" i="20" s="1"/>
  <c r="M45" i="7" s="1"/>
  <c r="J46" i="6"/>
  <c r="E46" i="6"/>
  <c r="C47" i="6"/>
  <c r="G46" i="6"/>
  <c r="D46" i="6"/>
  <c r="F46" i="6"/>
  <c r="P13" i="7"/>
  <c r="H15" i="7"/>
  <c r="L14" i="7"/>
  <c r="N14" i="7" s="1"/>
  <c r="F15" i="7"/>
  <c r="K15" i="7"/>
  <c r="G15" i="7"/>
  <c r="E27" i="21"/>
  <c r="J14" i="6"/>
  <c r="E14" i="6"/>
  <c r="F14" i="6"/>
  <c r="G14" i="6"/>
  <c r="D14" i="6"/>
  <c r="C15" i="7"/>
  <c r="O14" i="7"/>
  <c r="C15" i="6"/>
  <c r="N45" i="7" l="1"/>
  <c r="P45" i="7" s="1"/>
  <c r="B28" i="21" s="1"/>
  <c r="H14" i="6"/>
  <c r="I14" i="6" s="1"/>
  <c r="K14" i="6" s="1"/>
  <c r="H46" i="6"/>
  <c r="I46" i="6" s="1"/>
  <c r="K46" i="6" s="1"/>
  <c r="C47" i="7"/>
  <c r="F47" i="7"/>
  <c r="K47" i="7"/>
  <c r="L46" i="7"/>
  <c r="G47" i="7"/>
  <c r="O46" i="7"/>
  <c r="H47" i="7"/>
  <c r="C48" i="20" s="1"/>
  <c r="D48" i="20" s="1"/>
  <c r="F48" i="20" s="1"/>
  <c r="M46" i="7" s="1"/>
  <c r="P14" i="7"/>
  <c r="J15" i="6"/>
  <c r="G15" i="6"/>
  <c r="D15" i="6"/>
  <c r="E15" i="6"/>
  <c r="F15" i="6"/>
  <c r="H16" i="7"/>
  <c r="G16" i="7"/>
  <c r="F16" i="7"/>
  <c r="K16" i="7"/>
  <c r="L15" i="7"/>
  <c r="N15" i="7" s="1"/>
  <c r="C16" i="7"/>
  <c r="O15" i="7"/>
  <c r="C16" i="6"/>
  <c r="N46" i="7" l="1"/>
  <c r="P46" i="7" s="1"/>
  <c r="B29" i="21" s="1"/>
  <c r="J16" i="6"/>
  <c r="G16" i="6"/>
  <c r="D16" i="6"/>
  <c r="E16" i="6"/>
  <c r="F16" i="6"/>
  <c r="L47" i="7"/>
  <c r="N47" i="7" s="1"/>
  <c r="O47" i="7"/>
  <c r="P15" i="7"/>
  <c r="H17" i="7"/>
  <c r="F17" i="7"/>
  <c r="K17" i="7"/>
  <c r="G17" i="7"/>
  <c r="L16" i="7"/>
  <c r="N16" i="7" s="1"/>
  <c r="E29" i="21"/>
  <c r="E32" i="21" s="1"/>
  <c r="K49" i="6"/>
  <c r="H15" i="6"/>
  <c r="I15" i="6" s="1"/>
  <c r="K15" i="6" s="1"/>
  <c r="C17" i="7"/>
  <c r="O16" i="7"/>
  <c r="C17" i="6"/>
  <c r="J17" i="6" l="1"/>
  <c r="D17" i="6"/>
  <c r="G17" i="6"/>
  <c r="E17" i="6"/>
  <c r="F17" i="6"/>
  <c r="P47" i="7"/>
  <c r="H16" i="6"/>
  <c r="I16" i="6" s="1"/>
  <c r="K16" i="6" s="1"/>
  <c r="P16" i="7"/>
  <c r="H18" i="7"/>
  <c r="F18" i="7"/>
  <c r="L17" i="7"/>
  <c r="N17" i="7" s="1"/>
  <c r="G18" i="7"/>
  <c r="C18" i="7"/>
  <c r="O18" i="7" s="1"/>
  <c r="O17" i="7"/>
  <c r="C18" i="6"/>
  <c r="P17" i="7" l="1"/>
  <c r="H17" i="6"/>
  <c r="I17" i="6" s="1"/>
  <c r="K17" i="6" s="1"/>
  <c r="K20" i="6" s="1"/>
  <c r="N18" i="7"/>
  <c r="P18" i="7" s="1"/>
  <c r="B30" i="21"/>
  <c r="B32" i="21" s="1"/>
  <c r="R50" i="7"/>
  <c r="R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SABYASACHI RATHORE</author>
    <author>Admin</author>
    <author>aarushi</author>
  </authors>
  <commentList>
    <comment ref="E3" authorId="0" shapeId="0" xr:uid="{3E2B8660-9D02-48D6-BA68-10D7C1A84A41}">
      <text>
        <r>
          <rPr>
            <b/>
            <sz val="9"/>
            <color indexed="81"/>
            <rFont val="Tahoma"/>
            <family val="2"/>
          </rPr>
          <t>Market Equity/(Market Equity+Market Debt)</t>
        </r>
      </text>
    </comment>
    <comment ref="E4" authorId="0" shapeId="0" xr:uid="{D5DB387D-BFB0-4667-B66C-8C7E81A0E2A2}">
      <text>
        <r>
          <rPr>
            <b/>
            <sz val="9"/>
            <color indexed="81"/>
            <rFont val="Tahoma"/>
            <family val="2"/>
          </rPr>
          <t>Market Debt/(Market Equity+Market Debt)</t>
        </r>
      </text>
    </comment>
    <comment ref="B5" authorId="1" shapeId="0" xr:uid="{0D068E35-719B-4F26-9DF3-EFEE8BD9F33A}">
      <text>
        <r>
          <rPr>
            <sz val="9"/>
            <color indexed="81"/>
            <rFont val="Tahoma"/>
            <family val="2"/>
          </rPr>
          <t xml:space="preserve">current stock price*number of shares
</t>
        </r>
      </text>
    </comment>
    <comment ref="B7" authorId="0" shapeId="0" xr:uid="{0514A98D-BCB4-45F6-9721-2528324CB298}">
      <text>
        <r>
          <rPr>
            <b/>
            <sz val="9"/>
            <color indexed="81"/>
            <rFont val="Tahoma"/>
            <family val="2"/>
          </rPr>
          <t xml:space="preserve">Assumed
</t>
        </r>
      </text>
    </comment>
    <comment ref="B8" authorId="0" shapeId="0" xr:uid="{95861FC9-581E-467C-8CBE-E2FC2D3B40C4}">
      <text>
        <r>
          <rPr>
            <b/>
            <sz val="9"/>
            <color indexed="81"/>
            <rFont val="Tahoma"/>
            <family val="2"/>
          </rPr>
          <t>Assumed</t>
        </r>
      </text>
    </comment>
    <comment ref="B24" authorId="2" shapeId="0" xr:uid="{00000000-0006-0000-0100-000001000000}">
      <text>
        <r>
          <rPr>
            <sz val="9"/>
            <color indexed="81"/>
            <rFont val="Tahoma"/>
            <family val="2"/>
          </rPr>
          <t xml:space="preserve">Assumption
</t>
        </r>
      </text>
    </comment>
  </commentList>
</comments>
</file>

<file path=xl/sharedStrings.xml><?xml version="1.0" encoding="utf-8"?>
<sst xmlns="http://schemas.openxmlformats.org/spreadsheetml/2006/main" count="252" uniqueCount="103">
  <si>
    <t>Accounts payable</t>
  </si>
  <si>
    <t>Revenues</t>
  </si>
  <si>
    <t>Cost Cutting</t>
  </si>
  <si>
    <t>Advertising</t>
  </si>
  <si>
    <t xml:space="preserve">Additional Server </t>
  </si>
  <si>
    <t>International Subscriptions</t>
  </si>
  <si>
    <t>R&amp;D</t>
  </si>
  <si>
    <t>Interest</t>
  </si>
  <si>
    <t>Inflation</t>
  </si>
  <si>
    <t>Outflows</t>
  </si>
  <si>
    <t>Inflows</t>
  </si>
  <si>
    <t>Expense</t>
  </si>
  <si>
    <t>G&amp;A Year 2-10</t>
  </si>
  <si>
    <t>G&amp;A Year 1</t>
  </si>
  <si>
    <t>8% Over 9 years</t>
  </si>
  <si>
    <t>Depreciable to 200M</t>
  </si>
  <si>
    <t>NEW STUDIO</t>
  </si>
  <si>
    <t xml:space="preserve">Inflation Rate </t>
  </si>
  <si>
    <t>Cost of Capital</t>
  </si>
  <si>
    <t>Current Users</t>
  </si>
  <si>
    <t>Total PV</t>
  </si>
  <si>
    <t>Discounted Value</t>
  </si>
  <si>
    <t>Discounting factor</t>
  </si>
  <si>
    <t>Total cashflows</t>
  </si>
  <si>
    <t>Additional Server</t>
  </si>
  <si>
    <t>International Servicing</t>
  </si>
  <si>
    <t>Time</t>
  </si>
  <si>
    <t>Discounted value</t>
  </si>
  <si>
    <t>Tax Deducted Cashflow</t>
  </si>
  <si>
    <t>Cost cutting</t>
  </si>
  <si>
    <t>WACC</t>
  </si>
  <si>
    <t>Net Present Value of 10 years</t>
  </si>
  <si>
    <t>Net Present Value of 20 years</t>
  </si>
  <si>
    <t>TOTAL</t>
  </si>
  <si>
    <t>Time required to reach the server limit</t>
  </si>
  <si>
    <t>30M</t>
  </si>
  <si>
    <t>45.15M</t>
  </si>
  <si>
    <t>Cost of debt</t>
  </si>
  <si>
    <t xml:space="preserve">Accounts receivable </t>
  </si>
  <si>
    <t>Inventory</t>
  </si>
  <si>
    <t>Year</t>
  </si>
  <si>
    <t>Cost of equity</t>
  </si>
  <si>
    <t>Market value of the firm's debt</t>
  </si>
  <si>
    <t>Net cost of debt</t>
  </si>
  <si>
    <t>Market value of the firm's equity(E)</t>
  </si>
  <si>
    <t>% of equity</t>
  </si>
  <si>
    <t>% of debt</t>
  </si>
  <si>
    <t>Years</t>
  </si>
  <si>
    <t>Lease Amount</t>
  </si>
  <si>
    <t>Content  Amount</t>
  </si>
  <si>
    <t>Assumption - Lease Payment is made at the beginning of the year</t>
  </si>
  <si>
    <t>Assumption - ContentPayment is made at the end of the year</t>
  </si>
  <si>
    <t>EXPENSES</t>
  </si>
  <si>
    <t>Total Expenses</t>
  </si>
  <si>
    <t>Cash flows for 10 years</t>
  </si>
  <si>
    <t xml:space="preserve">Total PV </t>
  </si>
  <si>
    <t>INCOME</t>
  </si>
  <si>
    <t>Number of shares</t>
  </si>
  <si>
    <t>Current stock price</t>
  </si>
  <si>
    <t>Corporate Tax rate (Tc)</t>
  </si>
  <si>
    <t>The percentage of equity and is debt is assumed because Cost of Captial = Cost of equity + Cost of debt</t>
  </si>
  <si>
    <t xml:space="preserve">Time </t>
  </si>
  <si>
    <t>Total Income</t>
  </si>
  <si>
    <t>Working Capital</t>
  </si>
  <si>
    <t>Total Service Cost</t>
  </si>
  <si>
    <t>Working Capital at the start of the year</t>
  </si>
  <si>
    <t>Discounting Factor</t>
  </si>
  <si>
    <t>Working Capital rate</t>
  </si>
  <si>
    <t>Server Price (in millions)</t>
  </si>
  <si>
    <t>IRR More than 10</t>
  </si>
  <si>
    <t>NPV More than 10</t>
  </si>
  <si>
    <t>IRR 10</t>
  </si>
  <si>
    <t>NPV 10</t>
  </si>
  <si>
    <t>NOTE</t>
  </si>
  <si>
    <t>ALL VALUES IN THIS DOCUMENT ARE IN MILLION</t>
  </si>
  <si>
    <t>International Serving</t>
  </si>
  <si>
    <t>Server Price after 4.3 years</t>
  </si>
  <si>
    <t>Server Price after 5.3 years</t>
  </si>
  <si>
    <t>Alternium Usage</t>
  </si>
  <si>
    <t>Alternium Capacity</t>
  </si>
  <si>
    <t>With New Alternium- 4 years 4 months</t>
  </si>
  <si>
    <t>Without New Alternium- 5 years 4 months</t>
  </si>
  <si>
    <t>With New Alternium</t>
  </si>
  <si>
    <t>Without New Alternium</t>
  </si>
  <si>
    <t>US and Russia Servicing</t>
  </si>
  <si>
    <t>Alternium Subscription</t>
  </si>
  <si>
    <t>Alternium Servicing</t>
  </si>
  <si>
    <t>US and Formula Servicing</t>
  </si>
  <si>
    <t>US and Russia Subscription</t>
  </si>
  <si>
    <t>Alternium  Subscription</t>
  </si>
  <si>
    <t>New Alternium</t>
  </si>
  <si>
    <t>US and Russia  Servicing</t>
  </si>
  <si>
    <t xml:space="preserve">New Alternium </t>
  </si>
  <si>
    <t>Alternium  Servicing</t>
  </si>
  <si>
    <t>TABLE 2 (Without New Alternium Cash Flows)</t>
  </si>
  <si>
    <t>TABLE 1 (With New Alternium  Cash flows)</t>
  </si>
  <si>
    <t>International Participants Growth Percentage</t>
  </si>
  <si>
    <t>US and Russia Participants</t>
  </si>
  <si>
    <t>International Participants</t>
  </si>
  <si>
    <t>Alternium Participants</t>
  </si>
  <si>
    <t>Alterium Participants</t>
  </si>
  <si>
    <t>Alternium  Participants</t>
  </si>
  <si>
    <t>Cash flows more than 20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</si>
</sst>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_-[$$-409]* #,##0.00_ ;_-[$$-409]* \-#,##0.00\ ;_-[$$-409]* &quot;-&quot;??_ ;_-@_ "/>
    <numFmt numFmtId="165" formatCode="_([$$-409]* #,##0.00_);_([$$-409]* \(#,##0.00\);_([$$-409]* &quot;-&quot;??_);_(@_)"/>
    <numFmt numFmtId="166" formatCode="0.0000000%"/>
    <numFmt numFmtId="167" formatCode="0.0000%"/>
    <numFmt numFmtId="168" formatCode="0.0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</cellStyleXfs>
  <cellXfs count="52">
    <xf numFmtId="0" fontId="0" fillId="0" borderId="0" xfId="0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9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1" applyNumberFormat="1" applyFont="1" applyFill="1" applyBorder="1"/>
    <xf numFmtId="0" fontId="1" fillId="4" borderId="1" xfId="0" applyFont="1" applyFill="1" applyBorder="1"/>
    <xf numFmtId="0" fontId="1" fillId="0" borderId="0" xfId="0" applyFont="1" applyAlignment="1">
      <alignment horizontal="center"/>
    </xf>
    <xf numFmtId="0" fontId="1" fillId="5" borderId="1" xfId="0" applyFont="1" applyFill="1" applyBorder="1"/>
    <xf numFmtId="0" fontId="1" fillId="6" borderId="0" xfId="0" applyFont="1" applyFill="1"/>
    <xf numFmtId="164" fontId="1" fillId="2" borderId="1" xfId="0" applyNumberFormat="1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0" fontId="1" fillId="0" borderId="0" xfId="0" applyFont="1" applyAlignment="1"/>
    <xf numFmtId="164" fontId="1" fillId="0" borderId="1" xfId="0" applyNumberFormat="1" applyFont="1" applyBorder="1"/>
    <xf numFmtId="10" fontId="1" fillId="8" borderId="1" xfId="0" applyNumberFormat="1" applyFont="1" applyFill="1" applyBorder="1"/>
    <xf numFmtId="0" fontId="1" fillId="6" borderId="1" xfId="0" applyFont="1" applyFill="1" applyBorder="1"/>
    <xf numFmtId="165" fontId="1" fillId="10" borderId="1" xfId="0" applyNumberFormat="1" applyFont="1" applyFill="1" applyBorder="1"/>
    <xf numFmtId="165" fontId="1" fillId="9" borderId="1" xfId="0" applyNumberFormat="1" applyFont="1" applyFill="1" applyBorder="1"/>
    <xf numFmtId="0" fontId="8" fillId="1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68" fontId="1" fillId="7" borderId="1" xfId="0" applyNumberFormat="1" applyFont="1" applyFill="1" applyBorder="1"/>
    <xf numFmtId="0" fontId="1" fillId="13" borderId="1" xfId="3" applyFont="1" applyBorder="1"/>
    <xf numFmtId="10" fontId="1" fillId="13" borderId="1" xfId="3" applyNumberFormat="1" applyFont="1" applyBorder="1"/>
    <xf numFmtId="0" fontId="5" fillId="0" borderId="1" xfId="0" applyFont="1" applyBorder="1"/>
    <xf numFmtId="0" fontId="11" fillId="0" borderId="1" xfId="0" applyFont="1" applyBorder="1"/>
    <xf numFmtId="9" fontId="0" fillId="0" borderId="1" xfId="0" applyNumberFormat="1" applyBorder="1"/>
    <xf numFmtId="9" fontId="5" fillId="0" borderId="1" xfId="0" applyNumberFormat="1" applyFont="1" applyBorder="1"/>
    <xf numFmtId="167" fontId="0" fillId="0" borderId="1" xfId="0" applyNumberFormat="1" applyBorder="1"/>
    <xf numFmtId="166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right"/>
    </xf>
    <xf numFmtId="0" fontId="1" fillId="7" borderId="6" xfId="0" applyFont="1" applyFill="1" applyBorder="1" applyAlignment="1"/>
    <xf numFmtId="2" fontId="0" fillId="0" borderId="1" xfId="0" applyNumberFormat="1" applyBorder="1"/>
    <xf numFmtId="10" fontId="1" fillId="0" borderId="1" xfId="0" applyNumberFormat="1" applyFont="1" applyBorder="1"/>
    <xf numFmtId="0" fontId="1" fillId="0" borderId="0" xfId="0" applyFont="1" applyBorder="1"/>
    <xf numFmtId="0" fontId="0" fillId="0" borderId="0" xfId="0" applyBorder="1"/>
    <xf numFmtId="0" fontId="4" fillId="0" borderId="1" xfId="0" applyFont="1" applyBorder="1" applyAlignment="1">
      <alignment vertical="center" wrapText="1"/>
    </xf>
    <xf numFmtId="167" fontId="1" fillId="0" borderId="1" xfId="2" applyNumberFormat="1" applyFont="1" applyBorder="1"/>
    <xf numFmtId="0" fontId="1" fillId="7" borderId="6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</cellXfs>
  <cellStyles count="4">
    <cellStyle name="20% - Accent4" xfId="3" builtinId="42"/>
    <cellStyle name="Currency" xfId="1" builtinId="4"/>
    <cellStyle name="Normal" xfId="0" builtinId="0"/>
    <cellStyle name="Percent" xfId="2" builtinId="5"/>
  </cellStyles>
  <dxfs count="4"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F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Working Capital"/>
      <sheetName val="Debt"/>
      <sheetName val="Income (without studio)"/>
      <sheetName val="Expense (without studio)"/>
      <sheetName val="Net Present Value"/>
      <sheetName val="Income (with studio)"/>
      <sheetName val="Expense (with studio)"/>
      <sheetName val="Net Present Value "/>
      <sheetName val="IRR Calculation"/>
      <sheetName val="Sensitivity Analysis 1"/>
      <sheetName val="Sensitivity Analysis 2"/>
      <sheetName val="Sensitivity Analysis 3"/>
      <sheetName val="Financial data analysis"/>
      <sheetName val="Business Valuation"/>
      <sheetName val="Income (with studio) (2)"/>
      <sheetName val=""/>
      <sheetName val="Expense (with studio) (2)"/>
    </sheetNames>
    <sheetDataSet>
      <sheetData sheetId="0" refreshError="1">
        <row r="2">
          <cell r="B2">
            <v>1.4999999999999999E-2</v>
          </cell>
        </row>
        <row r="3">
          <cell r="B3">
            <v>1.25E-3</v>
          </cell>
        </row>
        <row r="4">
          <cell r="B4">
            <v>0.1009</v>
          </cell>
        </row>
        <row r="8">
          <cell r="E8">
            <v>600</v>
          </cell>
        </row>
      </sheetData>
      <sheetData sheetId="1" refreshError="1">
        <row r="24">
          <cell r="B24">
            <v>0.115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0:E33" totalsRowShown="0" headerRowDxfId="3">
  <autoFilter ref="A20:E33" xr:uid="{00000000-0009-0000-0100-000001000000}"/>
  <tableColumns count="5">
    <tableColumn id="1" xr3:uid="{00000000-0010-0000-0000-000001000000}" name="Expense"/>
    <tableColumn id="2" xr3:uid="{00000000-0010-0000-0000-000002000000}" name="Inflows"/>
    <tableColumn id="3" xr3:uid="{00000000-0010-0000-0000-000003000000}" name="Outflows"/>
    <tableColumn id="4" xr3:uid="{00000000-0010-0000-0000-000004000000}" name="Inflation"/>
    <tableColumn id="5" xr3:uid="{00000000-0010-0000-0000-000005000000}" name="Interest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2459" displayName="Table2459" ref="A39:E47" totalsRowShown="0" headerRowDxfId="1">
  <autoFilter ref="A39:E47" xr:uid="{00000000-0009-0000-0100-000006000000}"/>
  <tableColumns count="5">
    <tableColumn id="1" xr3:uid="{00000000-0010-0000-0100-000001000000}" name="Expense"/>
    <tableColumn id="2" xr3:uid="{00000000-0010-0000-0100-000002000000}" name="Inflows"/>
    <tableColumn id="3" xr3:uid="{00000000-0010-0000-0100-000003000000}" name="Outflows"/>
    <tableColumn id="4" xr3:uid="{00000000-0010-0000-0100-000004000000}" name="Inflation"/>
    <tableColumn id="5" xr3:uid="{00000000-0010-0000-0100-000005000000}" name="Intere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7"/>
  <sheetViews>
    <sheetView tabSelected="1" zoomScale="85" zoomScaleNormal="85" workbookViewId="0">
      <selection activeCell="F20" sqref="F20"/>
    </sheetView>
  </sheetViews>
  <sheetFormatPr defaultRowHeight="14.4" x14ac:dyDescent="0.3"/>
  <cols>
    <col min="1" max="1" width="37.6640625" bestFit="1" customWidth="1"/>
    <col min="2" max="2" width="41.21875" customWidth="1"/>
    <col min="3" max="3" width="28.88671875" customWidth="1"/>
    <col min="4" max="4" width="31.109375" customWidth="1"/>
    <col min="5" max="5" width="49.33203125" customWidth="1"/>
    <col min="6" max="6" width="44.88671875" customWidth="1"/>
    <col min="7" max="7" width="21" customWidth="1"/>
    <col min="8" max="8" width="25.33203125" customWidth="1"/>
    <col min="9" max="9" width="27.5546875" customWidth="1"/>
    <col min="10" max="10" width="16.5546875" customWidth="1"/>
  </cols>
  <sheetData>
    <row r="2" spans="1:9" x14ac:dyDescent="0.3">
      <c r="B2" s="1"/>
      <c r="D2" s="49" t="s">
        <v>96</v>
      </c>
      <c r="E2" s="49"/>
      <c r="I2" s="22"/>
    </row>
    <row r="3" spans="1:9" x14ac:dyDescent="0.3">
      <c r="A3" s="9" t="s">
        <v>17</v>
      </c>
      <c r="B3" s="40">
        <v>1.4999999999999999E-2</v>
      </c>
      <c r="D3" s="9" t="s">
        <v>82</v>
      </c>
      <c r="E3" s="36">
        <v>0.1</v>
      </c>
    </row>
    <row r="4" spans="1:9" x14ac:dyDescent="0.3">
      <c r="A4" s="9" t="s">
        <v>18</v>
      </c>
      <c r="B4" s="40">
        <v>0.11</v>
      </c>
      <c r="D4" s="9" t="s">
        <v>83</v>
      </c>
      <c r="E4" s="36">
        <v>0.08</v>
      </c>
    </row>
    <row r="5" spans="1:9" x14ac:dyDescent="0.3">
      <c r="A5" s="9" t="s">
        <v>19</v>
      </c>
      <c r="B5" s="41" t="s">
        <v>35</v>
      </c>
    </row>
    <row r="6" spans="1:9" x14ac:dyDescent="0.3">
      <c r="A6" s="9" t="s">
        <v>78</v>
      </c>
      <c r="B6" s="36">
        <v>0.65</v>
      </c>
    </row>
    <row r="7" spans="1:9" x14ac:dyDescent="0.3">
      <c r="A7" s="9" t="s">
        <v>19</v>
      </c>
      <c r="B7" s="41" t="s">
        <v>35</v>
      </c>
    </row>
    <row r="8" spans="1:9" x14ac:dyDescent="0.3">
      <c r="A8" s="9" t="s">
        <v>78</v>
      </c>
      <c r="B8" s="36">
        <v>0.65</v>
      </c>
      <c r="D8" s="42" t="s">
        <v>68</v>
      </c>
      <c r="E8" s="22">
        <v>600</v>
      </c>
    </row>
    <row r="9" spans="1:9" x14ac:dyDescent="0.3">
      <c r="A9" s="9" t="s">
        <v>79</v>
      </c>
      <c r="B9" s="41" t="s">
        <v>36</v>
      </c>
      <c r="D9" s="9" t="s">
        <v>76</v>
      </c>
      <c r="E9" s="43">
        <f>sp*(1+Annual_Inf)^B13</f>
        <v>639.66889373380786</v>
      </c>
    </row>
    <row r="10" spans="1:9" x14ac:dyDescent="0.3">
      <c r="B10" s="5"/>
      <c r="D10" s="9" t="s">
        <v>77</v>
      </c>
      <c r="E10" s="43">
        <f>sp*(1+Annual_Inf)^B14</f>
        <v>649.26392713981488</v>
      </c>
    </row>
    <row r="12" spans="1:9" x14ac:dyDescent="0.3">
      <c r="A12" s="49" t="s">
        <v>34</v>
      </c>
      <c r="B12" s="49"/>
    </row>
    <row r="13" spans="1:9" x14ac:dyDescent="0.3">
      <c r="A13" s="9" t="s">
        <v>80</v>
      </c>
      <c r="B13" s="11">
        <v>4.3</v>
      </c>
    </row>
    <row r="14" spans="1:9" ht="15" thickBot="1" x14ac:dyDescent="0.35">
      <c r="A14" s="9" t="s">
        <v>81</v>
      </c>
      <c r="B14" s="11">
        <v>5.3</v>
      </c>
    </row>
    <row r="15" spans="1:9" ht="37.200000000000003" thickBot="1" x14ac:dyDescent="0.75">
      <c r="D15" s="28" t="s">
        <v>73</v>
      </c>
      <c r="E15" s="50" t="s">
        <v>74</v>
      </c>
      <c r="F15" s="51"/>
    </row>
    <row r="18" spans="1:10" x14ac:dyDescent="0.3">
      <c r="B18" s="13" t="s">
        <v>95</v>
      </c>
    </row>
    <row r="20" spans="1:10" x14ac:dyDescent="0.3">
      <c r="A20" s="7" t="s">
        <v>11</v>
      </c>
      <c r="B20" s="7" t="s">
        <v>10</v>
      </c>
      <c r="C20" s="7" t="s">
        <v>9</v>
      </c>
      <c r="D20" s="7" t="s">
        <v>8</v>
      </c>
      <c r="E20" s="7" t="s">
        <v>7</v>
      </c>
      <c r="F20" s="30"/>
    </row>
    <row r="21" spans="1:10" x14ac:dyDescent="0.3">
      <c r="A21" t="s">
        <v>6</v>
      </c>
      <c r="C21" s="2">
        <v>150</v>
      </c>
    </row>
    <row r="22" spans="1:10" x14ac:dyDescent="0.3">
      <c r="A22" t="s">
        <v>16</v>
      </c>
      <c r="C22" s="2">
        <v>1000</v>
      </c>
      <c r="E22" t="s">
        <v>15</v>
      </c>
    </row>
    <row r="23" spans="1:10" x14ac:dyDescent="0.3">
      <c r="A23" t="s">
        <v>97</v>
      </c>
      <c r="B23" s="2">
        <v>4500</v>
      </c>
      <c r="C23" s="2"/>
      <c r="E23" s="5">
        <v>0.05</v>
      </c>
    </row>
    <row r="24" spans="1:10" x14ac:dyDescent="0.3">
      <c r="A24" t="s">
        <v>98</v>
      </c>
      <c r="B24" s="2">
        <v>3000</v>
      </c>
      <c r="C24" s="2"/>
      <c r="E24" s="5">
        <v>0.1</v>
      </c>
    </row>
    <row r="25" spans="1:10" x14ac:dyDescent="0.3">
      <c r="A25" t="s">
        <v>84</v>
      </c>
      <c r="B25" s="2"/>
      <c r="C25" s="2">
        <v>1620</v>
      </c>
      <c r="E25" s="5">
        <v>0.05</v>
      </c>
      <c r="J25" s="1"/>
    </row>
    <row r="26" spans="1:10" x14ac:dyDescent="0.3">
      <c r="A26" t="s">
        <v>75</v>
      </c>
      <c r="B26" s="2"/>
      <c r="C26" s="2">
        <v>1440</v>
      </c>
      <c r="E26" s="5">
        <v>0.1</v>
      </c>
      <c r="I26" s="4"/>
    </row>
    <row r="27" spans="1:10" x14ac:dyDescent="0.3">
      <c r="A27" t="s">
        <v>99</v>
      </c>
      <c r="B27" s="2">
        <v>250</v>
      </c>
      <c r="C27" s="2"/>
      <c r="E27" s="6" t="s">
        <v>14</v>
      </c>
      <c r="I27" s="4"/>
    </row>
    <row r="28" spans="1:10" x14ac:dyDescent="0.3">
      <c r="A28" t="s">
        <v>86</v>
      </c>
      <c r="B28" s="2"/>
      <c r="C28" s="2">
        <v>144</v>
      </c>
      <c r="E28" t="s">
        <v>14</v>
      </c>
    </row>
    <row r="29" spans="1:10" x14ac:dyDescent="0.3">
      <c r="A29" t="s">
        <v>4</v>
      </c>
      <c r="B29" s="2"/>
      <c r="C29" s="2">
        <v>600</v>
      </c>
      <c r="D29" s="1">
        <v>1.4999999999999999E-2</v>
      </c>
    </row>
    <row r="30" spans="1:10" x14ac:dyDescent="0.3">
      <c r="A30" t="s">
        <v>13</v>
      </c>
      <c r="B30" s="2"/>
      <c r="C30" s="2">
        <v>40</v>
      </c>
      <c r="E30" s="5">
        <v>0.05</v>
      </c>
    </row>
    <row r="31" spans="1:10" x14ac:dyDescent="0.3">
      <c r="A31" t="s">
        <v>12</v>
      </c>
      <c r="B31" s="2"/>
      <c r="C31" s="2">
        <v>46</v>
      </c>
      <c r="E31" s="5">
        <v>0.1</v>
      </c>
    </row>
    <row r="32" spans="1:10" x14ac:dyDescent="0.3">
      <c r="A32" t="s">
        <v>3</v>
      </c>
      <c r="B32" s="2"/>
      <c r="C32" s="2">
        <v>575</v>
      </c>
      <c r="E32" s="5">
        <v>0.05</v>
      </c>
    </row>
    <row r="33" spans="1:5" x14ac:dyDescent="0.3">
      <c r="A33" t="s">
        <v>2</v>
      </c>
      <c r="B33" s="2">
        <v>30</v>
      </c>
      <c r="C33" s="2"/>
      <c r="E33" s="5">
        <v>0.03</v>
      </c>
    </row>
    <row r="36" spans="1:5" x14ac:dyDescent="0.3">
      <c r="B36" s="13" t="s">
        <v>94</v>
      </c>
    </row>
    <row r="39" spans="1:5" x14ac:dyDescent="0.3">
      <c r="A39" s="16" t="s">
        <v>11</v>
      </c>
      <c r="B39" s="16" t="s">
        <v>10</v>
      </c>
      <c r="C39" s="16" t="s">
        <v>9</v>
      </c>
      <c r="D39" s="16" t="s">
        <v>8</v>
      </c>
      <c r="E39" s="16" t="s">
        <v>7</v>
      </c>
    </row>
    <row r="40" spans="1:5" x14ac:dyDescent="0.3">
      <c r="A40" t="s">
        <v>6</v>
      </c>
      <c r="C40" s="2">
        <v>150</v>
      </c>
    </row>
    <row r="41" spans="1:5" x14ac:dyDescent="0.3">
      <c r="A41" t="s">
        <v>97</v>
      </c>
      <c r="B41" s="2">
        <v>4500</v>
      </c>
      <c r="E41" s="5">
        <v>0.05</v>
      </c>
    </row>
    <row r="42" spans="1:5" x14ac:dyDescent="0.3">
      <c r="A42" t="s">
        <v>98</v>
      </c>
      <c r="B42" s="2">
        <v>3000</v>
      </c>
      <c r="E42" s="5">
        <v>0.08</v>
      </c>
    </row>
    <row r="43" spans="1:5" x14ac:dyDescent="0.3">
      <c r="A43" t="s">
        <v>87</v>
      </c>
      <c r="C43" s="2">
        <v>1620</v>
      </c>
      <c r="E43" s="5">
        <v>0.05</v>
      </c>
    </row>
    <row r="44" spans="1:5" x14ac:dyDescent="0.3">
      <c r="A44" t="s">
        <v>25</v>
      </c>
      <c r="C44" s="2">
        <v>1440</v>
      </c>
      <c r="E44" s="5">
        <v>0.08</v>
      </c>
    </row>
    <row r="45" spans="1:5" x14ac:dyDescent="0.3">
      <c r="A45" t="s">
        <v>4</v>
      </c>
      <c r="C45" s="2">
        <v>600</v>
      </c>
      <c r="D45" s="1">
        <v>1.4999999999999999E-2</v>
      </c>
    </row>
    <row r="46" spans="1:5" x14ac:dyDescent="0.3">
      <c r="A46" t="s">
        <v>3</v>
      </c>
      <c r="C46" s="2">
        <v>500</v>
      </c>
      <c r="E46" s="5">
        <v>0.05</v>
      </c>
    </row>
    <row r="47" spans="1:5" x14ac:dyDescent="0.3">
      <c r="A47" t="s">
        <v>2</v>
      </c>
      <c r="B47" s="2">
        <v>30</v>
      </c>
      <c r="E47" s="5">
        <v>0.03</v>
      </c>
    </row>
  </sheetData>
  <mergeCells count="3">
    <mergeCell ref="A12:B12"/>
    <mergeCell ref="D2:E2"/>
    <mergeCell ref="E15:F15"/>
  </mergeCells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E52"/>
  <sheetViews>
    <sheetView zoomScale="92" zoomScaleNormal="92" workbookViewId="0">
      <selection activeCell="T24" sqref="T24"/>
    </sheetView>
  </sheetViews>
  <sheetFormatPr defaultRowHeight="14.4" x14ac:dyDescent="0.3"/>
  <cols>
    <col min="1" max="1" width="19" customWidth="1"/>
    <col min="2" max="2" width="9.6640625" customWidth="1"/>
    <col min="3" max="3" width="10.44140625" customWidth="1"/>
    <col min="4" max="4" width="26.6640625" customWidth="1"/>
    <col min="5" max="5" width="28.109375" bestFit="1" customWidth="1"/>
    <col min="6" max="6" width="23.6640625" customWidth="1"/>
    <col min="7" max="7" width="11.44140625" bestFit="1" customWidth="1"/>
    <col min="8" max="8" width="14.6640625" bestFit="1" customWidth="1"/>
    <col min="9" max="9" width="22" bestFit="1" customWidth="1"/>
    <col min="10" max="10" width="17.33203125" bestFit="1" customWidth="1"/>
    <col min="11" max="11" width="16.44140625" bestFit="1" customWidth="1"/>
    <col min="12" max="12" width="17" bestFit="1" customWidth="1"/>
    <col min="13" max="13" width="20.33203125" customWidth="1"/>
    <col min="15" max="15" width="21.109375" customWidth="1"/>
    <col min="16" max="16" width="18.109375" customWidth="1"/>
    <col min="17" max="17" width="10.44140625" customWidth="1"/>
    <col min="18" max="18" width="18.109375" customWidth="1"/>
    <col min="19" max="19" width="22.88671875" customWidth="1"/>
    <col min="20" max="20" width="28.109375" bestFit="1" customWidth="1"/>
    <col min="21" max="21" width="19.44140625" customWidth="1"/>
    <col min="22" max="22" width="16.5546875" bestFit="1" customWidth="1"/>
    <col min="23" max="23" width="11.109375" bestFit="1" customWidth="1"/>
    <col min="24" max="24" width="14" bestFit="1" customWidth="1"/>
    <col min="25" max="25" width="11.109375" bestFit="1" customWidth="1"/>
    <col min="26" max="26" width="18.44140625" bestFit="1" customWidth="1"/>
    <col min="27" max="27" width="20.5546875" bestFit="1" customWidth="1"/>
    <col min="28" max="28" width="16.77734375" customWidth="1"/>
    <col min="29" max="29" width="16.33203125" customWidth="1"/>
    <col min="30" max="30" width="17.33203125" bestFit="1" customWidth="1"/>
    <col min="31" max="31" width="16.6640625" bestFit="1" customWidth="1"/>
    <col min="32" max="32" width="10.5546875" bestFit="1" customWidth="1"/>
  </cols>
  <sheetData>
    <row r="2" spans="1:30" x14ac:dyDescent="0.3">
      <c r="L2" s="9" t="s">
        <v>72</v>
      </c>
      <c r="M2" s="26">
        <f>K21-AC22</f>
        <v>15455.34423310266</v>
      </c>
      <c r="O2" s="9" t="s">
        <v>71</v>
      </c>
      <c r="P2" s="24">
        <v>0.19993226520964733</v>
      </c>
    </row>
    <row r="3" spans="1:30" x14ac:dyDescent="0.3">
      <c r="A3" s="32" t="s">
        <v>18</v>
      </c>
      <c r="B3" s="33">
        <f>11%</f>
        <v>0.11</v>
      </c>
      <c r="L3" s="9" t="s">
        <v>70</v>
      </c>
      <c r="M3" s="27">
        <f>K50-AE52</f>
        <v>27706.977686072525</v>
      </c>
      <c r="O3" s="9" t="s">
        <v>69</v>
      </c>
      <c r="P3" s="24">
        <v>0.16974700633201001</v>
      </c>
    </row>
    <row r="5" spans="1:30" x14ac:dyDescent="0.3">
      <c r="A5" s="13" t="s">
        <v>56</v>
      </c>
      <c r="E5" s="25" t="s">
        <v>54</v>
      </c>
      <c r="P5" s="13" t="s">
        <v>52</v>
      </c>
      <c r="T5" s="25" t="s">
        <v>54</v>
      </c>
    </row>
    <row r="7" spans="1:30" x14ac:dyDescent="0.3">
      <c r="C7" s="10" t="s">
        <v>26</v>
      </c>
      <c r="D7" s="10" t="s">
        <v>88</v>
      </c>
      <c r="E7" s="10" t="s">
        <v>5</v>
      </c>
      <c r="F7" s="10" t="s">
        <v>85</v>
      </c>
      <c r="G7" s="10" t="s">
        <v>29</v>
      </c>
      <c r="H7" s="10" t="s">
        <v>23</v>
      </c>
      <c r="I7" s="10" t="s">
        <v>28</v>
      </c>
      <c r="J7" s="10" t="s">
        <v>22</v>
      </c>
      <c r="K7" s="10" t="s">
        <v>27</v>
      </c>
    </row>
    <row r="8" spans="1:30" x14ac:dyDescent="0.3">
      <c r="P8" s="10" t="s">
        <v>26</v>
      </c>
      <c r="Q8" s="10" t="s">
        <v>6</v>
      </c>
      <c r="R8" s="10" t="s">
        <v>92</v>
      </c>
      <c r="S8" s="10" t="s">
        <v>91</v>
      </c>
      <c r="T8" s="10" t="s">
        <v>25</v>
      </c>
      <c r="U8" s="10" t="s">
        <v>93</v>
      </c>
      <c r="V8" s="10" t="s">
        <v>24</v>
      </c>
      <c r="W8" s="10" t="s">
        <v>13</v>
      </c>
      <c r="X8" s="10" t="s">
        <v>12</v>
      </c>
      <c r="Y8" s="10" t="s">
        <v>3</v>
      </c>
      <c r="Z8" s="10" t="s">
        <v>63</v>
      </c>
      <c r="AA8" s="10" t="s">
        <v>23</v>
      </c>
      <c r="AB8" s="10" t="s">
        <v>22</v>
      </c>
      <c r="AC8" s="10" t="s">
        <v>21</v>
      </c>
    </row>
    <row r="9" spans="1:30" x14ac:dyDescent="0.3">
      <c r="C9" s="11">
        <v>0</v>
      </c>
      <c r="D9" s="12">
        <v>4500</v>
      </c>
      <c r="E9" s="12">
        <v>3000</v>
      </c>
      <c r="F9" s="12">
        <v>250</v>
      </c>
      <c r="G9" s="12">
        <v>30</v>
      </c>
      <c r="H9" s="12">
        <f>SUM(D9:G9)</f>
        <v>7780</v>
      </c>
      <c r="I9" s="12">
        <f>H9-(H9*10%)</f>
        <v>7002</v>
      </c>
      <c r="J9" s="11">
        <f t="shared" ref="J9:J18" si="0">(1+$B$3)^-(C9)</f>
        <v>1</v>
      </c>
      <c r="K9" s="12">
        <f>J9*I9</f>
        <v>7002</v>
      </c>
    </row>
    <row r="10" spans="1:30" x14ac:dyDescent="0.3">
      <c r="C10" s="11">
        <v>1</v>
      </c>
      <c r="D10" s="12">
        <v>4635</v>
      </c>
      <c r="E10" s="12">
        <v>3240</v>
      </c>
      <c r="F10" s="12">
        <v>270</v>
      </c>
      <c r="G10" s="12">
        <f>G9+(G9*3%)</f>
        <v>30.9</v>
      </c>
      <c r="H10" s="12">
        <f t="shared" ref="H10:H18" si="1">SUM(D10:G10)</f>
        <v>8175.9</v>
      </c>
      <c r="I10" s="12">
        <f t="shared" ref="I10:I18" si="2">H10-(H10*10%)</f>
        <v>7358.3099999999995</v>
      </c>
      <c r="J10" s="11">
        <f t="shared" si="0"/>
        <v>0.9009009009009008</v>
      </c>
      <c r="K10" s="12">
        <f t="shared" ref="K10:K18" si="3">J10*I10</f>
        <v>6629.1081081081065</v>
      </c>
      <c r="P10" s="11">
        <v>0</v>
      </c>
      <c r="Q10" s="12">
        <v>150</v>
      </c>
      <c r="R10" s="12">
        <v>1000</v>
      </c>
      <c r="S10" s="12"/>
      <c r="T10" s="12"/>
      <c r="U10" s="12"/>
      <c r="V10" s="12"/>
      <c r="W10" s="12">
        <v>40</v>
      </c>
      <c r="X10" s="12"/>
      <c r="Y10" s="12">
        <v>575</v>
      </c>
      <c r="Z10" s="12">
        <v>16.560000000000002</v>
      </c>
      <c r="AA10" s="12">
        <v>4927.2681089917724</v>
      </c>
      <c r="AB10" s="11">
        <f t="shared" ref="AB10:AB20" si="4">(1+$B$3)^-(P10)</f>
        <v>1</v>
      </c>
      <c r="AC10" s="12">
        <f>AA10*AB10</f>
        <v>4927.2681089917724</v>
      </c>
      <c r="AD10" s="3"/>
    </row>
    <row r="11" spans="1:30" x14ac:dyDescent="0.3">
      <c r="C11" s="11">
        <v>2</v>
      </c>
      <c r="D11" s="12">
        <v>4774.05</v>
      </c>
      <c r="E11" s="12">
        <v>3499.2000000000003</v>
      </c>
      <c r="F11" s="12">
        <v>291.60000000000002</v>
      </c>
      <c r="G11" s="12">
        <f t="shared" ref="G11:G18" si="5">G10+(G10*3%)</f>
        <v>31.826999999999998</v>
      </c>
      <c r="H11" s="12">
        <f t="shared" si="1"/>
        <v>8596.6769999999997</v>
      </c>
      <c r="I11" s="12">
        <f t="shared" si="2"/>
        <v>7737.0092999999997</v>
      </c>
      <c r="J11" s="11">
        <f>(1+$B$3)^-(C11)</f>
        <v>0.8116224332440547</v>
      </c>
      <c r="K11" s="12">
        <f t="shared" si="3"/>
        <v>6279.5303140978804</v>
      </c>
      <c r="P11" s="11">
        <v>1</v>
      </c>
      <c r="Q11" s="12"/>
      <c r="R11" s="12"/>
      <c r="S11" s="12">
        <f>45*36</f>
        <v>1620</v>
      </c>
      <c r="T11" s="12">
        <f>30*48</f>
        <v>1440</v>
      </c>
      <c r="U11" s="12">
        <f>5*60%*48</f>
        <v>144</v>
      </c>
      <c r="V11" s="12"/>
      <c r="W11" s="12"/>
      <c r="X11" s="12">
        <v>46</v>
      </c>
      <c r="Y11" s="12">
        <v>603.75</v>
      </c>
      <c r="Z11" s="12">
        <v>16.339028601379162</v>
      </c>
      <c r="AA11" s="12">
        <v>7834.1161139205351</v>
      </c>
      <c r="AB11" s="11">
        <f t="shared" si="4"/>
        <v>0.9009009009009008</v>
      </c>
      <c r="AC11" s="12">
        <f>AA11*AB11</f>
        <v>7057.762264793274</v>
      </c>
      <c r="AD11" s="3"/>
    </row>
    <row r="12" spans="1:30" x14ac:dyDescent="0.3">
      <c r="C12" s="11">
        <v>3</v>
      </c>
      <c r="D12" s="12">
        <v>4917.2714999999998</v>
      </c>
      <c r="E12" s="12">
        <v>3779.1360000000004</v>
      </c>
      <c r="F12" s="12">
        <v>314.92800000000005</v>
      </c>
      <c r="G12" s="12">
        <f t="shared" si="5"/>
        <v>32.78181</v>
      </c>
      <c r="H12" s="12">
        <f t="shared" si="1"/>
        <v>9044.1173100000015</v>
      </c>
      <c r="I12" s="12">
        <f t="shared" si="2"/>
        <v>8139.7055790000013</v>
      </c>
      <c r="J12" s="11">
        <f t="shared" si="0"/>
        <v>0.73119138130095018</v>
      </c>
      <c r="K12" s="12">
        <f t="shared" si="3"/>
        <v>5951.6825656920619</v>
      </c>
      <c r="P12" s="11">
        <v>2</v>
      </c>
      <c r="Q12" s="12"/>
      <c r="R12" s="12"/>
      <c r="S12" s="12">
        <f>S11+(S11*5%)</f>
        <v>1701</v>
      </c>
      <c r="T12" s="12">
        <f>T11+(T11*10%)</f>
        <v>1584</v>
      </c>
      <c r="U12" s="12">
        <f>U11+(U11*8%)</f>
        <v>155.52000000000001</v>
      </c>
      <c r="V12" s="12"/>
      <c r="W12" s="12"/>
      <c r="X12" s="12">
        <v>50.6</v>
      </c>
      <c r="Y12" s="12">
        <v>633.9375</v>
      </c>
      <c r="Z12" s="12">
        <v>16.121005775162214</v>
      </c>
      <c r="AA12" s="12">
        <v>6127.2552566745053</v>
      </c>
      <c r="AB12" s="11">
        <f t="shared" si="4"/>
        <v>0.8116224332440547</v>
      </c>
      <c r="AC12" s="12">
        <f t="shared" ref="AC12:AC20" si="6">AA12*AB12</f>
        <v>4973.017820529587</v>
      </c>
      <c r="AD12" s="3"/>
    </row>
    <row r="13" spans="1:30" x14ac:dyDescent="0.3">
      <c r="C13" s="11">
        <v>4</v>
      </c>
      <c r="D13" s="12">
        <v>5064.7896449999998</v>
      </c>
      <c r="E13" s="12">
        <v>4081.4668800000009</v>
      </c>
      <c r="F13" s="12">
        <v>340.12224000000009</v>
      </c>
      <c r="G13" s="12">
        <f t="shared" si="5"/>
        <v>33.765264299999998</v>
      </c>
      <c r="H13" s="12">
        <f t="shared" si="1"/>
        <v>9520.1440293000014</v>
      </c>
      <c r="I13" s="12">
        <f t="shared" si="2"/>
        <v>8568.1296263700006</v>
      </c>
      <c r="J13" s="11">
        <f t="shared" si="0"/>
        <v>0.65873097414500015</v>
      </c>
      <c r="K13" s="12">
        <f t="shared" si="3"/>
        <v>5644.0923753793468</v>
      </c>
      <c r="P13" s="11">
        <v>3</v>
      </c>
      <c r="Q13" s="12"/>
      <c r="R13" s="12"/>
      <c r="S13" s="12">
        <f t="shared" ref="S13:S20" si="7">S12+(S12*5%)</f>
        <v>1786.05</v>
      </c>
      <c r="T13" s="12">
        <f t="shared" ref="T13:T20" si="8">T12+(T12*10%)</f>
        <v>1742.4</v>
      </c>
      <c r="U13" s="12">
        <f t="shared" ref="U13:U20" si="9">U12+(U12*8%)</f>
        <v>167.9616</v>
      </c>
      <c r="V13" s="12"/>
      <c r="W13" s="12"/>
      <c r="X13" s="12">
        <v>55.660000000000011</v>
      </c>
      <c r="Y13" s="12">
        <v>665.63437500000009</v>
      </c>
      <c r="Z13" s="12">
        <v>15.90589217653225</v>
      </c>
      <c r="AA13" s="12">
        <v>6176.2077713718991</v>
      </c>
      <c r="AB13" s="11">
        <f t="shared" si="4"/>
        <v>0.73119138130095018</v>
      </c>
      <c r="AC13" s="12">
        <f t="shared" si="6"/>
        <v>4515.9898915510821</v>
      </c>
      <c r="AD13" s="3"/>
    </row>
    <row r="14" spans="1:30" x14ac:dyDescent="0.3">
      <c r="C14" s="11">
        <v>5</v>
      </c>
      <c r="D14" s="12">
        <v>5216.7333343499995</v>
      </c>
      <c r="E14" s="12">
        <v>4407.9842304000013</v>
      </c>
      <c r="F14" s="12">
        <v>367.3320192000001</v>
      </c>
      <c r="G14" s="12">
        <f t="shared" si="5"/>
        <v>34.778222229000001</v>
      </c>
      <c r="H14" s="12">
        <f t="shared" si="1"/>
        <v>10026.827806179001</v>
      </c>
      <c r="I14" s="12">
        <f t="shared" si="2"/>
        <v>9024.1450255610998</v>
      </c>
      <c r="J14" s="11">
        <f t="shared" si="0"/>
        <v>0.5934513280585586</v>
      </c>
      <c r="K14" s="12">
        <f t="shared" si="3"/>
        <v>5355.3908500122698</v>
      </c>
      <c r="P14" s="11">
        <v>4</v>
      </c>
      <c r="Q14" s="12"/>
      <c r="R14" s="12"/>
      <c r="S14" s="12">
        <f t="shared" si="7"/>
        <v>1875.3525</v>
      </c>
      <c r="T14" s="12">
        <f t="shared" si="8"/>
        <v>1916.64</v>
      </c>
      <c r="U14" s="12">
        <f t="shared" si="9"/>
        <v>181.398528</v>
      </c>
      <c r="V14" s="12"/>
      <c r="W14" s="12"/>
      <c r="X14" s="12">
        <v>61.22600000000002</v>
      </c>
      <c r="Y14" s="12">
        <v>698.91609374999996</v>
      </c>
      <c r="Z14" s="12">
        <v>15.693648985677143</v>
      </c>
      <c r="AA14" s="12">
        <v>4862.2862172327395</v>
      </c>
      <c r="AB14" s="11">
        <f t="shared" si="4"/>
        <v>0.65873097414500015</v>
      </c>
      <c r="AC14" s="12">
        <f t="shared" si="6"/>
        <v>3202.9385364495301</v>
      </c>
      <c r="AD14" s="3"/>
    </row>
    <row r="15" spans="1:30" x14ac:dyDescent="0.3">
      <c r="C15" s="11">
        <v>6</v>
      </c>
      <c r="D15" s="12">
        <v>5373.2353343804998</v>
      </c>
      <c r="E15" s="12">
        <v>4760.6229688320018</v>
      </c>
      <c r="F15" s="12">
        <v>396.71858073600015</v>
      </c>
      <c r="G15" s="12">
        <f t="shared" si="5"/>
        <v>35.821568895870001</v>
      </c>
      <c r="H15" s="12">
        <f t="shared" si="1"/>
        <v>10566.398452844373</v>
      </c>
      <c r="I15" s="12">
        <f t="shared" si="2"/>
        <v>9509.7586075599356</v>
      </c>
      <c r="J15" s="11">
        <f t="shared" si="0"/>
        <v>0.53464083608879154</v>
      </c>
      <c r="K15" s="12">
        <f t="shared" si="3"/>
        <v>5084.3052929484256</v>
      </c>
      <c r="P15" s="11">
        <v>5</v>
      </c>
      <c r="Q15" s="12"/>
      <c r="R15" s="12"/>
      <c r="S15" s="12">
        <f t="shared" si="7"/>
        <v>1969.1201249999999</v>
      </c>
      <c r="T15" s="12">
        <f t="shared" si="8"/>
        <v>2108.3040000000001</v>
      </c>
      <c r="U15" s="12">
        <f t="shared" si="9"/>
        <v>195.91041024</v>
      </c>
      <c r="V15" s="12">
        <v>639.66999999999996</v>
      </c>
      <c r="W15" s="12"/>
      <c r="X15" s="12">
        <v>67.348600000000019</v>
      </c>
      <c r="Y15" s="12">
        <v>733.86189843750003</v>
      </c>
      <c r="Z15" s="12">
        <v>15.48423790078405</v>
      </c>
      <c r="AA15" s="12">
        <v>5736.4480411477498</v>
      </c>
      <c r="AB15" s="11">
        <f t="shared" si="4"/>
        <v>0.5934513280585586</v>
      </c>
      <c r="AC15" s="12">
        <f t="shared" si="6"/>
        <v>3404.3027083580491</v>
      </c>
      <c r="AD15" s="3"/>
    </row>
    <row r="16" spans="1:30" x14ac:dyDescent="0.3">
      <c r="C16" s="11">
        <v>7</v>
      </c>
      <c r="D16" s="12">
        <v>5534.4323944119151</v>
      </c>
      <c r="E16" s="12">
        <v>5141.4728063385619</v>
      </c>
      <c r="F16" s="12">
        <v>428.45606719488018</v>
      </c>
      <c r="G16" s="12">
        <f t="shared" si="5"/>
        <v>36.896215962746098</v>
      </c>
      <c r="H16" s="12">
        <f t="shared" si="1"/>
        <v>11141.257483908103</v>
      </c>
      <c r="I16" s="12">
        <f t="shared" si="2"/>
        <v>10027.131735517292</v>
      </c>
      <c r="J16" s="11">
        <f t="shared" si="0"/>
        <v>0.48165841089080319</v>
      </c>
      <c r="K16" s="12">
        <f t="shared" si="3"/>
        <v>4829.6523375220004</v>
      </c>
      <c r="P16" s="11">
        <v>6</v>
      </c>
      <c r="Q16" s="12"/>
      <c r="R16" s="12"/>
      <c r="S16" s="12">
        <f t="shared" si="7"/>
        <v>2067.5761312499999</v>
      </c>
      <c r="T16" s="12">
        <f t="shared" si="8"/>
        <v>2319.1343999999999</v>
      </c>
      <c r="U16" s="12">
        <f t="shared" si="9"/>
        <v>211.58324305920002</v>
      </c>
      <c r="V16" s="12"/>
      <c r="W16" s="12"/>
      <c r="X16" s="12">
        <v>74.083460000000031</v>
      </c>
      <c r="Y16" s="12">
        <v>770.55499335937498</v>
      </c>
      <c r="Z16" s="12">
        <v>15.277621131127407</v>
      </c>
      <c r="AA16" s="12">
        <v>5252.7679053440088</v>
      </c>
      <c r="AB16" s="11">
        <f t="shared" si="4"/>
        <v>0.53464083608879154</v>
      </c>
      <c r="AC16" s="12">
        <f t="shared" si="6"/>
        <v>2808.344224693491</v>
      </c>
      <c r="AD16" s="3"/>
    </row>
    <row r="17" spans="3:30" x14ac:dyDescent="0.3">
      <c r="C17" s="11">
        <v>8</v>
      </c>
      <c r="D17" s="12">
        <v>5700.4653662442715</v>
      </c>
      <c r="E17" s="12">
        <v>5552.7906308456468</v>
      </c>
      <c r="F17" s="12">
        <v>462.7325525704706</v>
      </c>
      <c r="G17" s="12">
        <f t="shared" si="5"/>
        <v>38.003102441628478</v>
      </c>
      <c r="H17" s="12">
        <f t="shared" si="1"/>
        <v>11753.991652102019</v>
      </c>
      <c r="I17" s="12">
        <f t="shared" si="2"/>
        <v>10578.592486891817</v>
      </c>
      <c r="J17" s="11">
        <f t="shared" si="0"/>
        <v>0.43392649629802077</v>
      </c>
      <c r="K17" s="12">
        <f t="shared" si="3"/>
        <v>4590.3315736015329</v>
      </c>
      <c r="P17" s="11">
        <v>7</v>
      </c>
      <c r="Q17" s="12"/>
      <c r="R17" s="12"/>
      <c r="S17" s="12">
        <f t="shared" si="7"/>
        <v>2170.9549378124998</v>
      </c>
      <c r="T17" s="12">
        <f t="shared" si="8"/>
        <v>2551.0478399999997</v>
      </c>
      <c r="U17" s="12">
        <f t="shared" si="9"/>
        <v>228.50990250393602</v>
      </c>
      <c r="V17" s="12"/>
      <c r="W17" s="12"/>
      <c r="X17" s="12">
        <v>81.491806000000039</v>
      </c>
      <c r="Y17" s="12">
        <v>809.08274302734389</v>
      </c>
      <c r="Z17" s="12">
        <v>15.073761390249118</v>
      </c>
      <c r="AA17" s="12">
        <v>5524.8362067943563</v>
      </c>
      <c r="AB17" s="11">
        <f t="shared" si="4"/>
        <v>0.48165841089080319</v>
      </c>
      <c r="AC17" s="12">
        <f t="shared" si="6"/>
        <v>2661.0838277965427</v>
      </c>
      <c r="AD17" s="3"/>
    </row>
    <row r="18" spans="3:30" x14ac:dyDescent="0.3">
      <c r="C18" s="11">
        <v>9</v>
      </c>
      <c r="D18" s="12">
        <v>5871.4793272316001</v>
      </c>
      <c r="E18" s="12">
        <v>5997.013881313299</v>
      </c>
      <c r="F18" s="12">
        <v>499.75115677610825</v>
      </c>
      <c r="G18" s="12">
        <f t="shared" si="5"/>
        <v>39.143195514877334</v>
      </c>
      <c r="H18" s="12">
        <f t="shared" si="1"/>
        <v>12407.387560835887</v>
      </c>
      <c r="I18" s="12">
        <f t="shared" si="2"/>
        <v>11166.648804752298</v>
      </c>
      <c r="J18" s="11">
        <f t="shared" si="0"/>
        <v>0.39092477143965831</v>
      </c>
      <c r="K18" s="12">
        <f t="shared" si="3"/>
        <v>4365.3196317447255</v>
      </c>
      <c r="P18" s="11">
        <v>8</v>
      </c>
      <c r="Q18" s="12"/>
      <c r="R18" s="12"/>
      <c r="S18" s="12">
        <f t="shared" si="7"/>
        <v>2279.5026847031249</v>
      </c>
      <c r="T18" s="12">
        <f t="shared" si="8"/>
        <v>2806.1526239999998</v>
      </c>
      <c r="U18" s="12">
        <f t="shared" si="9"/>
        <v>246.79069470425091</v>
      </c>
      <c r="V18" s="12"/>
      <c r="W18" s="12"/>
      <c r="X18" s="12">
        <v>89.640986600000062</v>
      </c>
      <c r="Y18" s="12">
        <v>849.53688017871093</v>
      </c>
      <c r="Z18" s="12">
        <v>14.872621889229782</v>
      </c>
      <c r="AA18" s="12">
        <v>5817.5601069546874</v>
      </c>
      <c r="AB18" s="11">
        <f t="shared" si="4"/>
        <v>0.43392649629802077</v>
      </c>
      <c r="AC18" s="12">
        <f t="shared" si="6"/>
        <v>2524.3934742139863</v>
      </c>
      <c r="AD18" s="3"/>
    </row>
    <row r="19" spans="3:30" x14ac:dyDescent="0.3">
      <c r="C19" s="11">
        <v>10</v>
      </c>
      <c r="D19" s="12"/>
      <c r="E19" s="12"/>
      <c r="F19" s="12"/>
      <c r="G19" s="12"/>
      <c r="H19" s="12"/>
      <c r="I19" s="12"/>
      <c r="J19" s="11"/>
      <c r="K19" s="11"/>
      <c r="P19" s="11">
        <v>9</v>
      </c>
      <c r="Q19" s="12"/>
      <c r="R19" s="12"/>
      <c r="S19" s="12">
        <f t="shared" si="7"/>
        <v>2393.4778189382814</v>
      </c>
      <c r="T19" s="12">
        <f t="shared" si="8"/>
        <v>3086.7678864</v>
      </c>
      <c r="U19" s="12">
        <f t="shared" si="9"/>
        <v>266.533950280591</v>
      </c>
      <c r="V19" s="12"/>
      <c r="W19" s="12"/>
      <c r="X19" s="12">
        <v>98.605085260000052</v>
      </c>
      <c r="Y19" s="12">
        <v>892.01372418764652</v>
      </c>
      <c r="Z19" s="12">
        <v>14.674166330049708</v>
      </c>
      <c r="AA19" s="12">
        <v>5989.3339607121361</v>
      </c>
      <c r="AB19" s="11">
        <f t="shared" si="4"/>
        <v>0.39092477143965831</v>
      </c>
      <c r="AC19" s="12">
        <f t="shared" si="6"/>
        <v>2341.3790096671751</v>
      </c>
      <c r="AD19" s="3"/>
    </row>
    <row r="20" spans="3:30" x14ac:dyDescent="0.3">
      <c r="P20" s="11">
        <v>10</v>
      </c>
      <c r="Q20" s="12"/>
      <c r="R20" s="12"/>
      <c r="S20" s="12">
        <f t="shared" si="7"/>
        <v>2513.1517098851955</v>
      </c>
      <c r="T20" s="12">
        <f t="shared" si="8"/>
        <v>3395.4446750400002</v>
      </c>
      <c r="U20" s="12">
        <f t="shared" si="9"/>
        <v>287.85666630303831</v>
      </c>
      <c r="V20" s="12"/>
      <c r="W20" s="12"/>
      <c r="X20" s="12"/>
      <c r="Y20" s="12"/>
      <c r="Z20" s="12"/>
      <c r="AA20" s="12">
        <v>5280.1558871367988</v>
      </c>
      <c r="AB20" s="11">
        <f t="shared" si="4"/>
        <v>0.3521844787744669</v>
      </c>
      <c r="AC20" s="12">
        <f t="shared" si="6"/>
        <v>1859.5889489592064</v>
      </c>
      <c r="AD20" s="3"/>
    </row>
    <row r="21" spans="3:30" x14ac:dyDescent="0.3">
      <c r="J21" s="15" t="s">
        <v>20</v>
      </c>
      <c r="K21" s="14">
        <f>SUM(K9:K18)</f>
        <v>55731.413049106355</v>
      </c>
    </row>
    <row r="22" spans="3:30" x14ac:dyDescent="0.3">
      <c r="AB22" s="9" t="s">
        <v>20</v>
      </c>
      <c r="AC22" s="19">
        <f>SUM(AC10:AC20)</f>
        <v>40276.068816003695</v>
      </c>
    </row>
    <row r="24" spans="3:30" x14ac:dyDescent="0.3">
      <c r="E24" s="18" t="s">
        <v>102</v>
      </c>
      <c r="M24" s="2"/>
      <c r="T24" s="18" t="s">
        <v>102</v>
      </c>
    </row>
    <row r="25" spans="3:30" x14ac:dyDescent="0.3">
      <c r="I25" s="2"/>
    </row>
    <row r="26" spans="3:30" x14ac:dyDescent="0.3">
      <c r="C26" s="10" t="s">
        <v>26</v>
      </c>
      <c r="D26" s="10" t="s">
        <v>88</v>
      </c>
      <c r="E26" s="10" t="s">
        <v>5</v>
      </c>
      <c r="F26" s="10" t="s">
        <v>89</v>
      </c>
      <c r="G26" s="10" t="s">
        <v>29</v>
      </c>
      <c r="H26" s="10" t="s">
        <v>23</v>
      </c>
      <c r="I26" s="10" t="s">
        <v>28</v>
      </c>
      <c r="J26" s="10" t="s">
        <v>22</v>
      </c>
      <c r="K26" s="10" t="s">
        <v>27</v>
      </c>
    </row>
    <row r="27" spans="3:30" x14ac:dyDescent="0.3">
      <c r="P27" s="10" t="s">
        <v>26</v>
      </c>
      <c r="Q27" s="10" t="s">
        <v>6</v>
      </c>
      <c r="R27" s="10" t="s">
        <v>92</v>
      </c>
      <c r="S27" s="10" t="s">
        <v>91</v>
      </c>
      <c r="T27" s="10" t="s">
        <v>25</v>
      </c>
      <c r="U27" s="10" t="s">
        <v>93</v>
      </c>
      <c r="V27" s="10" t="s">
        <v>24</v>
      </c>
      <c r="W27" s="10" t="s">
        <v>13</v>
      </c>
      <c r="X27" s="10" t="s">
        <v>12</v>
      </c>
      <c r="Y27" s="10" t="s">
        <v>3</v>
      </c>
      <c r="Z27" s="10" t="s">
        <v>63</v>
      </c>
      <c r="AA27" s="10" t="s">
        <v>23</v>
      </c>
      <c r="AB27" s="10" t="s">
        <v>22</v>
      </c>
      <c r="AC27" s="10" t="s">
        <v>21</v>
      </c>
    </row>
    <row r="28" spans="3:30" x14ac:dyDescent="0.3">
      <c r="C28" s="11">
        <v>0</v>
      </c>
      <c r="D28" s="12">
        <v>4500</v>
      </c>
      <c r="E28" s="12">
        <v>3000</v>
      </c>
      <c r="F28" s="12">
        <v>250</v>
      </c>
      <c r="G28" s="12">
        <v>30</v>
      </c>
      <c r="H28" s="12">
        <v>7780</v>
      </c>
      <c r="I28" s="12">
        <f>0.9*H28</f>
        <v>7002</v>
      </c>
      <c r="J28" s="11">
        <f t="shared" ref="J28:J47" si="10">(1+$B$3)^-(C28)</f>
        <v>1</v>
      </c>
      <c r="K28" s="12">
        <f t="shared" ref="K28:K47" si="11">J28*I28</f>
        <v>7002</v>
      </c>
    </row>
    <row r="29" spans="3:30" x14ac:dyDescent="0.3">
      <c r="C29" s="11">
        <v>1</v>
      </c>
      <c r="D29" s="12">
        <v>4635</v>
      </c>
      <c r="E29" s="12">
        <v>3240</v>
      </c>
      <c r="F29" s="12">
        <v>270</v>
      </c>
      <c r="G29" s="12">
        <v>30.900000000000002</v>
      </c>
      <c r="H29" s="12">
        <v>8175.9</v>
      </c>
      <c r="I29" s="12">
        <f t="shared" ref="I29:I47" si="12">0.9*H29</f>
        <v>7358.3099999999995</v>
      </c>
      <c r="J29" s="11">
        <f t="shared" si="10"/>
        <v>0.9009009009009008</v>
      </c>
      <c r="K29" s="12">
        <f t="shared" si="11"/>
        <v>6629.1081081081065</v>
      </c>
      <c r="P29" s="11">
        <v>0</v>
      </c>
      <c r="Q29" s="12">
        <v>150</v>
      </c>
      <c r="R29" s="12">
        <v>1000</v>
      </c>
      <c r="S29" s="12"/>
      <c r="T29" s="12"/>
      <c r="U29" s="12"/>
      <c r="V29" s="12"/>
      <c r="W29" s="12">
        <v>40</v>
      </c>
      <c r="X29" s="12"/>
      <c r="Y29" s="12">
        <v>575</v>
      </c>
      <c r="Z29" s="12">
        <v>16.560000000000002</v>
      </c>
      <c r="AA29" s="12">
        <v>4927.2681089917724</v>
      </c>
      <c r="AB29" s="11">
        <f t="shared" ref="AB29:AB49" si="13">(1+$B$3)^-(P29)</f>
        <v>1</v>
      </c>
      <c r="AC29" s="12">
        <f>AA29*AB29</f>
        <v>4927.2681089917724</v>
      </c>
    </row>
    <row r="30" spans="3:30" x14ac:dyDescent="0.3">
      <c r="C30" s="11">
        <v>2</v>
      </c>
      <c r="D30" s="12">
        <v>4774.05</v>
      </c>
      <c r="E30" s="12">
        <v>3499.2000000000003</v>
      </c>
      <c r="F30" s="12">
        <v>291.60000000000002</v>
      </c>
      <c r="G30" s="12">
        <v>31.826999999999998</v>
      </c>
      <c r="H30" s="12">
        <v>8596.6770000000015</v>
      </c>
      <c r="I30" s="12">
        <f t="shared" si="12"/>
        <v>7737.0093000000015</v>
      </c>
      <c r="J30" s="11">
        <f t="shared" si="10"/>
        <v>0.8116224332440547</v>
      </c>
      <c r="K30" s="12">
        <f t="shared" si="11"/>
        <v>6279.5303140978813</v>
      </c>
      <c r="P30" s="11">
        <v>1</v>
      </c>
      <c r="Q30" s="12"/>
      <c r="R30" s="12"/>
      <c r="S30" s="12">
        <v>1620</v>
      </c>
      <c r="T30" s="12">
        <v>1440</v>
      </c>
      <c r="U30" s="12">
        <v>144</v>
      </c>
      <c r="V30" s="12"/>
      <c r="W30" s="12"/>
      <c r="X30" s="12">
        <v>46</v>
      </c>
      <c r="Y30" s="12">
        <v>603.75</v>
      </c>
      <c r="Z30" s="12">
        <v>16.339028601379162</v>
      </c>
      <c r="AA30" s="12">
        <v>7834.1161139205351</v>
      </c>
      <c r="AB30" s="11">
        <f t="shared" si="13"/>
        <v>0.9009009009009008</v>
      </c>
      <c r="AC30" s="12">
        <f t="shared" ref="AC30:AC49" si="14">AA30*AB30</f>
        <v>7057.762264793274</v>
      </c>
    </row>
    <row r="31" spans="3:30" x14ac:dyDescent="0.3">
      <c r="C31" s="11">
        <v>3</v>
      </c>
      <c r="D31" s="12">
        <v>4917.2714999999998</v>
      </c>
      <c r="E31" s="12">
        <v>3779.1360000000004</v>
      </c>
      <c r="F31" s="12">
        <v>314.92800000000005</v>
      </c>
      <c r="G31" s="12">
        <v>32.78181</v>
      </c>
      <c r="H31" s="12">
        <v>9044.1173099999996</v>
      </c>
      <c r="I31" s="12">
        <f t="shared" si="12"/>
        <v>8139.7055789999995</v>
      </c>
      <c r="J31" s="11">
        <f t="shared" si="10"/>
        <v>0.73119138130095018</v>
      </c>
      <c r="K31" s="12">
        <f t="shared" si="11"/>
        <v>5951.6825656920601</v>
      </c>
      <c r="P31" s="11">
        <v>2</v>
      </c>
      <c r="Q31" s="12"/>
      <c r="R31" s="12"/>
      <c r="S31" s="12">
        <v>1668.6000000000001</v>
      </c>
      <c r="T31" s="12">
        <v>1555.2</v>
      </c>
      <c r="U31" s="12">
        <v>155.52000000000001</v>
      </c>
      <c r="V31" s="12"/>
      <c r="W31" s="12"/>
      <c r="X31" s="12">
        <v>50.6</v>
      </c>
      <c r="Y31" s="12">
        <v>633.9375</v>
      </c>
      <c r="Z31" s="12">
        <v>16.121005775162214</v>
      </c>
      <c r="AA31" s="12">
        <v>6127.2552566745053</v>
      </c>
      <c r="AB31" s="11">
        <f t="shared" si="13"/>
        <v>0.8116224332440547</v>
      </c>
      <c r="AC31" s="12">
        <f t="shared" si="14"/>
        <v>4973.017820529587</v>
      </c>
    </row>
    <row r="32" spans="3:30" x14ac:dyDescent="0.3">
      <c r="C32" s="11">
        <v>4</v>
      </c>
      <c r="D32" s="12">
        <v>5064.7896449999998</v>
      </c>
      <c r="E32" s="12">
        <v>4081.4668800000009</v>
      </c>
      <c r="F32" s="12">
        <v>340.12224000000009</v>
      </c>
      <c r="G32" s="12">
        <v>33.765264299999998</v>
      </c>
      <c r="H32" s="12">
        <v>9520.1440293000014</v>
      </c>
      <c r="I32" s="12">
        <f t="shared" si="12"/>
        <v>8568.1296263700024</v>
      </c>
      <c r="J32" s="11">
        <f t="shared" si="10"/>
        <v>0.65873097414500015</v>
      </c>
      <c r="K32" s="12">
        <f t="shared" si="11"/>
        <v>5644.0923753793477</v>
      </c>
      <c r="P32" s="11">
        <v>3</v>
      </c>
      <c r="Q32" s="12"/>
      <c r="R32" s="12"/>
      <c r="S32" s="12">
        <v>1718.6579999999999</v>
      </c>
      <c r="T32" s="12">
        <v>1679.6160000000002</v>
      </c>
      <c r="U32" s="12">
        <v>167.9616</v>
      </c>
      <c r="V32" s="12"/>
      <c r="W32" s="12"/>
      <c r="X32" s="12">
        <v>55.660000000000011</v>
      </c>
      <c r="Y32" s="12">
        <v>665.63437500000009</v>
      </c>
      <c r="Z32" s="12">
        <v>15.90589217653225</v>
      </c>
      <c r="AA32" s="12">
        <v>6176.2077713718991</v>
      </c>
      <c r="AB32" s="11">
        <f t="shared" si="13"/>
        <v>0.73119138130095018</v>
      </c>
      <c r="AC32" s="12">
        <f t="shared" si="14"/>
        <v>4515.9898915510821</v>
      </c>
    </row>
    <row r="33" spans="3:29" x14ac:dyDescent="0.3">
      <c r="C33" s="11">
        <v>5</v>
      </c>
      <c r="D33" s="12">
        <v>5216.7333343499995</v>
      </c>
      <c r="E33" s="12">
        <v>4407.9842304000013</v>
      </c>
      <c r="F33" s="12">
        <v>367.3320192000001</v>
      </c>
      <c r="G33" s="12">
        <v>34.778222228999994</v>
      </c>
      <c r="H33" s="12">
        <v>10026.827806179001</v>
      </c>
      <c r="I33" s="12">
        <f t="shared" si="12"/>
        <v>9024.1450255611016</v>
      </c>
      <c r="J33" s="11">
        <f t="shared" si="10"/>
        <v>0.5934513280585586</v>
      </c>
      <c r="K33" s="12">
        <f t="shared" si="11"/>
        <v>5355.3908500122707</v>
      </c>
      <c r="P33" s="11">
        <v>4</v>
      </c>
      <c r="Q33" s="12"/>
      <c r="R33" s="12"/>
      <c r="S33" s="12">
        <v>1770.21774</v>
      </c>
      <c r="T33" s="12">
        <v>1813.9852800000003</v>
      </c>
      <c r="U33" s="12">
        <v>181.39852800000003</v>
      </c>
      <c r="V33" s="12"/>
      <c r="W33" s="12"/>
      <c r="X33" s="12">
        <v>61.22600000000002</v>
      </c>
      <c r="Y33" s="12">
        <v>698.91609374999996</v>
      </c>
      <c r="Z33" s="12">
        <v>15.693648985677143</v>
      </c>
      <c r="AA33" s="12">
        <v>4862.2862172327395</v>
      </c>
      <c r="AB33" s="11">
        <f t="shared" si="13"/>
        <v>0.65873097414500015</v>
      </c>
      <c r="AC33" s="12">
        <f t="shared" si="14"/>
        <v>3202.9385364495301</v>
      </c>
    </row>
    <row r="34" spans="3:29" x14ac:dyDescent="0.3">
      <c r="C34" s="11">
        <v>6</v>
      </c>
      <c r="D34" s="12">
        <v>5373.2353343804998</v>
      </c>
      <c r="E34" s="12">
        <v>4760.6229688320018</v>
      </c>
      <c r="F34" s="12">
        <v>396.71858073600015</v>
      </c>
      <c r="G34" s="12">
        <v>35.821568895869994</v>
      </c>
      <c r="H34" s="12">
        <v>10566.398452844373</v>
      </c>
      <c r="I34" s="12">
        <f t="shared" si="12"/>
        <v>9509.7586075599356</v>
      </c>
      <c r="J34" s="11">
        <f t="shared" si="10"/>
        <v>0.53464083608879154</v>
      </c>
      <c r="K34" s="12">
        <f t="shared" si="11"/>
        <v>5084.3052929484256</v>
      </c>
      <c r="P34" s="11">
        <v>5</v>
      </c>
      <c r="Q34" s="12"/>
      <c r="R34" s="12"/>
      <c r="S34" s="12">
        <v>1823.3242721999998</v>
      </c>
      <c r="T34" s="12">
        <v>1959.1041024000003</v>
      </c>
      <c r="U34" s="12">
        <v>195.91041024000003</v>
      </c>
      <c r="V34" s="12">
        <f>V15</f>
        <v>639.66999999999996</v>
      </c>
      <c r="W34" s="12"/>
      <c r="X34" s="12">
        <v>67.348600000000019</v>
      </c>
      <c r="Y34" s="12">
        <v>733.86189843750003</v>
      </c>
      <c r="Z34" s="12">
        <v>15.48423790078405</v>
      </c>
      <c r="AA34" s="12">
        <v>5736.4480411477498</v>
      </c>
      <c r="AB34" s="11">
        <f t="shared" si="13"/>
        <v>0.5934513280585586</v>
      </c>
      <c r="AC34" s="12">
        <f t="shared" si="14"/>
        <v>3404.3027083580491</v>
      </c>
    </row>
    <row r="35" spans="3:29" x14ac:dyDescent="0.3">
      <c r="C35" s="11">
        <v>7</v>
      </c>
      <c r="D35" s="12">
        <v>5534.4323944119151</v>
      </c>
      <c r="E35" s="12">
        <v>5141.4728063385619</v>
      </c>
      <c r="F35" s="12">
        <v>428.45606719488018</v>
      </c>
      <c r="G35" s="12">
        <v>36.896215962746098</v>
      </c>
      <c r="H35" s="12">
        <v>11141.257483908104</v>
      </c>
      <c r="I35" s="12">
        <f t="shared" si="12"/>
        <v>10027.131735517294</v>
      </c>
      <c r="J35" s="11">
        <f t="shared" si="10"/>
        <v>0.48165841089080319</v>
      </c>
      <c r="K35" s="12">
        <f t="shared" si="11"/>
        <v>4829.6523375220013</v>
      </c>
      <c r="P35" s="11">
        <v>6</v>
      </c>
      <c r="Q35" s="12"/>
      <c r="R35" s="12"/>
      <c r="S35" s="12">
        <v>1878.0240003659997</v>
      </c>
      <c r="T35" s="12">
        <v>2115.8324305920005</v>
      </c>
      <c r="U35" s="12">
        <v>211.58324305920004</v>
      </c>
      <c r="V35" s="12"/>
      <c r="W35" s="12"/>
      <c r="X35" s="12">
        <v>74.083460000000031</v>
      </c>
      <c r="Y35" s="12">
        <v>770.55499335937498</v>
      </c>
      <c r="Z35" s="12">
        <v>15.277621131127407</v>
      </c>
      <c r="AA35" s="12">
        <v>5252.7679053440088</v>
      </c>
      <c r="AB35" s="11">
        <f t="shared" si="13"/>
        <v>0.53464083608879154</v>
      </c>
      <c r="AC35" s="12">
        <f t="shared" si="14"/>
        <v>2808.344224693491</v>
      </c>
    </row>
    <row r="36" spans="3:29" x14ac:dyDescent="0.3">
      <c r="C36" s="11">
        <v>8</v>
      </c>
      <c r="D36" s="12">
        <v>5700.4653662442715</v>
      </c>
      <c r="E36" s="12">
        <v>5552.7906308456468</v>
      </c>
      <c r="F36" s="12">
        <v>462.7325525704706</v>
      </c>
      <c r="G36" s="12">
        <v>38.003102441628478</v>
      </c>
      <c r="H36" s="12">
        <v>11753.991652102019</v>
      </c>
      <c r="I36" s="12">
        <f t="shared" si="12"/>
        <v>10578.592486891817</v>
      </c>
      <c r="J36" s="11">
        <f t="shared" si="10"/>
        <v>0.43392649629802077</v>
      </c>
      <c r="K36" s="12">
        <f t="shared" si="11"/>
        <v>4590.3315736015329</v>
      </c>
      <c r="P36" s="11">
        <v>7</v>
      </c>
      <c r="Q36" s="12"/>
      <c r="R36" s="12"/>
      <c r="S36" s="12">
        <v>1934.3647203769799</v>
      </c>
      <c r="T36" s="12">
        <v>2285.0990250393606</v>
      </c>
      <c r="U36" s="12">
        <v>228.50990250393608</v>
      </c>
      <c r="V36" s="12"/>
      <c r="W36" s="12"/>
      <c r="X36" s="12">
        <v>81.491806000000039</v>
      </c>
      <c r="Y36" s="12">
        <v>809.08274302734389</v>
      </c>
      <c r="Z36" s="12">
        <v>15.073761390249118</v>
      </c>
      <c r="AA36" s="12">
        <v>5524.8362067943563</v>
      </c>
      <c r="AB36" s="11">
        <f t="shared" si="13"/>
        <v>0.48165841089080319</v>
      </c>
      <c r="AC36" s="12">
        <f t="shared" si="14"/>
        <v>2661.0838277965427</v>
      </c>
    </row>
    <row r="37" spans="3:29" x14ac:dyDescent="0.3">
      <c r="C37" s="11">
        <v>9</v>
      </c>
      <c r="D37" s="12">
        <v>5871.4793272316001</v>
      </c>
      <c r="E37" s="12">
        <v>5997.013881313299</v>
      </c>
      <c r="F37" s="12">
        <v>499.75115677610825</v>
      </c>
      <c r="G37" s="12">
        <v>39.143195514877334</v>
      </c>
      <c r="H37" s="12">
        <v>12407.387560835885</v>
      </c>
      <c r="I37" s="12">
        <f t="shared" si="12"/>
        <v>11166.648804752296</v>
      </c>
      <c r="J37" s="11">
        <f t="shared" si="10"/>
        <v>0.39092477143965831</v>
      </c>
      <c r="K37" s="12">
        <f t="shared" si="11"/>
        <v>4365.3196317447255</v>
      </c>
      <c r="P37" s="11">
        <v>8</v>
      </c>
      <c r="Q37" s="12"/>
      <c r="R37" s="12"/>
      <c r="S37" s="12">
        <v>1992.3956619882895</v>
      </c>
      <c r="T37" s="12">
        <v>2467.9069470425097</v>
      </c>
      <c r="U37" s="12">
        <v>246.79069470425097</v>
      </c>
      <c r="V37" s="12"/>
      <c r="W37" s="12"/>
      <c r="X37" s="12">
        <v>89.640986600000062</v>
      </c>
      <c r="Y37" s="12">
        <v>849.53688017871093</v>
      </c>
      <c r="Z37" s="12">
        <v>14.872621889229782</v>
      </c>
      <c r="AA37" s="12">
        <v>5817.5601069546874</v>
      </c>
      <c r="AB37" s="11">
        <f t="shared" si="13"/>
        <v>0.43392649629802077</v>
      </c>
      <c r="AC37" s="12">
        <f t="shared" si="14"/>
        <v>2524.3934742139863</v>
      </c>
    </row>
    <row r="38" spans="3:29" x14ac:dyDescent="0.3">
      <c r="C38" s="11">
        <v>10</v>
      </c>
      <c r="D38" s="12">
        <v>6047.6237070485477</v>
      </c>
      <c r="E38" s="12">
        <v>6476.7749918183636</v>
      </c>
      <c r="F38" s="12">
        <v>539.73124931819689</v>
      </c>
      <c r="G38" s="12">
        <v>40.317491380323652</v>
      </c>
      <c r="H38" s="12">
        <v>13104.447439565432</v>
      </c>
      <c r="I38" s="12">
        <f t="shared" si="12"/>
        <v>11794.00269560889</v>
      </c>
      <c r="J38" s="11">
        <f t="shared" si="10"/>
        <v>0.3521844787744669</v>
      </c>
      <c r="K38" s="12">
        <f t="shared" si="11"/>
        <v>4153.6646920176745</v>
      </c>
      <c r="P38" s="11">
        <v>9</v>
      </c>
      <c r="Q38" s="12"/>
      <c r="R38" s="12"/>
      <c r="S38" s="12">
        <v>2052.1675318479379</v>
      </c>
      <c r="T38" s="12">
        <v>2665.3395028059103</v>
      </c>
      <c r="U38" s="12">
        <v>266.53395028059106</v>
      </c>
      <c r="V38" s="12"/>
      <c r="W38" s="12"/>
      <c r="X38" s="12">
        <v>98.605085260000052</v>
      </c>
      <c r="Y38" s="12">
        <v>892.01372418764652</v>
      </c>
      <c r="Z38" s="12">
        <v>14.674166330049708</v>
      </c>
      <c r="AA38" s="12">
        <v>5989.3339607121361</v>
      </c>
      <c r="AB38" s="11">
        <f t="shared" si="13"/>
        <v>0.39092477143965831</v>
      </c>
      <c r="AC38" s="12">
        <f t="shared" si="14"/>
        <v>2341.3790096671751</v>
      </c>
    </row>
    <row r="39" spans="3:29" x14ac:dyDescent="0.3">
      <c r="C39" s="11">
        <v>11</v>
      </c>
      <c r="D39" s="12">
        <v>6229.0524182600047</v>
      </c>
      <c r="E39" s="12">
        <v>6994.9169911638319</v>
      </c>
      <c r="F39" s="12">
        <v>582.90974926365266</v>
      </c>
      <c r="G39" s="12">
        <v>41.527016121733368</v>
      </c>
      <c r="H39" s="12">
        <v>13848.406174809223</v>
      </c>
      <c r="I39" s="12">
        <f t="shared" si="12"/>
        <v>12463.5655573283</v>
      </c>
      <c r="J39" s="11">
        <f t="shared" si="10"/>
        <v>0.31728331421123146</v>
      </c>
      <c r="K39" s="12">
        <f t="shared" si="11"/>
        <v>3954.4813869180771</v>
      </c>
      <c r="P39" s="11">
        <v>10</v>
      </c>
      <c r="Q39" s="12"/>
      <c r="R39" s="12"/>
      <c r="S39" s="12">
        <v>2113.732557803376</v>
      </c>
      <c r="T39" s="12">
        <v>2878.5666630303836</v>
      </c>
      <c r="U39" s="12">
        <v>287.85666630303837</v>
      </c>
      <c r="V39" s="12"/>
      <c r="W39" s="12"/>
      <c r="X39" s="12">
        <v>108.46559378600007</v>
      </c>
      <c r="Y39" s="12">
        <v>936.61441039702891</v>
      </c>
      <c r="Z39" s="12">
        <v>14.478358899038485</v>
      </c>
      <c r="AA39" s="12">
        <v>6339.7142502188663</v>
      </c>
      <c r="AB39" s="11">
        <f t="shared" si="13"/>
        <v>0.3521844787744669</v>
      </c>
      <c r="AC39" s="12">
        <f t="shared" si="14"/>
        <v>2232.7489587923915</v>
      </c>
    </row>
    <row r="40" spans="3:29" x14ac:dyDescent="0.3">
      <c r="C40" s="11">
        <v>12</v>
      </c>
      <c r="D40" s="12">
        <v>6415.9239908078034</v>
      </c>
      <c r="E40" s="12">
        <v>7554.5103504569397</v>
      </c>
      <c r="F40" s="12">
        <v>629.54252920474494</v>
      </c>
      <c r="G40" s="12">
        <v>42.772826605385362</v>
      </c>
      <c r="H40" s="12">
        <v>14642.749697074874</v>
      </c>
      <c r="I40" s="12">
        <f t="shared" si="12"/>
        <v>13178.474727367387</v>
      </c>
      <c r="J40" s="11">
        <f t="shared" si="10"/>
        <v>0.28584082361372198</v>
      </c>
      <c r="K40" s="12">
        <f t="shared" si="11"/>
        <v>3766.9460700433142</v>
      </c>
      <c r="P40" s="11">
        <v>11</v>
      </c>
      <c r="Q40" s="12"/>
      <c r="R40" s="12"/>
      <c r="S40" s="12">
        <v>2177.1445345374773</v>
      </c>
      <c r="T40" s="12">
        <v>3108.8519960728145</v>
      </c>
      <c r="U40" s="12">
        <v>310.88519960728144</v>
      </c>
      <c r="V40" s="12"/>
      <c r="W40" s="12"/>
      <c r="X40" s="12">
        <v>119.31215316460009</v>
      </c>
      <c r="Y40" s="12">
        <v>983.44513091688043</v>
      </c>
      <c r="Z40" s="12">
        <v>14.285164260411973</v>
      </c>
      <c r="AA40" s="12">
        <v>6713.9241785594659</v>
      </c>
      <c r="AB40" s="11">
        <f t="shared" si="13"/>
        <v>0.31728331421123146</v>
      </c>
      <c r="AC40" s="12">
        <f t="shared" si="14"/>
        <v>2130.2161147362672</v>
      </c>
    </row>
    <row r="41" spans="3:29" x14ac:dyDescent="0.3">
      <c r="C41" s="11">
        <v>13</v>
      </c>
      <c r="D41" s="12">
        <v>6608.4017105320372</v>
      </c>
      <c r="E41" s="12">
        <v>8158.8711784934949</v>
      </c>
      <c r="F41" s="12">
        <v>679.90593154112457</v>
      </c>
      <c r="G41" s="12">
        <v>44.056011403546918</v>
      </c>
      <c r="H41" s="12">
        <v>15491.234831970203</v>
      </c>
      <c r="I41" s="12">
        <f t="shared" si="12"/>
        <v>13942.111348773184</v>
      </c>
      <c r="J41" s="11">
        <f t="shared" si="10"/>
        <v>0.25751425550785767</v>
      </c>
      <c r="K41" s="12">
        <f t="shared" si="11"/>
        <v>3590.2924241869796</v>
      </c>
      <c r="P41" s="11">
        <v>12</v>
      </c>
      <c r="Q41" s="12"/>
      <c r="R41" s="12"/>
      <c r="S41" s="12">
        <v>2242.4588705736019</v>
      </c>
      <c r="T41" s="12">
        <v>3357.5601557586397</v>
      </c>
      <c r="U41" s="12">
        <v>335.75601557586396</v>
      </c>
      <c r="V41" s="12"/>
      <c r="W41" s="12"/>
      <c r="X41" s="12">
        <v>131.24336848106012</v>
      </c>
      <c r="Y41" s="12">
        <v>1032.6173874627243</v>
      </c>
      <c r="Z41" s="12">
        <v>14.094547549895569</v>
      </c>
      <c r="AA41" s="12">
        <v>7113.7303454017856</v>
      </c>
      <c r="AB41" s="11">
        <f t="shared" si="13"/>
        <v>0.28584082361372198</v>
      </c>
      <c r="AC41" s="12">
        <f t="shared" si="14"/>
        <v>2033.3945408955733</v>
      </c>
    </row>
    <row r="42" spans="3:29" x14ac:dyDescent="0.3">
      <c r="C42" s="11">
        <v>14</v>
      </c>
      <c r="D42" s="12">
        <v>6806.6537618479997</v>
      </c>
      <c r="E42" s="12">
        <v>8811.5808727729764</v>
      </c>
      <c r="F42" s="12">
        <v>734.29840606441462</v>
      </c>
      <c r="G42" s="12">
        <v>45.37769174565333</v>
      </c>
      <c r="H42" s="12">
        <v>16397.910732431043</v>
      </c>
      <c r="I42" s="12">
        <f t="shared" si="12"/>
        <v>14758.119659187938</v>
      </c>
      <c r="J42" s="11">
        <f t="shared" si="10"/>
        <v>0.23199482478185374</v>
      </c>
      <c r="K42" s="12">
        <f t="shared" si="11"/>
        <v>3423.8073844429368</v>
      </c>
      <c r="P42" s="11">
        <v>13</v>
      </c>
      <c r="Q42" s="12"/>
      <c r="R42" s="12"/>
      <c r="S42" s="12">
        <v>2309.7326366908092</v>
      </c>
      <c r="T42" s="12">
        <v>3626.1649682193311</v>
      </c>
      <c r="U42" s="12">
        <v>362.61649682193308</v>
      </c>
      <c r="V42" s="12"/>
      <c r="W42" s="12"/>
      <c r="X42" s="12">
        <v>144.36770532916611</v>
      </c>
      <c r="Y42" s="12">
        <v>1084.2482568358607</v>
      </c>
      <c r="Z42" s="12">
        <v>13.906474368432505</v>
      </c>
      <c r="AA42" s="12">
        <v>7541.0365382655318</v>
      </c>
      <c r="AB42" s="11">
        <f t="shared" si="13"/>
        <v>0.25751425550785767</v>
      </c>
      <c r="AC42" s="12">
        <f t="shared" si="14"/>
        <v>1941.9244099090006</v>
      </c>
    </row>
    <row r="43" spans="3:29" x14ac:dyDescent="0.3">
      <c r="C43" s="11">
        <v>15</v>
      </c>
      <c r="D43" s="12">
        <v>7010.8533747034398</v>
      </c>
      <c r="E43" s="12">
        <v>9516.507342594814</v>
      </c>
      <c r="F43" s="12">
        <v>793.04227854956787</v>
      </c>
      <c r="G43" s="12">
        <v>46.739022498022933</v>
      </c>
      <c r="H43" s="12">
        <v>17367.142018345847</v>
      </c>
      <c r="I43" s="12">
        <f t="shared" si="12"/>
        <v>15630.427816511263</v>
      </c>
      <c r="J43" s="11">
        <f t="shared" si="10"/>
        <v>0.2090043466503187</v>
      </c>
      <c r="K43" s="12">
        <f t="shared" si="11"/>
        <v>3266.8273536549041</v>
      </c>
      <c r="P43" s="11">
        <v>14</v>
      </c>
      <c r="Q43" s="12"/>
      <c r="R43" s="12"/>
      <c r="S43" s="12">
        <v>2379.0246157915335</v>
      </c>
      <c r="T43" s="12">
        <v>3916.2581656768775</v>
      </c>
      <c r="U43" s="12">
        <v>391.62581656768776</v>
      </c>
      <c r="V43" s="12"/>
      <c r="W43" s="12"/>
      <c r="X43" s="12">
        <v>158.80447586208274</v>
      </c>
      <c r="Y43" s="12">
        <v>1138.4606696776534</v>
      </c>
      <c r="Z43" s="12">
        <v>13.720910775976144</v>
      </c>
      <c r="AA43" s="12">
        <v>7997.8946543518123</v>
      </c>
      <c r="AB43" s="11">
        <f t="shared" si="13"/>
        <v>0.23199482478185374</v>
      </c>
      <c r="AC43" s="12">
        <f t="shared" si="14"/>
        <v>1855.4701689600734</v>
      </c>
    </row>
    <row r="44" spans="3:29" x14ac:dyDescent="0.3">
      <c r="C44" s="11">
        <v>16</v>
      </c>
      <c r="D44" s="12">
        <v>7221.1789759445419</v>
      </c>
      <c r="E44" s="12">
        <v>10277.827930002399</v>
      </c>
      <c r="F44" s="12">
        <v>856.4856608335333</v>
      </c>
      <c r="G44" s="12">
        <v>48.141193172963611</v>
      </c>
      <c r="H44" s="12">
        <v>18403.633759953438</v>
      </c>
      <c r="I44" s="12">
        <f t="shared" si="12"/>
        <v>16563.270383958094</v>
      </c>
      <c r="J44" s="11">
        <f t="shared" si="10"/>
        <v>0.18829220418947626</v>
      </c>
      <c r="K44" s="12">
        <f t="shared" si="11"/>
        <v>3118.7346891817424</v>
      </c>
      <c r="P44" s="11">
        <v>15</v>
      </c>
      <c r="Q44" s="12"/>
      <c r="R44" s="12"/>
      <c r="S44" s="12">
        <v>2450.3953542652798</v>
      </c>
      <c r="T44" s="12">
        <v>4229.5588189310283</v>
      </c>
      <c r="U44" s="12">
        <v>422.95588189310286</v>
      </c>
      <c r="V44" s="12"/>
      <c r="W44" s="12"/>
      <c r="X44" s="12">
        <v>174.68492344829104</v>
      </c>
      <c r="Y44" s="12">
        <v>1195.3837031615365</v>
      </c>
      <c r="Z44" s="12">
        <v>13.537823285365084</v>
      </c>
      <c r="AA44" s="12">
        <v>8486.5165049846037</v>
      </c>
      <c r="AB44" s="11">
        <f t="shared" si="13"/>
        <v>0.2090043466503187</v>
      </c>
      <c r="AC44" s="12">
        <f t="shared" si="14"/>
        <v>1773.7188374614532</v>
      </c>
    </row>
    <row r="45" spans="3:29" x14ac:dyDescent="0.3">
      <c r="C45" s="11">
        <v>17</v>
      </c>
      <c r="D45" s="12">
        <v>7437.8143452228778</v>
      </c>
      <c r="E45" s="12">
        <v>11100.054164402593</v>
      </c>
      <c r="F45" s="12">
        <v>925.00451370021597</v>
      </c>
      <c r="G45" s="12">
        <v>49.58542896815252</v>
      </c>
      <c r="H45" s="12">
        <v>19512.458452293838</v>
      </c>
      <c r="I45" s="12">
        <f t="shared" si="12"/>
        <v>17561.212607064455</v>
      </c>
      <c r="J45" s="11">
        <f t="shared" si="10"/>
        <v>0.16963261638691554</v>
      </c>
      <c r="K45" s="12">
        <f t="shared" si="11"/>
        <v>2978.9544414632296</v>
      </c>
      <c r="P45" s="11">
        <v>16</v>
      </c>
      <c r="Q45" s="12"/>
      <c r="R45" s="12"/>
      <c r="S45" s="12">
        <v>2523.9072148932382</v>
      </c>
      <c r="T45" s="12">
        <v>4567.9235244455112</v>
      </c>
      <c r="U45" s="12">
        <v>456.79235244455111</v>
      </c>
      <c r="V45" s="12"/>
      <c r="W45" s="12"/>
      <c r="X45" s="12">
        <v>192.15341579312013</v>
      </c>
      <c r="Y45" s="12">
        <v>1255.1528883196131</v>
      </c>
      <c r="Z45" s="12">
        <v>13.357178856280004</v>
      </c>
      <c r="AA45" s="12">
        <v>9009.2865747523138</v>
      </c>
      <c r="AB45" s="11">
        <f t="shared" si="13"/>
        <v>0.18829220418947626</v>
      </c>
      <c r="AC45" s="12">
        <f t="shared" si="14"/>
        <v>1696.3784273347699</v>
      </c>
    </row>
    <row r="46" spans="3:29" x14ac:dyDescent="0.3">
      <c r="C46" s="11">
        <v>18</v>
      </c>
      <c r="D46" s="12">
        <v>7660.9487755795644</v>
      </c>
      <c r="E46" s="12">
        <v>11988.058497554801</v>
      </c>
      <c r="F46" s="12">
        <v>999.00487479623337</v>
      </c>
      <c r="G46" s="12">
        <v>51.072991837197094</v>
      </c>
      <c r="H46" s="12">
        <v>20699.085139767794</v>
      </c>
      <c r="I46" s="12">
        <f t="shared" si="12"/>
        <v>18629.176625791017</v>
      </c>
      <c r="J46" s="11">
        <f t="shared" si="10"/>
        <v>0.15282217692514913</v>
      </c>
      <c r="K46" s="12">
        <f t="shared" si="11"/>
        <v>2846.9513262764872</v>
      </c>
      <c r="P46" s="11">
        <v>17</v>
      </c>
      <c r="Q46" s="12"/>
      <c r="R46" s="12"/>
      <c r="S46" s="12">
        <v>2599.6244313400352</v>
      </c>
      <c r="T46" s="12">
        <v>4933.3574064011518</v>
      </c>
      <c r="U46" s="12">
        <v>493.33574064011515</v>
      </c>
      <c r="V46" s="12"/>
      <c r="W46" s="12"/>
      <c r="X46" s="12">
        <v>211.36875737243216</v>
      </c>
      <c r="Y46" s="12">
        <v>1317.910532735594</v>
      </c>
      <c r="Z46" s="12">
        <v>13.178944889281157</v>
      </c>
      <c r="AA46" s="12">
        <v>9568.7758133786101</v>
      </c>
      <c r="AB46" s="11">
        <f t="shared" si="13"/>
        <v>0.16963261638691554</v>
      </c>
      <c r="AC46" s="12">
        <f t="shared" si="14"/>
        <v>1623.1764768432495</v>
      </c>
    </row>
    <row r="47" spans="3:29" x14ac:dyDescent="0.3">
      <c r="C47" s="11">
        <v>19</v>
      </c>
      <c r="D47" s="12">
        <v>7890.7772388469511</v>
      </c>
      <c r="E47" s="12">
        <v>12947.103177359186</v>
      </c>
      <c r="F47" s="12">
        <v>1078.9252647799321</v>
      </c>
      <c r="G47" s="12">
        <v>52.605181592313009</v>
      </c>
      <c r="H47" s="12">
        <v>21969.410862578381</v>
      </c>
      <c r="I47" s="12">
        <f t="shared" si="12"/>
        <v>19772.469776320544</v>
      </c>
      <c r="J47" s="11">
        <f t="shared" si="10"/>
        <v>0.13767763686950371</v>
      </c>
      <c r="K47" s="12">
        <f t="shared" si="11"/>
        <v>2722.2269138774973</v>
      </c>
      <c r="P47" s="11">
        <v>18</v>
      </c>
      <c r="Q47" s="12"/>
      <c r="R47" s="12"/>
      <c r="S47" s="12">
        <v>2677.6131642802361</v>
      </c>
      <c r="T47" s="12">
        <v>5328.0259989132437</v>
      </c>
      <c r="U47" s="12">
        <v>532.80259989132435</v>
      </c>
      <c r="V47" s="12"/>
      <c r="W47" s="12"/>
      <c r="X47" s="12">
        <v>232.50563310967539</v>
      </c>
      <c r="Y47" s="12">
        <v>1383.8060593723737</v>
      </c>
      <c r="Z47" s="12">
        <v>13.003089219925398</v>
      </c>
      <c r="AA47" s="12">
        <v>10167.756544786776</v>
      </c>
      <c r="AB47" s="11">
        <f t="shared" si="13"/>
        <v>0.15282217692514913</v>
      </c>
      <c r="AC47" s="12">
        <f t="shared" si="14"/>
        <v>1553.8586896192478</v>
      </c>
    </row>
    <row r="48" spans="3:29" x14ac:dyDescent="0.3">
      <c r="C48" s="11">
        <v>20</v>
      </c>
      <c r="D48" s="11"/>
      <c r="E48" s="11"/>
      <c r="F48" s="11"/>
      <c r="G48" s="11"/>
      <c r="H48" s="11"/>
      <c r="I48" s="11"/>
      <c r="J48" s="11"/>
      <c r="K48" s="11"/>
      <c r="P48" s="11">
        <v>19</v>
      </c>
      <c r="Q48" s="12"/>
      <c r="R48" s="12"/>
      <c r="S48" s="12">
        <v>2757.9415592086434</v>
      </c>
      <c r="T48" s="12">
        <v>5754.2680788263042</v>
      </c>
      <c r="U48" s="12">
        <v>575.42680788263044</v>
      </c>
      <c r="V48" s="12"/>
      <c r="W48" s="12"/>
      <c r="X48" s="12">
        <v>255.75619642064294</v>
      </c>
      <c r="Y48" s="12">
        <v>1452.9963623409924</v>
      </c>
      <c r="Z48" s="12">
        <v>12.829580112961725</v>
      </c>
      <c r="AA48" s="12">
        <v>10809.218584792176</v>
      </c>
      <c r="AB48" s="11">
        <f t="shared" si="13"/>
        <v>0.13767763686950371</v>
      </c>
      <c r="AC48" s="12">
        <f t="shared" si="14"/>
        <v>1488.187671160108</v>
      </c>
    </row>
    <row r="49" spans="10:31" x14ac:dyDescent="0.3">
      <c r="P49" s="11">
        <v>20</v>
      </c>
      <c r="Q49" s="12"/>
      <c r="R49" s="12"/>
      <c r="S49" s="12">
        <v>2840.6798059849025</v>
      </c>
      <c r="T49" s="12">
        <v>6214.6095251324086</v>
      </c>
      <c r="U49" s="12">
        <v>621.46095251324095</v>
      </c>
      <c r="V49" s="12"/>
      <c r="W49" s="12"/>
      <c r="X49" s="12">
        <v>281.33181606270733</v>
      </c>
      <c r="Y49" s="12">
        <v>1525.646180458042</v>
      </c>
      <c r="Z49" s="12">
        <v>0</v>
      </c>
      <c r="AA49" s="12">
        <v>11483.728280151299</v>
      </c>
      <c r="AB49" s="11">
        <f t="shared" si="13"/>
        <v>0.12403390708964297</v>
      </c>
      <c r="AC49" s="12">
        <f t="shared" si="14"/>
        <v>1424.3716865429917</v>
      </c>
    </row>
    <row r="50" spans="10:31" x14ac:dyDescent="0.3">
      <c r="J50" s="11" t="s">
        <v>20</v>
      </c>
      <c r="K50" s="14">
        <f>SUM(K28:K48)</f>
        <v>89554.299731169187</v>
      </c>
    </row>
    <row r="52" spans="10:31" x14ac:dyDescent="0.3">
      <c r="AD52" s="11" t="s">
        <v>55</v>
      </c>
      <c r="AE52" s="19">
        <v>61847.322045096662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9"/>
  <sheetViews>
    <sheetView workbookViewId="0">
      <selection activeCell="G6" sqref="G6"/>
    </sheetView>
  </sheetViews>
  <sheetFormatPr defaultRowHeight="14.4" x14ac:dyDescent="0.3"/>
  <cols>
    <col min="1" max="1" width="33" bestFit="1" customWidth="1"/>
    <col min="2" max="2" width="14.44140625" customWidth="1"/>
    <col min="3" max="3" width="16.6640625" bestFit="1" customWidth="1"/>
    <col min="4" max="4" width="36" bestFit="1" customWidth="1"/>
    <col min="5" max="5" width="19.44140625" bestFit="1" customWidth="1"/>
    <col min="6" max="6" width="16.5546875" customWidth="1"/>
    <col min="7" max="7" width="48.88671875" customWidth="1"/>
    <col min="8" max="8" width="33" bestFit="1" customWidth="1"/>
    <col min="11" max="11" width="15.33203125" bestFit="1" customWidth="1"/>
  </cols>
  <sheetData>
    <row r="2" spans="1:8" ht="36" customHeight="1" x14ac:dyDescent="0.3">
      <c r="G2" s="47" t="s">
        <v>60</v>
      </c>
    </row>
    <row r="3" spans="1:8" x14ac:dyDescent="0.3">
      <c r="A3" s="9" t="s">
        <v>58</v>
      </c>
      <c r="B3" s="34">
        <v>87.5</v>
      </c>
      <c r="D3" s="9" t="s">
        <v>45</v>
      </c>
      <c r="E3" s="38">
        <v>0.99988900000000003</v>
      </c>
    </row>
    <row r="4" spans="1:8" x14ac:dyDescent="0.3">
      <c r="A4" s="9" t="s">
        <v>57</v>
      </c>
      <c r="B4" s="11">
        <v>251.43</v>
      </c>
      <c r="D4" s="9" t="s">
        <v>46</v>
      </c>
      <c r="E4" s="39">
        <v>1.10532608E-4</v>
      </c>
    </row>
    <row r="5" spans="1:8" x14ac:dyDescent="0.3">
      <c r="A5" s="35" t="s">
        <v>44</v>
      </c>
      <c r="B5" s="34">
        <f>B3*B4</f>
        <v>22000.125</v>
      </c>
      <c r="D5" s="45"/>
      <c r="E5" s="46"/>
    </row>
    <row r="6" spans="1:8" x14ac:dyDescent="0.3">
      <c r="A6" s="9" t="s">
        <v>42</v>
      </c>
      <c r="B6" s="11">
        <v>2.4319999999999999</v>
      </c>
      <c r="D6" s="9" t="s">
        <v>43</v>
      </c>
      <c r="E6" s="11">
        <v>220.84899999999999</v>
      </c>
      <c r="G6" s="8"/>
      <c r="H6" s="8"/>
    </row>
    <row r="7" spans="1:8" x14ac:dyDescent="0.3">
      <c r="A7" s="9" t="s">
        <v>41</v>
      </c>
      <c r="B7" s="36">
        <v>0.08</v>
      </c>
      <c r="G7" s="8"/>
      <c r="H7" s="8"/>
    </row>
    <row r="8" spans="1:8" x14ac:dyDescent="0.3">
      <c r="A8" s="9" t="s">
        <v>37</v>
      </c>
      <c r="B8" s="36">
        <v>0.02</v>
      </c>
      <c r="D8" s="20" t="s">
        <v>30</v>
      </c>
      <c r="E8" s="31">
        <f>(E3*B7)+(E4*E6)</f>
        <v>0.104402135944192</v>
      </c>
    </row>
    <row r="9" spans="1:8" x14ac:dyDescent="0.3">
      <c r="A9" s="35" t="s">
        <v>59</v>
      </c>
      <c r="B9" s="37">
        <v>0.1</v>
      </c>
    </row>
    <row r="11" spans="1:8" x14ac:dyDescent="0.3">
      <c r="B11" s="10" t="s">
        <v>40</v>
      </c>
      <c r="C11" s="10" t="s">
        <v>1</v>
      </c>
      <c r="D11" s="10" t="s">
        <v>39</v>
      </c>
      <c r="E11" s="10" t="s">
        <v>38</v>
      </c>
      <c r="F11" s="10" t="s">
        <v>0</v>
      </c>
    </row>
    <row r="12" spans="1:8" x14ac:dyDescent="0.3">
      <c r="B12" s="4"/>
      <c r="C12" s="4"/>
      <c r="D12" s="4"/>
      <c r="E12" s="4"/>
      <c r="F12" s="4"/>
    </row>
    <row r="13" spans="1:8" x14ac:dyDescent="0.3">
      <c r="B13" s="11">
        <v>0</v>
      </c>
      <c r="C13" s="12">
        <v>7002</v>
      </c>
      <c r="D13" s="12">
        <f t="shared" ref="D13:D22" si="0">0.1*C13</f>
        <v>700.2</v>
      </c>
      <c r="E13" s="12">
        <f t="shared" ref="E13:E22" si="1">0.05*C13</f>
        <v>350.1</v>
      </c>
      <c r="F13" s="12">
        <f t="shared" ref="F13:F22" si="2">0.06*C13</f>
        <v>420.12</v>
      </c>
    </row>
    <row r="14" spans="1:8" x14ac:dyDescent="0.3">
      <c r="B14" s="11">
        <f>B13+1</f>
        <v>1</v>
      </c>
      <c r="C14" s="12">
        <v>7358.3099999999995</v>
      </c>
      <c r="D14" s="12">
        <f t="shared" si="0"/>
        <v>735.83100000000002</v>
      </c>
      <c r="E14" s="12">
        <f t="shared" si="1"/>
        <v>367.91550000000001</v>
      </c>
      <c r="F14" s="12">
        <f t="shared" si="2"/>
        <v>441.49859999999995</v>
      </c>
    </row>
    <row r="15" spans="1:8" x14ac:dyDescent="0.3">
      <c r="B15" s="11">
        <f t="shared" ref="B15:B22" si="3">B14+1</f>
        <v>2</v>
      </c>
      <c r="C15" s="12">
        <v>7737.0093000000015</v>
      </c>
      <c r="D15" s="12">
        <f t="shared" si="0"/>
        <v>773.7009300000002</v>
      </c>
      <c r="E15" s="12">
        <f t="shared" si="1"/>
        <v>386.8504650000001</v>
      </c>
      <c r="F15" s="12">
        <f t="shared" si="2"/>
        <v>464.2205580000001</v>
      </c>
    </row>
    <row r="16" spans="1:8" x14ac:dyDescent="0.3">
      <c r="B16" s="11">
        <f t="shared" si="3"/>
        <v>3</v>
      </c>
      <c r="C16" s="12">
        <v>8139.7055789999995</v>
      </c>
      <c r="D16" s="12">
        <f t="shared" si="0"/>
        <v>813.97055790000002</v>
      </c>
      <c r="E16" s="12">
        <f t="shared" si="1"/>
        <v>406.98527895000001</v>
      </c>
      <c r="F16" s="12">
        <f t="shared" si="2"/>
        <v>488.38233473999998</v>
      </c>
    </row>
    <row r="17" spans="1:6" x14ac:dyDescent="0.3">
      <c r="B17" s="11">
        <f t="shared" si="3"/>
        <v>4</v>
      </c>
      <c r="C17" s="12">
        <v>8568.1296263700024</v>
      </c>
      <c r="D17" s="12">
        <f t="shared" si="0"/>
        <v>856.81296263700028</v>
      </c>
      <c r="E17" s="12">
        <f t="shared" si="1"/>
        <v>428.40648131850014</v>
      </c>
      <c r="F17" s="12">
        <f t="shared" si="2"/>
        <v>514.08777758220015</v>
      </c>
    </row>
    <row r="18" spans="1:6" x14ac:dyDescent="0.3">
      <c r="B18" s="11">
        <f t="shared" si="3"/>
        <v>5</v>
      </c>
      <c r="C18" s="12">
        <v>9024.1450255611016</v>
      </c>
      <c r="D18" s="12">
        <f t="shared" si="0"/>
        <v>902.41450255611016</v>
      </c>
      <c r="E18" s="12">
        <f t="shared" si="1"/>
        <v>451.20725127805508</v>
      </c>
      <c r="F18" s="12">
        <f t="shared" si="2"/>
        <v>541.44870153366605</v>
      </c>
    </row>
    <row r="19" spans="1:6" x14ac:dyDescent="0.3">
      <c r="B19" s="11">
        <f t="shared" si="3"/>
        <v>6</v>
      </c>
      <c r="C19" s="12">
        <v>9509.7586075599356</v>
      </c>
      <c r="D19" s="12">
        <f t="shared" si="0"/>
        <v>950.97586075599361</v>
      </c>
      <c r="E19" s="12">
        <f t="shared" si="1"/>
        <v>475.4879303779968</v>
      </c>
      <c r="F19" s="12">
        <f t="shared" si="2"/>
        <v>570.58551645359614</v>
      </c>
    </row>
    <row r="20" spans="1:6" x14ac:dyDescent="0.3">
      <c r="B20" s="11">
        <f t="shared" si="3"/>
        <v>7</v>
      </c>
      <c r="C20" s="12">
        <v>10027.131735517294</v>
      </c>
      <c r="D20" s="12">
        <f t="shared" si="0"/>
        <v>1002.7131735517295</v>
      </c>
      <c r="E20" s="12">
        <f t="shared" si="1"/>
        <v>501.35658677586474</v>
      </c>
      <c r="F20" s="12">
        <f t="shared" si="2"/>
        <v>601.62790413103767</v>
      </c>
    </row>
    <row r="21" spans="1:6" x14ac:dyDescent="0.3">
      <c r="B21" s="11">
        <f t="shared" si="3"/>
        <v>8</v>
      </c>
      <c r="C21" s="12">
        <v>10578.592486891817</v>
      </c>
      <c r="D21" s="12">
        <f t="shared" si="0"/>
        <v>1057.8592486891819</v>
      </c>
      <c r="E21" s="12">
        <f t="shared" si="1"/>
        <v>528.92962434459093</v>
      </c>
      <c r="F21" s="12">
        <f t="shared" si="2"/>
        <v>634.71554921350901</v>
      </c>
    </row>
    <row r="22" spans="1:6" x14ac:dyDescent="0.3">
      <c r="B22" s="11">
        <f t="shared" si="3"/>
        <v>9</v>
      </c>
      <c r="C22" s="12">
        <v>11166.648804752296</v>
      </c>
      <c r="D22" s="12">
        <f t="shared" si="0"/>
        <v>1116.6648804752297</v>
      </c>
      <c r="E22" s="12">
        <f t="shared" si="1"/>
        <v>558.33244023761483</v>
      </c>
      <c r="F22" s="12">
        <f t="shared" si="2"/>
        <v>669.99892828513771</v>
      </c>
    </row>
    <row r="24" spans="1:6" x14ac:dyDescent="0.3">
      <c r="A24" s="9" t="s">
        <v>67</v>
      </c>
      <c r="B24" s="44">
        <v>0.115</v>
      </c>
    </row>
    <row r="27" spans="1:6" x14ac:dyDescent="0.3">
      <c r="B27" s="10" t="s">
        <v>40</v>
      </c>
      <c r="C27" s="10" t="s">
        <v>64</v>
      </c>
      <c r="D27" s="10" t="s">
        <v>65</v>
      </c>
      <c r="E27" s="10" t="s">
        <v>66</v>
      </c>
      <c r="F27" s="10" t="s">
        <v>21</v>
      </c>
    </row>
    <row r="29" spans="1:6" x14ac:dyDescent="0.3">
      <c r="B29" s="11">
        <v>0</v>
      </c>
      <c r="C29" s="12">
        <f>'Expense (with Alternium )'!H28</f>
        <v>144</v>
      </c>
      <c r="D29" s="12">
        <f t="shared" ref="D29:D48" si="4">wor_cap*C29</f>
        <v>16.560000000000002</v>
      </c>
      <c r="E29" s="11">
        <f>(1+$E$8)^(-B29)</f>
        <v>1</v>
      </c>
      <c r="F29" s="12">
        <f>E29*D29</f>
        <v>16.560000000000002</v>
      </c>
    </row>
    <row r="30" spans="1:6" x14ac:dyDescent="0.3">
      <c r="B30" s="11">
        <f>B29+1</f>
        <v>1</v>
      </c>
      <c r="C30" s="12">
        <f>'Expense (with Alternium )'!H29</f>
        <v>155.52000000000001</v>
      </c>
      <c r="D30" s="12">
        <f t="shared" si="4"/>
        <v>17.884800000000002</v>
      </c>
      <c r="E30" s="11">
        <f t="shared" ref="E30:E48" si="5">(1+$E$8)^(-B30)</f>
        <v>0.90546728175698887</v>
      </c>
      <c r="F30" s="12">
        <f t="shared" ref="F30:F48" si="6">E30*D30</f>
        <v>16.194101240767395</v>
      </c>
    </row>
    <row r="31" spans="1:6" x14ac:dyDescent="0.3">
      <c r="B31" s="11">
        <f t="shared" ref="B31:B49" si="7">B30+1</f>
        <v>2</v>
      </c>
      <c r="C31" s="12">
        <f>'Expense (with Alternium )'!H30</f>
        <v>167.9616</v>
      </c>
      <c r="D31" s="12">
        <f t="shared" si="4"/>
        <v>19.315584000000001</v>
      </c>
      <c r="E31" s="11">
        <f t="shared" si="5"/>
        <v>0.81987099833239019</v>
      </c>
      <c r="F31" s="12">
        <f t="shared" si="6"/>
        <v>15.836287137453144</v>
      </c>
    </row>
    <row r="32" spans="1:6" x14ac:dyDescent="0.3">
      <c r="B32" s="11">
        <f t="shared" si="7"/>
        <v>3</v>
      </c>
      <c r="C32" s="12">
        <f>'Expense (with Alternium )'!H31</f>
        <v>181.39852800000003</v>
      </c>
      <c r="D32" s="12">
        <f t="shared" si="4"/>
        <v>20.860830720000003</v>
      </c>
      <c r="E32" s="11">
        <f t="shared" si="5"/>
        <v>0.74236636425141811</v>
      </c>
      <c r="F32" s="12">
        <f t="shared" si="6"/>
        <v>15.486379056870694</v>
      </c>
    </row>
    <row r="33" spans="2:6" x14ac:dyDescent="0.3">
      <c r="B33" s="11">
        <f t="shared" si="7"/>
        <v>4</v>
      </c>
      <c r="C33" s="12">
        <f>'Expense (with Alternium )'!H32</f>
        <v>195.91041024000003</v>
      </c>
      <c r="D33" s="12">
        <f t="shared" si="4"/>
        <v>22.529697177600006</v>
      </c>
      <c r="E33" s="11">
        <f t="shared" si="5"/>
        <v>0.67218845390655013</v>
      </c>
      <c r="F33" s="12">
        <f t="shared" si="6"/>
        <v>15.144202312793714</v>
      </c>
    </row>
    <row r="34" spans="2:6" x14ac:dyDescent="0.3">
      <c r="B34" s="11">
        <f t="shared" si="7"/>
        <v>5</v>
      </c>
      <c r="C34" s="12">
        <f>'Expense (with Alternium )'!H33</f>
        <v>211.58324305920004</v>
      </c>
      <c r="D34" s="12">
        <f t="shared" si="4"/>
        <v>24.332072951808005</v>
      </c>
      <c r="E34" s="11">
        <f t="shared" si="5"/>
        <v>0.60864465218719688</v>
      </c>
      <c r="F34" s="12">
        <f t="shared" si="6"/>
        <v>14.809586078746683</v>
      </c>
    </row>
    <row r="35" spans="2:6" x14ac:dyDescent="0.3">
      <c r="B35" s="11">
        <f t="shared" si="7"/>
        <v>6</v>
      </c>
      <c r="C35" s="12">
        <f>'Expense (with Alternium )'!H34</f>
        <v>228.50990250393608</v>
      </c>
      <c r="D35" s="12">
        <f t="shared" si="4"/>
        <v>26.278638787952652</v>
      </c>
      <c r="E35" s="11">
        <f t="shared" si="5"/>
        <v>0.5511078187718691</v>
      </c>
      <c r="F35" s="12">
        <f t="shared" si="6"/>
        <v>14.482363302722419</v>
      </c>
    </row>
    <row r="36" spans="2:6" x14ac:dyDescent="0.3">
      <c r="B36" s="11">
        <f t="shared" si="7"/>
        <v>7</v>
      </c>
      <c r="C36" s="12">
        <f>'Expense (with Alternium )'!H35</f>
        <v>246.79069470425097</v>
      </c>
      <c r="D36" s="12">
        <f t="shared" si="4"/>
        <v>28.380929890988863</v>
      </c>
      <c r="E36" s="11">
        <f t="shared" si="5"/>
        <v>0.49901009861838752</v>
      </c>
      <c r="F36" s="12">
        <f t="shared" si="6"/>
        <v>14.162370623783895</v>
      </c>
    </row>
    <row r="37" spans="2:6" x14ac:dyDescent="0.3">
      <c r="B37" s="11">
        <f t="shared" si="7"/>
        <v>8</v>
      </c>
      <c r="C37" s="12">
        <f>'Expense (with Alternium )'!H36</f>
        <v>266.53395028059106</v>
      </c>
      <c r="D37" s="12">
        <f t="shared" si="4"/>
        <v>30.651404282267972</v>
      </c>
      <c r="E37" s="11">
        <f t="shared" si="5"/>
        <v>0.45183731756527823</v>
      </c>
      <c r="F37" s="12">
        <f t="shared" si="6"/>
        <v>13.849448290508843</v>
      </c>
    </row>
    <row r="38" spans="2:6" x14ac:dyDescent="0.3">
      <c r="B38" s="11">
        <f t="shared" si="7"/>
        <v>9</v>
      </c>
      <c r="C38" s="12">
        <f>'Expense (with Alternium )'!H37</f>
        <v>287.85666630303837</v>
      </c>
      <c r="D38" s="12">
        <f t="shared" si="4"/>
        <v>33.103516624849412</v>
      </c>
      <c r="E38" s="11">
        <f t="shared" si="5"/>
        <v>0.40912390773220181</v>
      </c>
      <c r="F38" s="12">
        <f t="shared" si="6"/>
        <v>13.5434400812363</v>
      </c>
    </row>
    <row r="39" spans="2:6" x14ac:dyDescent="0.3">
      <c r="B39" s="11">
        <f t="shared" si="7"/>
        <v>10</v>
      </c>
      <c r="C39" s="12">
        <f>'Expense (with Alternium )'!H38</f>
        <v>310.88519960728144</v>
      </c>
      <c r="D39" s="12">
        <f t="shared" si="4"/>
        <v>35.751797954837365</v>
      </c>
      <c r="E39" s="11">
        <f t="shared" si="5"/>
        <v>0.37044831263607386</v>
      </c>
      <c r="F39" s="12">
        <f t="shared" si="6"/>
        <v>13.244193226075339</v>
      </c>
    </row>
    <row r="40" spans="2:6" x14ac:dyDescent="0.3">
      <c r="B40" s="11">
        <f t="shared" si="7"/>
        <v>11</v>
      </c>
      <c r="C40" s="12">
        <f>'Expense (with Alternium )'!H39</f>
        <v>335.75601557586396</v>
      </c>
      <c r="D40" s="12">
        <f t="shared" si="4"/>
        <v>38.611941791224353</v>
      </c>
      <c r="E40" s="11">
        <f t="shared" si="5"/>
        <v>0.335428826674049</v>
      </c>
      <c r="F40" s="12">
        <f t="shared" si="6"/>
        <v>12.951558330637063</v>
      </c>
    </row>
    <row r="41" spans="2:6" x14ac:dyDescent="0.3">
      <c r="B41" s="11">
        <f t="shared" si="7"/>
        <v>12</v>
      </c>
      <c r="C41" s="12">
        <f>'Expense (with Alternium )'!H40</f>
        <v>362.61649682193308</v>
      </c>
      <c r="D41" s="12">
        <f t="shared" si="4"/>
        <v>41.700897134522307</v>
      </c>
      <c r="E41" s="11">
        <f t="shared" si="5"/>
        <v>0.30371982791148727</v>
      </c>
      <c r="F41" s="12">
        <f t="shared" si="6"/>
        <v>12.665389301451748</v>
      </c>
    </row>
    <row r="42" spans="2:6" x14ac:dyDescent="0.3">
      <c r="B42" s="11">
        <f t="shared" si="7"/>
        <v>13</v>
      </c>
      <c r="C42" s="12">
        <f>'Expense (with Alternium )'!H41</f>
        <v>391.62581656768776</v>
      </c>
      <c r="D42" s="12">
        <f t="shared" si="4"/>
        <v>45.036968905284098</v>
      </c>
      <c r="E42" s="11">
        <f t="shared" si="5"/>
        <v>0.27500836699471476</v>
      </c>
      <c r="F42" s="12">
        <f t="shared" si="6"/>
        <v>12.385543273033926</v>
      </c>
    </row>
    <row r="43" spans="2:6" x14ac:dyDescent="0.3">
      <c r="B43" s="11">
        <f t="shared" si="7"/>
        <v>14</v>
      </c>
      <c r="C43" s="12">
        <f>'Expense (with Alternium )'!H42</f>
        <v>422.95588189310286</v>
      </c>
      <c r="D43" s="12">
        <f t="shared" si="4"/>
        <v>48.639926417706832</v>
      </c>
      <c r="E43" s="11">
        <f t="shared" si="5"/>
        <v>0.24901107852313278</v>
      </c>
      <c r="F43" s="12">
        <f t="shared" si="6"/>
        <v>12.111880536558997</v>
      </c>
    </row>
    <row r="44" spans="2:6" x14ac:dyDescent="0.3">
      <c r="B44" s="11">
        <f t="shared" si="7"/>
        <v>15</v>
      </c>
      <c r="C44" s="12">
        <f>'Expense (with Alternium )'!H43</f>
        <v>456.79235244455111</v>
      </c>
      <c r="D44" s="12">
        <f t="shared" si="4"/>
        <v>52.531120531123378</v>
      </c>
      <c r="E44" s="11">
        <f t="shared" si="5"/>
        <v>0.22547138439771716</v>
      </c>
      <c r="F44" s="12">
        <f t="shared" si="6"/>
        <v>11.844264470115732</v>
      </c>
    </row>
    <row r="45" spans="2:6" x14ac:dyDescent="0.3">
      <c r="B45" s="11">
        <f t="shared" si="7"/>
        <v>16</v>
      </c>
      <c r="C45" s="12">
        <f>'Expense (with Alternium )'!H44</f>
        <v>493.33574064011515</v>
      </c>
      <c r="D45" s="12">
        <f t="shared" si="4"/>
        <v>56.733610173613243</v>
      </c>
      <c r="E45" s="11">
        <f t="shared" si="5"/>
        <v>0.20415696154458607</v>
      </c>
      <c r="F45" s="12">
        <f t="shared" si="6"/>
        <v>11.582561470499895</v>
      </c>
    </row>
    <row r="46" spans="2:6" x14ac:dyDescent="0.3">
      <c r="B46" s="11">
        <f t="shared" si="7"/>
        <v>17</v>
      </c>
      <c r="C46" s="12">
        <f>'Expense (with Alternium )'!H45</f>
        <v>532.80259989132435</v>
      </c>
      <c r="D46" s="12">
        <f t="shared" si="4"/>
        <v>61.272298987502303</v>
      </c>
      <c r="E46" s="11">
        <f t="shared" si="5"/>
        <v>0.18485744902154244</v>
      </c>
      <c r="F46" s="12">
        <f t="shared" si="6"/>
        <v>11.326640886514914</v>
      </c>
    </row>
    <row r="47" spans="2:6" x14ac:dyDescent="0.3">
      <c r="B47" s="11">
        <f t="shared" si="7"/>
        <v>18</v>
      </c>
      <c r="C47" s="12">
        <f>'Expense (with Alternium )'!H46</f>
        <v>575.42680788263044</v>
      </c>
      <c r="D47" s="12">
        <f t="shared" si="4"/>
        <v>66.174082906502505</v>
      </c>
      <c r="E47" s="11">
        <f t="shared" si="5"/>
        <v>0.16738237187806718</v>
      </c>
      <c r="F47" s="12">
        <f t="shared" si="6"/>
        <v>11.076374953746251</v>
      </c>
    </row>
    <row r="48" spans="2:6" x14ac:dyDescent="0.3">
      <c r="B48" s="11">
        <f t="shared" si="7"/>
        <v>19</v>
      </c>
      <c r="C48" s="12">
        <f>'Expense (with Alternium )'!H47</f>
        <v>621.46095251324095</v>
      </c>
      <c r="D48" s="12">
        <f t="shared" si="4"/>
        <v>71.468009539022717</v>
      </c>
      <c r="E48" s="11">
        <f t="shared" si="5"/>
        <v>0.15155926127847094</v>
      </c>
      <c r="F48" s="12">
        <f t="shared" si="6"/>
        <v>10.831638730776998</v>
      </c>
    </row>
    <row r="49" spans="2:6" x14ac:dyDescent="0.3">
      <c r="B49" s="11">
        <f t="shared" si="7"/>
        <v>20</v>
      </c>
      <c r="C49" s="11"/>
      <c r="D49" s="11"/>
      <c r="E49" s="11"/>
      <c r="F49" s="11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8"/>
  <sheetViews>
    <sheetView workbookViewId="0">
      <selection activeCell="C2" sqref="C2"/>
    </sheetView>
  </sheetViews>
  <sheetFormatPr defaultRowHeight="14.4" x14ac:dyDescent="0.3"/>
  <cols>
    <col min="1" max="1" width="11.44140625" customWidth="1"/>
    <col min="2" max="2" width="16.44140625" customWidth="1"/>
    <col min="3" max="3" width="18.44140625" bestFit="1" customWidth="1"/>
    <col min="4" max="4" width="18.6640625" customWidth="1"/>
    <col min="5" max="5" width="16.6640625" bestFit="1" customWidth="1"/>
    <col min="8" max="8" width="61.33203125" customWidth="1"/>
  </cols>
  <sheetData>
    <row r="2" spans="1:8" x14ac:dyDescent="0.3">
      <c r="A2" s="9" t="s">
        <v>30</v>
      </c>
      <c r="B2" s="48">
        <f>'Working Capital'!E8</f>
        <v>0.104402135944192</v>
      </c>
    </row>
    <row r="4" spans="1:8" ht="15" thickBot="1" x14ac:dyDescent="0.35"/>
    <row r="5" spans="1:8" ht="15" thickBot="1" x14ac:dyDescent="0.35">
      <c r="A5" s="10" t="s">
        <v>47</v>
      </c>
      <c r="B5" s="10" t="s">
        <v>26</v>
      </c>
      <c r="C5" s="10" t="s">
        <v>48</v>
      </c>
      <c r="D5" s="10" t="s">
        <v>22</v>
      </c>
      <c r="E5" s="10" t="s">
        <v>21</v>
      </c>
      <c r="H5" s="29" t="s">
        <v>50</v>
      </c>
    </row>
    <row r="7" spans="1:8" x14ac:dyDescent="0.3">
      <c r="A7" s="11">
        <v>2020</v>
      </c>
      <c r="B7" s="11">
        <v>0</v>
      </c>
      <c r="C7" s="12">
        <v>35</v>
      </c>
      <c r="D7" s="11">
        <f>(1+$B$2)^(-B7)</f>
        <v>1</v>
      </c>
      <c r="E7" s="12">
        <f>D7*C7</f>
        <v>35</v>
      </c>
    </row>
    <row r="8" spans="1:8" x14ac:dyDescent="0.3">
      <c r="A8" s="11">
        <v>2021</v>
      </c>
      <c r="B8" s="11">
        <f>B7+1</f>
        <v>1</v>
      </c>
      <c r="C8" s="12">
        <v>42.37</v>
      </c>
      <c r="D8" s="11">
        <f>(1+$B$2)^(-B8)</f>
        <v>0.90546728175698887</v>
      </c>
      <c r="E8" s="12">
        <f t="shared" ref="E8:E15" si="0">D8*C8</f>
        <v>38.364648728043619</v>
      </c>
    </row>
    <row r="9" spans="1:8" x14ac:dyDescent="0.3">
      <c r="A9" s="11">
        <v>2022</v>
      </c>
      <c r="B9" s="11">
        <f t="shared" ref="B9:B15" si="1">B8+1</f>
        <v>2</v>
      </c>
      <c r="C9" s="12">
        <v>55.24</v>
      </c>
      <c r="D9" s="11">
        <f t="shared" ref="D9:D15" si="2">(1+$B$2)^(-B9)</f>
        <v>0.81987099833239019</v>
      </c>
      <c r="E9" s="12">
        <f t="shared" si="0"/>
        <v>45.289673947881234</v>
      </c>
    </row>
    <row r="10" spans="1:8" x14ac:dyDescent="0.3">
      <c r="A10" s="11">
        <v>2023</v>
      </c>
      <c r="B10" s="11">
        <f t="shared" si="1"/>
        <v>3</v>
      </c>
      <c r="C10" s="12">
        <v>58.44</v>
      </c>
      <c r="D10" s="11">
        <f t="shared" si="2"/>
        <v>0.74236636425141811</v>
      </c>
      <c r="E10" s="12">
        <f t="shared" si="0"/>
        <v>43.383890326852871</v>
      </c>
    </row>
    <row r="11" spans="1:8" x14ac:dyDescent="0.3">
      <c r="A11" s="11">
        <v>2024</v>
      </c>
      <c r="B11" s="11">
        <f t="shared" si="1"/>
        <v>4</v>
      </c>
      <c r="C11" s="12">
        <v>53.22</v>
      </c>
      <c r="D11" s="11">
        <f t="shared" si="2"/>
        <v>0.67218845390655013</v>
      </c>
      <c r="E11" s="12">
        <f t="shared" si="0"/>
        <v>35.773869516906601</v>
      </c>
    </row>
    <row r="12" spans="1:8" x14ac:dyDescent="0.3">
      <c r="A12" s="11">
        <v>2025</v>
      </c>
      <c r="B12" s="11">
        <f t="shared" si="1"/>
        <v>5</v>
      </c>
      <c r="C12" s="12">
        <v>51.91</v>
      </c>
      <c r="D12" s="11">
        <f t="shared" si="2"/>
        <v>0.60864465218719688</v>
      </c>
      <c r="E12" s="12">
        <f t="shared" si="0"/>
        <v>31.594743895037389</v>
      </c>
    </row>
    <row r="13" spans="1:8" x14ac:dyDescent="0.3">
      <c r="A13" s="11">
        <v>2026</v>
      </c>
      <c r="B13" s="11">
        <f t="shared" si="1"/>
        <v>6</v>
      </c>
      <c r="C13" s="12">
        <v>269.33</v>
      </c>
      <c r="D13" s="11">
        <f>(1+$B$2)^(-B13)</f>
        <v>0.5511078187718691</v>
      </c>
      <c r="E13" s="12">
        <f>D13*C13</f>
        <v>148.42986882982748</v>
      </c>
    </row>
    <row r="14" spans="1:8" x14ac:dyDescent="0.3">
      <c r="A14" s="11">
        <v>2027</v>
      </c>
      <c r="B14" s="11">
        <f t="shared" si="1"/>
        <v>7</v>
      </c>
      <c r="C14" s="12">
        <v>269.33</v>
      </c>
      <c r="D14" s="11">
        <f t="shared" si="2"/>
        <v>0.49901009861838752</v>
      </c>
      <c r="E14" s="12">
        <f t="shared" si="0"/>
        <v>134.39838986089029</v>
      </c>
    </row>
    <row r="15" spans="1:8" x14ac:dyDescent="0.3">
      <c r="A15" s="11">
        <v>2028</v>
      </c>
      <c r="B15" s="11">
        <f t="shared" si="1"/>
        <v>8</v>
      </c>
      <c r="C15" s="12">
        <v>269.33</v>
      </c>
      <c r="D15" s="11">
        <f t="shared" si="2"/>
        <v>0.45183731756527823</v>
      </c>
      <c r="E15" s="12">
        <f t="shared" si="0"/>
        <v>121.69334473985637</v>
      </c>
    </row>
    <row r="17" spans="1:8" ht="15" thickBot="1" x14ac:dyDescent="0.35"/>
    <row r="18" spans="1:8" ht="15" thickBot="1" x14ac:dyDescent="0.35">
      <c r="A18" s="10" t="s">
        <v>47</v>
      </c>
      <c r="B18" s="10" t="s">
        <v>26</v>
      </c>
      <c r="C18" s="10" t="s">
        <v>49</v>
      </c>
      <c r="D18" s="10" t="s">
        <v>22</v>
      </c>
      <c r="E18" s="10" t="s">
        <v>21</v>
      </c>
      <c r="H18" s="29" t="s">
        <v>51</v>
      </c>
    </row>
    <row r="20" spans="1:8" x14ac:dyDescent="0.3">
      <c r="A20" s="11">
        <v>2020</v>
      </c>
      <c r="B20" s="11">
        <v>1</v>
      </c>
      <c r="C20" s="12">
        <v>3405</v>
      </c>
      <c r="D20" s="11">
        <f>(1+$B$2)^(-B20)</f>
        <v>0.90546728175698887</v>
      </c>
      <c r="E20" s="12">
        <f>D20*C20</f>
        <v>3083.1160943825471</v>
      </c>
    </row>
    <row r="21" spans="1:8" x14ac:dyDescent="0.3">
      <c r="A21" s="11">
        <v>2021</v>
      </c>
      <c r="B21" s="11">
        <f>B20+1</f>
        <v>2</v>
      </c>
      <c r="C21" s="12">
        <v>4703.17</v>
      </c>
      <c r="D21" s="11">
        <f t="shared" ref="D21:D28" si="3">(1+$B$2)^(-B21)</f>
        <v>0.81987099833239019</v>
      </c>
      <c r="E21" s="12">
        <f t="shared" ref="E21:E28" si="4">D21*C21</f>
        <v>3855.9926832269475</v>
      </c>
    </row>
    <row r="22" spans="1:8" x14ac:dyDescent="0.3">
      <c r="A22" s="11">
        <v>2022</v>
      </c>
      <c r="B22" s="11">
        <f t="shared" ref="B22:B28" si="5">B21+1</f>
        <v>3</v>
      </c>
      <c r="C22" s="12">
        <v>2624.57</v>
      </c>
      <c r="D22" s="11">
        <f t="shared" si="3"/>
        <v>0.74236636425141811</v>
      </c>
      <c r="E22" s="12">
        <f t="shared" si="4"/>
        <v>1948.3924886233447</v>
      </c>
    </row>
    <row r="23" spans="1:8" x14ac:dyDescent="0.3">
      <c r="A23" s="11">
        <v>2023</v>
      </c>
      <c r="B23" s="11">
        <f t="shared" si="5"/>
        <v>4</v>
      </c>
      <c r="C23" s="12">
        <v>2624.57</v>
      </c>
      <c r="D23" s="11">
        <f t="shared" si="3"/>
        <v>0.67218845390655013</v>
      </c>
      <c r="E23" s="12">
        <f t="shared" si="4"/>
        <v>1764.2056504695145</v>
      </c>
    </row>
    <row r="24" spans="1:8" x14ac:dyDescent="0.3">
      <c r="A24" s="11">
        <v>2024</v>
      </c>
      <c r="B24" s="11">
        <f t="shared" si="5"/>
        <v>5</v>
      </c>
      <c r="C24" s="12">
        <v>445.93</v>
      </c>
      <c r="D24" s="11">
        <f>(1+$B$2)^(-B24)</f>
        <v>0.60864465218719688</v>
      </c>
      <c r="E24" s="12">
        <f t="shared" si="4"/>
        <v>271.41290974983673</v>
      </c>
    </row>
    <row r="25" spans="1:8" x14ac:dyDescent="0.3">
      <c r="A25" s="11">
        <v>2025</v>
      </c>
      <c r="B25" s="11">
        <f t="shared" si="5"/>
        <v>6</v>
      </c>
      <c r="C25" s="12">
        <v>445.93</v>
      </c>
      <c r="D25" s="11">
        <f t="shared" si="3"/>
        <v>0.5511078187718691</v>
      </c>
      <c r="E25" s="12">
        <f>D25*C25</f>
        <v>245.75550962493958</v>
      </c>
    </row>
    <row r="26" spans="1:8" x14ac:dyDescent="0.3">
      <c r="A26" s="11">
        <v>2026</v>
      </c>
      <c r="B26" s="11">
        <f t="shared" si="5"/>
        <v>7</v>
      </c>
      <c r="C26" s="12">
        <v>58.05</v>
      </c>
      <c r="D26" s="11">
        <f t="shared" si="3"/>
        <v>0.49901009861838752</v>
      </c>
      <c r="E26" s="12">
        <f t="shared" si="4"/>
        <v>28.967536224797396</v>
      </c>
    </row>
    <row r="27" spans="1:8" x14ac:dyDescent="0.3">
      <c r="A27" s="11">
        <v>2027</v>
      </c>
      <c r="B27" s="11">
        <f t="shared" si="5"/>
        <v>8</v>
      </c>
      <c r="C27" s="12">
        <v>58.05</v>
      </c>
      <c r="D27" s="11">
        <f t="shared" si="3"/>
        <v>0.45183731756527823</v>
      </c>
      <c r="E27" s="12">
        <f t="shared" si="4"/>
        <v>26.229156284664398</v>
      </c>
    </row>
    <row r="28" spans="1:8" x14ac:dyDescent="0.3">
      <c r="A28" s="11">
        <v>2028</v>
      </c>
      <c r="B28" s="11">
        <f t="shared" si="5"/>
        <v>9</v>
      </c>
      <c r="C28" s="12">
        <v>58.05</v>
      </c>
      <c r="D28" s="11">
        <f t="shared" si="3"/>
        <v>0.40912390773220181</v>
      </c>
      <c r="E28" s="12">
        <f t="shared" si="4"/>
        <v>23.749642843854314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J20"/>
  <sheetViews>
    <sheetView topLeftCell="B1" zoomScale="95" zoomScaleNormal="95" workbookViewId="0">
      <selection activeCell="I25" sqref="I25"/>
    </sheetView>
  </sheetViews>
  <sheetFormatPr defaultRowHeight="14.4" x14ac:dyDescent="0.3"/>
  <cols>
    <col min="1" max="1" width="14.5546875" customWidth="1"/>
    <col min="3" max="3" width="25.33203125" customWidth="1"/>
    <col min="4" max="4" width="24.5546875" customWidth="1"/>
    <col min="5" max="5" width="28.88671875" customWidth="1"/>
    <col min="6" max="6" width="19.109375" customWidth="1"/>
    <col min="7" max="7" width="30.6640625" customWidth="1"/>
    <col min="8" max="8" width="24.109375" customWidth="1"/>
    <col min="9" max="9" width="31.6640625" customWidth="1"/>
    <col min="10" max="10" width="23" customWidth="1"/>
  </cols>
  <sheetData>
    <row r="4" spans="1:10" x14ac:dyDescent="0.3">
      <c r="A4" s="32" t="s">
        <v>18</v>
      </c>
      <c r="B4" s="33">
        <f>coc</f>
        <v>0.11</v>
      </c>
      <c r="E4" s="18" t="s">
        <v>54</v>
      </c>
    </row>
    <row r="6" spans="1:10" x14ac:dyDescent="0.3">
      <c r="C6" s="10" t="s">
        <v>26</v>
      </c>
      <c r="D6" s="10" t="s">
        <v>97</v>
      </c>
      <c r="E6" s="10" t="s">
        <v>98</v>
      </c>
      <c r="F6" s="10" t="s">
        <v>29</v>
      </c>
      <c r="G6" s="10" t="s">
        <v>23</v>
      </c>
      <c r="H6" s="10" t="s">
        <v>28</v>
      </c>
      <c r="I6" s="10" t="s">
        <v>22</v>
      </c>
      <c r="J6" s="10" t="s">
        <v>27</v>
      </c>
    </row>
    <row r="8" spans="1:10" x14ac:dyDescent="0.3">
      <c r="C8" s="11">
        <v>0</v>
      </c>
      <c r="D8" s="12">
        <f>Overview!$B$41*(1+Overview!$E$41)^C8</f>
        <v>4500</v>
      </c>
      <c r="E8" s="12">
        <f>Overview!$B$42*(1+Overview!$E$42)^C8</f>
        <v>3000</v>
      </c>
      <c r="F8" s="12">
        <f>Overview!$B$47*(1+Overview!$E$47)^C8</f>
        <v>30</v>
      </c>
      <c r="G8" s="12">
        <f t="shared" ref="G8:G17" si="0">SUM(D8:F8)</f>
        <v>7530</v>
      </c>
      <c r="H8" s="12">
        <f>0.9*G8</f>
        <v>6777</v>
      </c>
      <c r="I8" s="11">
        <f t="shared" ref="I8:I17" si="1">(1+coc)^(-C8)</f>
        <v>1</v>
      </c>
      <c r="J8" s="12">
        <f t="shared" ref="J8:J17" si="2">H8*I8</f>
        <v>6777</v>
      </c>
    </row>
    <row r="9" spans="1:10" x14ac:dyDescent="0.3">
      <c r="C9" s="11">
        <f t="shared" ref="C9:C18" si="3">C8+1</f>
        <v>1</v>
      </c>
      <c r="D9" s="12">
        <f>Overview!$B$41*(1+Overview!$E$41)^C9</f>
        <v>4725</v>
      </c>
      <c r="E9" s="12">
        <f>Overview!$B$42*(1+Overview!$E$42)^C9</f>
        <v>3240</v>
      </c>
      <c r="F9" s="12">
        <f>Overview!$B$47*(1+Overview!$E$47)^C9</f>
        <v>30.900000000000002</v>
      </c>
      <c r="G9" s="12">
        <f t="shared" si="0"/>
        <v>7995.9</v>
      </c>
      <c r="H9" s="12">
        <f t="shared" ref="H9:H17" si="4">0.9*G9</f>
        <v>7196.3099999999995</v>
      </c>
      <c r="I9" s="11">
        <f t="shared" si="1"/>
        <v>0.9009009009009008</v>
      </c>
      <c r="J9" s="12">
        <f>H9*I9</f>
        <v>6483.1621621621607</v>
      </c>
    </row>
    <row r="10" spans="1:10" x14ac:dyDescent="0.3">
      <c r="C10" s="11">
        <f t="shared" si="3"/>
        <v>2</v>
      </c>
      <c r="D10" s="12">
        <f>Overview!$B$41*(1+Overview!$E$41)^C10</f>
        <v>4961.25</v>
      </c>
      <c r="E10" s="12">
        <f>Overview!$B$42*(1+Overview!$E$42)^C10</f>
        <v>3499.2000000000003</v>
      </c>
      <c r="F10" s="12">
        <f>Overview!$B$47*(1+Overview!$E$47)^C10</f>
        <v>31.826999999999998</v>
      </c>
      <c r="G10" s="12">
        <f t="shared" si="0"/>
        <v>8492.277</v>
      </c>
      <c r="H10" s="12">
        <f t="shared" si="4"/>
        <v>7643.0493000000006</v>
      </c>
      <c r="I10" s="11">
        <f t="shared" si="1"/>
        <v>0.8116224332440547</v>
      </c>
      <c r="J10" s="12">
        <f t="shared" si="2"/>
        <v>6203.2702702702691</v>
      </c>
    </row>
    <row r="11" spans="1:10" x14ac:dyDescent="0.3">
      <c r="C11" s="11">
        <f t="shared" si="3"/>
        <v>3</v>
      </c>
      <c r="D11" s="12">
        <f>Overview!$B$41*(1+Overview!$E$41)^C11</f>
        <v>5209.3125000000009</v>
      </c>
      <c r="E11" s="12">
        <f>Overview!$B$42*(1+Overview!$E$42)^C11</f>
        <v>3779.1360000000004</v>
      </c>
      <c r="F11" s="12">
        <f>Overview!$B$47*(1+Overview!$E$47)^C11</f>
        <v>32.78181</v>
      </c>
      <c r="G11" s="12">
        <f t="shared" si="0"/>
        <v>9021.2303100000026</v>
      </c>
      <c r="H11" s="12">
        <f>0.9*G11</f>
        <v>8119.1072790000026</v>
      </c>
      <c r="I11" s="11">
        <f t="shared" si="1"/>
        <v>0.73119138130095018</v>
      </c>
      <c r="J11" s="12">
        <f t="shared" si="2"/>
        <v>5936.6212662626112</v>
      </c>
    </row>
    <row r="12" spans="1:10" x14ac:dyDescent="0.3">
      <c r="C12" s="11">
        <f t="shared" si="3"/>
        <v>4</v>
      </c>
      <c r="D12" s="12">
        <f>Overview!$B$41*(1+Overview!$E$41)^C12</f>
        <v>5469.7781249999998</v>
      </c>
      <c r="E12" s="12">
        <f>Overview!$B$42*(1+Overview!$E$42)^C12</f>
        <v>4081.4668800000009</v>
      </c>
      <c r="F12" s="12">
        <f>Overview!$B$47*(1+Overview!$E$47)^C12</f>
        <v>33.765264299999998</v>
      </c>
      <c r="G12" s="12">
        <f t="shared" si="0"/>
        <v>9585.0102693000008</v>
      </c>
      <c r="H12" s="12">
        <f t="shared" si="4"/>
        <v>8626.5092423700007</v>
      </c>
      <c r="I12" s="11">
        <f t="shared" si="1"/>
        <v>0.65873097414500015</v>
      </c>
      <c r="J12" s="12">
        <f t="shared" si="2"/>
        <v>5682.5488366972377</v>
      </c>
    </row>
    <row r="13" spans="1:10" x14ac:dyDescent="0.3">
      <c r="C13" s="11">
        <f t="shared" si="3"/>
        <v>5</v>
      </c>
      <c r="D13" s="12">
        <f>Overview!$B$41*(1+Overview!$E$41)^C13</f>
        <v>5743.2670312500004</v>
      </c>
      <c r="E13" s="12">
        <f>Overview!$B$42*(1+Overview!$E$42)^C13</f>
        <v>4407.9842304000013</v>
      </c>
      <c r="F13" s="12">
        <f>Overview!$B$47*(1+Overview!$E$47)^C13</f>
        <v>34.778222228999994</v>
      </c>
      <c r="G13" s="12">
        <f t="shared" si="0"/>
        <v>10186.029483879003</v>
      </c>
      <c r="H13" s="12">
        <f t="shared" si="4"/>
        <v>9167.426535491104</v>
      </c>
      <c r="I13" s="11">
        <f t="shared" si="1"/>
        <v>0.5934513280585586</v>
      </c>
      <c r="J13" s="12">
        <f t="shared" si="2"/>
        <v>5440.4214523664668</v>
      </c>
    </row>
    <row r="14" spans="1:10" x14ac:dyDescent="0.3">
      <c r="C14" s="11">
        <f t="shared" si="3"/>
        <v>6</v>
      </c>
      <c r="D14" s="12">
        <f>Overview!$B$41*(1+Overview!$E$41)^C14</f>
        <v>6030.4303828125003</v>
      </c>
      <c r="E14" s="12">
        <f>Overview!$B$42*(1+Overview!$E$42)^C14</f>
        <v>4760.6229688320018</v>
      </c>
      <c r="F14" s="12">
        <f>Overview!$B$47*(1+Overview!$E$47)^C14</f>
        <v>35.821568895869994</v>
      </c>
      <c r="G14" s="12">
        <f t="shared" si="0"/>
        <v>10826.874920540373</v>
      </c>
      <c r="H14" s="12">
        <f t="shared" si="4"/>
        <v>9744.1874284863352</v>
      </c>
      <c r="I14" s="11">
        <f t="shared" si="1"/>
        <v>0.53464083608879154</v>
      </c>
      <c r="J14" s="12">
        <f t="shared" si="2"/>
        <v>5209.6405137718257</v>
      </c>
    </row>
    <row r="15" spans="1:10" x14ac:dyDescent="0.3">
      <c r="C15" s="11">
        <f t="shared" si="3"/>
        <v>7</v>
      </c>
      <c r="D15" s="12">
        <f>Overview!$B$41*(1+Overview!$E$41)^C15</f>
        <v>6331.9519019531263</v>
      </c>
      <c r="E15" s="12">
        <f>Overview!$B$42*(1+Overview!$E$42)^C15</f>
        <v>5141.4728063385619</v>
      </c>
      <c r="F15" s="12">
        <f>Overview!$B$47*(1+Overview!$E$47)^C15</f>
        <v>36.896215962746098</v>
      </c>
      <c r="G15" s="12">
        <f t="shared" si="0"/>
        <v>11510.320924254434</v>
      </c>
      <c r="H15" s="12">
        <f t="shared" si="4"/>
        <v>10359.288831828992</v>
      </c>
      <c r="I15" s="11">
        <f t="shared" si="1"/>
        <v>0.48165841089080319</v>
      </c>
      <c r="J15" s="12">
        <f t="shared" si="2"/>
        <v>4989.6385966975968</v>
      </c>
    </row>
    <row r="16" spans="1:10" x14ac:dyDescent="0.3">
      <c r="C16" s="11">
        <f t="shared" si="3"/>
        <v>8</v>
      </c>
      <c r="D16" s="12">
        <f>Overview!$B$41*(1+Overview!$E$41)^C16</f>
        <v>6648.5494970507816</v>
      </c>
      <c r="E16" s="12">
        <f>Overview!$B$42*(1+Overview!$E$42)^C16</f>
        <v>5552.7906308456468</v>
      </c>
      <c r="F16" s="12">
        <f>Overview!$B$47*(1+Overview!$E$47)^C16</f>
        <v>38.003102441628478</v>
      </c>
      <c r="G16" s="12">
        <f t="shared" si="0"/>
        <v>12239.343230338058</v>
      </c>
      <c r="H16" s="12">
        <f t="shared" si="4"/>
        <v>11015.408907304252</v>
      </c>
      <c r="I16" s="11">
        <f t="shared" si="1"/>
        <v>0.43392649629802077</v>
      </c>
      <c r="J16" s="12">
        <f t="shared" si="2"/>
        <v>4779.877792436544</v>
      </c>
    </row>
    <row r="17" spans="3:10" x14ac:dyDescent="0.3">
      <c r="C17" s="11">
        <f t="shared" si="3"/>
        <v>9</v>
      </c>
      <c r="D17" s="12">
        <f>Overview!$B$41*(1+Overview!$E$41)^C17</f>
        <v>6980.9769719033211</v>
      </c>
      <c r="E17" s="12">
        <f>Overview!$B$42*(1+Overview!$E$42)^C17</f>
        <v>5997.013881313299</v>
      </c>
      <c r="F17" s="12">
        <f>Overview!$B$47*(1+Overview!$E$47)^C17</f>
        <v>39.143195514877334</v>
      </c>
      <c r="G17" s="12">
        <f t="shared" si="0"/>
        <v>13017.134048731496</v>
      </c>
      <c r="H17" s="12">
        <f t="shared" si="4"/>
        <v>11715.420643858346</v>
      </c>
      <c r="I17" s="11">
        <f t="shared" si="1"/>
        <v>0.39092477143965831</v>
      </c>
      <c r="J17" s="12">
        <f t="shared" si="2"/>
        <v>4579.8481375197789</v>
      </c>
    </row>
    <row r="18" spans="3:10" x14ac:dyDescent="0.3">
      <c r="C18" s="11">
        <f t="shared" si="3"/>
        <v>10</v>
      </c>
      <c r="D18" s="12"/>
      <c r="E18" s="12"/>
      <c r="F18" s="12"/>
      <c r="G18" s="12"/>
      <c r="H18" s="12"/>
      <c r="I18" s="12"/>
      <c r="J18" s="12"/>
    </row>
    <row r="20" spans="3:10" x14ac:dyDescent="0.3">
      <c r="G20">
        <f>(1+coc)^(-C13)</f>
        <v>0.5934513280585586</v>
      </c>
      <c r="I20" s="15" t="s">
        <v>20</v>
      </c>
      <c r="J20" s="14">
        <f>SUM(J8:J17)</f>
        <v>56082.029028184486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0"/>
  <sheetViews>
    <sheetView topLeftCell="B1" workbookViewId="0">
      <selection activeCell="G28" sqref="G28"/>
    </sheetView>
  </sheetViews>
  <sheetFormatPr defaultRowHeight="14.4" x14ac:dyDescent="0.3"/>
  <cols>
    <col min="1" max="1" width="15.6640625" customWidth="1"/>
    <col min="3" max="3" width="21.5546875" customWidth="1"/>
    <col min="4" max="4" width="16.6640625" customWidth="1"/>
    <col min="5" max="5" width="21.44140625" bestFit="1" customWidth="1"/>
    <col min="6" max="6" width="22.109375" customWidth="1"/>
    <col min="7" max="7" width="19.33203125" customWidth="1"/>
    <col min="8" max="8" width="19" customWidth="1"/>
    <col min="9" max="9" width="21" customWidth="1"/>
    <col min="10" max="10" width="19" customWidth="1"/>
    <col min="11" max="11" width="19.44140625" customWidth="1"/>
    <col min="15" max="15" width="18.5546875" customWidth="1"/>
    <col min="16" max="16" width="21.109375" customWidth="1"/>
    <col min="17" max="17" width="17.6640625" customWidth="1"/>
  </cols>
  <sheetData>
    <row r="3" spans="1:11" x14ac:dyDescent="0.3">
      <c r="A3" s="32" t="s">
        <v>18</v>
      </c>
      <c r="B3" s="33">
        <f>coc</f>
        <v>0.11</v>
      </c>
    </row>
    <row r="4" spans="1:11" x14ac:dyDescent="0.3">
      <c r="E4" s="18" t="s">
        <v>54</v>
      </c>
    </row>
    <row r="6" spans="1:11" x14ac:dyDescent="0.3">
      <c r="C6" s="10" t="s">
        <v>26</v>
      </c>
      <c r="D6" s="10" t="s">
        <v>6</v>
      </c>
      <c r="E6" s="10" t="s">
        <v>84</v>
      </c>
      <c r="F6" s="10" t="s">
        <v>25</v>
      </c>
      <c r="G6" s="10" t="s">
        <v>24</v>
      </c>
      <c r="H6" s="10" t="s">
        <v>3</v>
      </c>
      <c r="I6" s="10" t="s">
        <v>23</v>
      </c>
      <c r="J6" s="10" t="s">
        <v>22</v>
      </c>
      <c r="K6" s="10" t="s">
        <v>21</v>
      </c>
    </row>
    <row r="8" spans="1:11" x14ac:dyDescent="0.3">
      <c r="C8" s="11">
        <v>0</v>
      </c>
      <c r="D8" s="12">
        <f>Overview!C40</f>
        <v>150</v>
      </c>
      <c r="E8" s="12"/>
      <c r="F8" s="12"/>
      <c r="G8" s="12"/>
      <c r="H8" s="12"/>
      <c r="I8" s="12">
        <f t="shared" ref="I8:I18" si="0">SUM(D8:H8)</f>
        <v>150</v>
      </c>
      <c r="J8" s="11">
        <f t="shared" ref="J8:J18" si="1">(1+coc)^(-C8)</f>
        <v>1</v>
      </c>
      <c r="K8" s="12">
        <f t="shared" ref="K8:K18" si="2">J8*I8</f>
        <v>150</v>
      </c>
    </row>
    <row r="9" spans="1:11" x14ac:dyDescent="0.3">
      <c r="C9" s="11">
        <f t="shared" ref="C9:C18" si="3">C8+1</f>
        <v>1</v>
      </c>
      <c r="D9" s="12"/>
      <c r="E9" s="12">
        <f>(Overview!$C$43*(1+Overview!$E$43)^('Expense (without Alternium )'!C9-1))</f>
        <v>1620</v>
      </c>
      <c r="F9" s="12">
        <f>(Overview!$C$44*(1+Overview!$E$44)^('Expense (without Alternium )'!C9-1))</f>
        <v>1440</v>
      </c>
      <c r="G9" s="12"/>
      <c r="H9" s="12">
        <f>(Overview!$C$46*(1+Overview!$E$46)^('Expense (without Alternium )'!C9-1))</f>
        <v>500</v>
      </c>
      <c r="I9" s="12">
        <f t="shared" si="0"/>
        <v>3560</v>
      </c>
      <c r="J9" s="11">
        <f t="shared" si="1"/>
        <v>0.9009009009009008</v>
      </c>
      <c r="K9" s="12">
        <f t="shared" si="2"/>
        <v>3207.2072072072069</v>
      </c>
    </row>
    <row r="10" spans="1:11" x14ac:dyDescent="0.3">
      <c r="C10" s="11">
        <f t="shared" si="3"/>
        <v>2</v>
      </c>
      <c r="D10" s="12"/>
      <c r="E10" s="12">
        <f>(Overview!$C$43*(1+Overview!$E$43)^('Expense (without Alternium )'!C10-1))</f>
        <v>1701</v>
      </c>
      <c r="F10" s="12">
        <f>(Overview!$C$44*(1+Overview!$E$44)^('Expense (without Alternium )'!C10-1))</f>
        <v>1555.2</v>
      </c>
      <c r="G10" s="12"/>
      <c r="H10" s="12">
        <f>(Overview!$C$46*(1+Overview!$E$46)^('Expense (without Alternium )'!C10-1))</f>
        <v>525</v>
      </c>
      <c r="I10" s="12">
        <f t="shared" si="0"/>
        <v>3781.2</v>
      </c>
      <c r="J10" s="11">
        <f t="shared" si="1"/>
        <v>0.8116224332440547</v>
      </c>
      <c r="K10" s="12">
        <f t="shared" si="2"/>
        <v>3068.9067445824194</v>
      </c>
    </row>
    <row r="11" spans="1:11" x14ac:dyDescent="0.3">
      <c r="C11" s="11">
        <f t="shared" si="3"/>
        <v>3</v>
      </c>
      <c r="D11" s="12"/>
      <c r="E11" s="12">
        <f>(Overview!$C$43*(1+Overview!$E$43)^('Expense (without Alternium )'!C11-1))</f>
        <v>1786.05</v>
      </c>
      <c r="F11" s="12">
        <f>(Overview!$C$44*(1+Overview!$E$44)^('Expense (without Alternium )'!C11-1))</f>
        <v>1679.6160000000002</v>
      </c>
      <c r="G11" s="12"/>
      <c r="H11" s="12">
        <f>(Overview!$C$46*(1+Overview!$E$46)^('Expense (without Alternium )'!C11-1))</f>
        <v>551.25</v>
      </c>
      <c r="I11" s="12">
        <f t="shared" si="0"/>
        <v>4016.9160000000002</v>
      </c>
      <c r="J11" s="11">
        <f t="shared" si="1"/>
        <v>0.73119138130095018</v>
      </c>
      <c r="K11" s="12">
        <f t="shared" si="2"/>
        <v>2937.1343586098878</v>
      </c>
    </row>
    <row r="12" spans="1:11" x14ac:dyDescent="0.3">
      <c r="C12" s="11">
        <f t="shared" si="3"/>
        <v>4</v>
      </c>
      <c r="D12" s="12"/>
      <c r="E12" s="12">
        <f>(Overview!$C$43*(1+Overview!$E$43)^('Expense (without Alternium )'!C12-1))</f>
        <v>1875.3525000000002</v>
      </c>
      <c r="F12" s="12">
        <f>(Overview!$C$44*(1+Overview!$E$44)^('Expense (without Alternium )'!C12-1))</f>
        <v>1813.9852800000003</v>
      </c>
      <c r="G12" s="12"/>
      <c r="H12" s="12">
        <f>(Overview!$C$46*(1+Overview!$E$46)^('Expense (without Alternium )'!C12-1))</f>
        <v>578.81250000000011</v>
      </c>
      <c r="I12" s="12">
        <f t="shared" si="0"/>
        <v>4268.1502800000007</v>
      </c>
      <c r="J12" s="11">
        <f t="shared" si="1"/>
        <v>0.65873097414500015</v>
      </c>
      <c r="K12" s="12">
        <f t="shared" si="2"/>
        <v>2811.5627917416555</v>
      </c>
    </row>
    <row r="13" spans="1:11" x14ac:dyDescent="0.3">
      <c r="C13" s="11">
        <f t="shared" si="3"/>
        <v>5</v>
      </c>
      <c r="D13" s="12"/>
      <c r="E13" s="12">
        <f>(Overview!$C$43*(1+Overview!$E$43)^('Expense (without Alternium )'!C13-1))</f>
        <v>1969.1201249999999</v>
      </c>
      <c r="F13" s="12">
        <f>(Overview!$C$44*(1+Overview!$E$44)^('Expense (without Alternium )'!C13-1))</f>
        <v>1959.1041024000003</v>
      </c>
      <c r="G13" s="12"/>
      <c r="H13" s="12">
        <f>(Overview!$C$46*(1+Overview!$E$46)^('Expense (without Alternium )'!C13-1))</f>
        <v>607.75312499999995</v>
      </c>
      <c r="I13" s="12">
        <f t="shared" si="0"/>
        <v>4535.9773524000002</v>
      </c>
      <c r="J13" s="11">
        <f t="shared" si="1"/>
        <v>0.5934513280585586</v>
      </c>
      <c r="K13" s="12">
        <f t="shared" si="2"/>
        <v>2691.8817838253244</v>
      </c>
    </row>
    <row r="14" spans="1:11" x14ac:dyDescent="0.3">
      <c r="C14" s="11">
        <f t="shared" si="3"/>
        <v>6</v>
      </c>
      <c r="D14" s="12"/>
      <c r="E14" s="12">
        <f>(Overview!$C$43*(1+Overview!$E$43)^('Expense (without Alternium )'!C14-1))</f>
        <v>2067.5761312500003</v>
      </c>
      <c r="F14" s="12">
        <f>(Overview!$C$44*(1+Overview!$E$44)^('Expense (without Alternium )'!C14-1))</f>
        <v>2115.8324305920005</v>
      </c>
      <c r="G14" s="12"/>
      <c r="H14" s="12">
        <f>(Overview!$C$46*(1+Overview!$E$46)^('Expense (without Alternium )'!C14-1))</f>
        <v>638.14078125000003</v>
      </c>
      <c r="I14" s="12">
        <f t="shared" si="0"/>
        <v>4821.5493430920014</v>
      </c>
      <c r="J14" s="11">
        <f t="shared" si="1"/>
        <v>0.53464083608879154</v>
      </c>
      <c r="K14" s="12">
        <f t="shared" si="2"/>
        <v>2577.7971720340711</v>
      </c>
    </row>
    <row r="15" spans="1:11" x14ac:dyDescent="0.3">
      <c r="C15" s="11">
        <f t="shared" si="3"/>
        <v>7</v>
      </c>
      <c r="D15" s="12"/>
      <c r="E15" s="12">
        <f>(Overview!$C$43*(1+Overview!$E$43)^('Expense (without Alternium )'!C15-1))</f>
        <v>2170.9549378124998</v>
      </c>
      <c r="F15" s="12">
        <f>(Overview!$C$44*(1+Overview!$E$44)^('Expense (without Alternium )'!C15-1))</f>
        <v>2285.0990250393606</v>
      </c>
      <c r="G15" s="12"/>
      <c r="H15" s="12">
        <f>(Overview!$C$46*(1+Overview!$E$46)^('Expense (without Alternium )'!C15-1))</f>
        <v>670.04782031249999</v>
      </c>
      <c r="I15" s="12">
        <f t="shared" si="0"/>
        <v>5126.1017831643603</v>
      </c>
      <c r="J15" s="11">
        <f t="shared" si="1"/>
        <v>0.48165841089080319</v>
      </c>
      <c r="K15" s="12">
        <f t="shared" si="2"/>
        <v>2469.0300389434583</v>
      </c>
    </row>
    <row r="16" spans="1:11" x14ac:dyDescent="0.3">
      <c r="C16" s="11">
        <f t="shared" si="3"/>
        <v>8</v>
      </c>
      <c r="D16" s="12"/>
      <c r="E16" s="12">
        <f>(Overview!$C$43*(1+Overview!$E$43)^('Expense (without Alternium )'!C16-1))</f>
        <v>2279.5026847031254</v>
      </c>
      <c r="F16" s="12">
        <f>(Overview!$C$44*(1+Overview!$E$44)^('Expense (without Alternium )'!C16-1))</f>
        <v>2467.9069470425097</v>
      </c>
      <c r="G16" s="12">
        <v>649.26</v>
      </c>
      <c r="H16" s="12">
        <f>(Overview!$C$46*(1+Overview!$E$46)^('Expense (without Alternium )'!C16-1))</f>
        <v>703.5502113281251</v>
      </c>
      <c r="I16" s="12">
        <f t="shared" si="0"/>
        <v>6100.2198430737608</v>
      </c>
      <c r="J16" s="11">
        <f t="shared" si="1"/>
        <v>0.43392649629802077</v>
      </c>
      <c r="K16" s="12">
        <f t="shared" si="2"/>
        <v>2647.0470231526592</v>
      </c>
    </row>
    <row r="17" spans="3:11" x14ac:dyDescent="0.3">
      <c r="C17" s="11">
        <f t="shared" si="3"/>
        <v>9</v>
      </c>
      <c r="D17" s="12"/>
      <c r="E17" s="12">
        <f>(Overview!$C$43*(1+Overview!$E$43)^('Expense (without Alternium )'!C17-1))</f>
        <v>2393.4778189382814</v>
      </c>
      <c r="F17" s="12">
        <f>(Overview!$C$44*(1+Overview!$E$44)^('Expense (without Alternium )'!C17-1))</f>
        <v>2665.3395028059103</v>
      </c>
      <c r="G17" s="12"/>
      <c r="H17" s="12">
        <f>(Overview!$C$46*(1+Overview!$E$46)^('Expense (without Alternium )'!C17-1))</f>
        <v>738.72772189453133</v>
      </c>
      <c r="I17" s="12">
        <f t="shared" si="0"/>
        <v>5797.5450436387227</v>
      </c>
      <c r="J17" s="11">
        <f t="shared" si="1"/>
        <v>0.39092477143965831</v>
      </c>
      <c r="K17" s="12">
        <f t="shared" si="2"/>
        <v>2266.4039710955917</v>
      </c>
    </row>
    <row r="18" spans="3:11" x14ac:dyDescent="0.3">
      <c r="C18" s="11">
        <f t="shared" si="3"/>
        <v>10</v>
      </c>
      <c r="D18" s="12"/>
      <c r="E18" s="12">
        <f>(Overview!$C$43*(1+Overview!$E$43)^('Expense (without Alternium )'!C18-1))</f>
        <v>2513.1517098851955</v>
      </c>
      <c r="F18" s="12">
        <f>(Overview!$C$44*(1+Overview!$E$44)^('Expense (without Alternium )'!C18-1))</f>
        <v>2878.5666630303836</v>
      </c>
      <c r="G18" s="12"/>
      <c r="H18" s="12">
        <f>(Overview!$C$46*(1+Overview!$E$46)^('Expense (without Alternium )'!C18-1))</f>
        <v>775.6641079892579</v>
      </c>
      <c r="I18" s="12">
        <f t="shared" si="0"/>
        <v>6167.3824809048365</v>
      </c>
      <c r="J18" s="11">
        <f t="shared" si="1"/>
        <v>0.3521844787744669</v>
      </c>
      <c r="K18" s="12">
        <f t="shared" si="2"/>
        <v>2172.0563844402486</v>
      </c>
    </row>
    <row r="20" spans="3:11" x14ac:dyDescent="0.3">
      <c r="J20" s="15" t="s">
        <v>20</v>
      </c>
      <c r="K20" s="14">
        <f>SUM(K8:K17)</f>
        <v>24826.971091192278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0"/>
  <sheetViews>
    <sheetView topLeftCell="C1" zoomScaleNormal="100" workbookViewId="0">
      <selection activeCell="H5" sqref="H5"/>
    </sheetView>
  </sheetViews>
  <sheetFormatPr defaultRowHeight="14.4" x14ac:dyDescent="0.3"/>
  <cols>
    <col min="1" max="1" width="14.109375" customWidth="1"/>
    <col min="2" max="2" width="14.33203125" bestFit="1" customWidth="1"/>
    <col min="5" max="5" width="27.5546875" bestFit="1" customWidth="1"/>
    <col min="6" max="6" width="20.109375" customWidth="1"/>
    <col min="8" max="8" width="12.33203125" customWidth="1"/>
    <col min="9" max="9" width="14.33203125" bestFit="1" customWidth="1"/>
  </cols>
  <sheetData>
    <row r="2" spans="1:6" x14ac:dyDescent="0.3">
      <c r="E2" s="9" t="s">
        <v>31</v>
      </c>
      <c r="F2" s="23">
        <f>F20-B20</f>
        <v>29083.001552551959</v>
      </c>
    </row>
    <row r="4" spans="1:6" x14ac:dyDescent="0.3">
      <c r="A4" s="17" t="s">
        <v>52</v>
      </c>
      <c r="E4" s="17" t="s">
        <v>56</v>
      </c>
    </row>
    <row r="6" spans="1:6" x14ac:dyDescent="0.3">
      <c r="A6" s="10" t="s">
        <v>26</v>
      </c>
      <c r="B6" s="10" t="s">
        <v>53</v>
      </c>
      <c r="E6" s="10" t="s">
        <v>26</v>
      </c>
      <c r="F6" s="10" t="s">
        <v>62</v>
      </c>
    </row>
    <row r="8" spans="1:6" x14ac:dyDescent="0.3">
      <c r="A8" s="11">
        <v>0</v>
      </c>
      <c r="B8" s="12">
        <f>'Expense (without Alternium )'!K8:K18</f>
        <v>150</v>
      </c>
      <c r="E8" s="11">
        <v>0</v>
      </c>
      <c r="F8" s="12">
        <f>'Income (without Alternium )'!J8</f>
        <v>6777</v>
      </c>
    </row>
    <row r="9" spans="1:6" x14ac:dyDescent="0.3">
      <c r="A9" s="11">
        <f t="shared" ref="A9:A18" si="0">A8+1</f>
        <v>1</v>
      </c>
      <c r="B9" s="12">
        <f>'Expense (without Alternium )'!K9:K19</f>
        <v>3207.2072072072069</v>
      </c>
      <c r="E9" s="11">
        <f t="shared" ref="E9:E18" si="1">E8+1</f>
        <v>1</v>
      </c>
      <c r="F9" s="12">
        <f>'Income (without Alternium )'!J9</f>
        <v>6483.1621621621607</v>
      </c>
    </row>
    <row r="10" spans="1:6" x14ac:dyDescent="0.3">
      <c r="A10" s="11">
        <f t="shared" si="0"/>
        <v>2</v>
      </c>
      <c r="B10" s="12">
        <f>'Expense (without Alternium )'!K10:K20</f>
        <v>3068.9067445824194</v>
      </c>
      <c r="E10" s="11">
        <f t="shared" si="1"/>
        <v>2</v>
      </c>
      <c r="F10" s="12">
        <f>'Income (without Alternium )'!J10</f>
        <v>6203.2702702702691</v>
      </c>
    </row>
    <row r="11" spans="1:6" x14ac:dyDescent="0.3">
      <c r="A11" s="11">
        <f t="shared" si="0"/>
        <v>3</v>
      </c>
      <c r="B11" s="12">
        <f>'Expense (without Alternium )'!K11:K21</f>
        <v>2937.1343586098878</v>
      </c>
      <c r="E11" s="11">
        <f t="shared" si="1"/>
        <v>3</v>
      </c>
      <c r="F11" s="12">
        <f>'Income (without Alternium )'!J11</f>
        <v>5936.6212662626112</v>
      </c>
    </row>
    <row r="12" spans="1:6" x14ac:dyDescent="0.3">
      <c r="A12" s="11">
        <f t="shared" si="0"/>
        <v>4</v>
      </c>
      <c r="B12" s="12">
        <f>'Expense (without Alternium )'!K12:K22</f>
        <v>2811.5627917416555</v>
      </c>
      <c r="E12" s="11">
        <f t="shared" si="1"/>
        <v>4</v>
      </c>
      <c r="F12" s="12">
        <f>'Income (without Alternium )'!J12</f>
        <v>5682.5488366972377</v>
      </c>
    </row>
    <row r="13" spans="1:6" x14ac:dyDescent="0.3">
      <c r="A13" s="11">
        <f t="shared" si="0"/>
        <v>5</v>
      </c>
      <c r="B13" s="12">
        <f>'Expense (without Alternium )'!K13:K23</f>
        <v>2691.8817838253244</v>
      </c>
      <c r="E13" s="11">
        <f t="shared" si="1"/>
        <v>5</v>
      </c>
      <c r="F13" s="12">
        <f>'Income (without Alternium )'!J13</f>
        <v>5440.4214523664668</v>
      </c>
    </row>
    <row r="14" spans="1:6" x14ac:dyDescent="0.3">
      <c r="A14" s="11">
        <f t="shared" si="0"/>
        <v>6</v>
      </c>
      <c r="B14" s="12">
        <f>'Expense (without Alternium )'!K14:K24</f>
        <v>2577.7971720340711</v>
      </c>
      <c r="E14" s="11">
        <f t="shared" si="1"/>
        <v>6</v>
      </c>
      <c r="F14" s="12">
        <f>'Income (without Alternium )'!J14</f>
        <v>5209.6405137718257</v>
      </c>
    </row>
    <row r="15" spans="1:6" x14ac:dyDescent="0.3">
      <c r="A15" s="11">
        <f t="shared" si="0"/>
        <v>7</v>
      </c>
      <c r="B15" s="12">
        <f>'Expense (without Alternium )'!K15:K25</f>
        <v>2469.0300389434583</v>
      </c>
      <c r="E15" s="11">
        <f t="shared" si="1"/>
        <v>7</v>
      </c>
      <c r="F15" s="12">
        <f>'Income (without Alternium )'!J15</f>
        <v>4989.6385966975968</v>
      </c>
    </row>
    <row r="16" spans="1:6" x14ac:dyDescent="0.3">
      <c r="A16" s="11">
        <f t="shared" si="0"/>
        <v>8</v>
      </c>
      <c r="B16" s="12">
        <f>'Expense (without Alternium )'!K16:K26</f>
        <v>2647.0470231526592</v>
      </c>
      <c r="E16" s="11">
        <f t="shared" si="1"/>
        <v>8</v>
      </c>
      <c r="F16" s="12">
        <f>'Income (without Alternium )'!J16</f>
        <v>4779.877792436544</v>
      </c>
    </row>
    <row r="17" spans="1:6" x14ac:dyDescent="0.3">
      <c r="A17" s="11">
        <f t="shared" si="0"/>
        <v>9</v>
      </c>
      <c r="B17" s="12">
        <f>'Expense (without Alternium )'!K17:K27</f>
        <v>2266.4039710955917</v>
      </c>
      <c r="E17" s="11">
        <f t="shared" si="1"/>
        <v>9</v>
      </c>
      <c r="F17" s="12">
        <f>'Income (without Alternium )'!J17</f>
        <v>4579.8481375197789</v>
      </c>
    </row>
    <row r="18" spans="1:6" x14ac:dyDescent="0.3">
      <c r="A18" s="11">
        <f t="shared" si="0"/>
        <v>10</v>
      </c>
      <c r="B18" s="12">
        <f>'Expense (without Alternium )'!K18:K28</f>
        <v>2172.0563844402486</v>
      </c>
      <c r="E18" s="11">
        <f t="shared" si="1"/>
        <v>10</v>
      </c>
      <c r="F18" s="12">
        <f>'Income (without Alternium )'!J18</f>
        <v>0</v>
      </c>
    </row>
    <row r="20" spans="1:6" x14ac:dyDescent="0.3">
      <c r="A20" s="20" t="s">
        <v>33</v>
      </c>
      <c r="B20" s="21">
        <f>SUM(B8:B18)</f>
        <v>26999.027475632527</v>
      </c>
      <c r="E20" s="20" t="s">
        <v>33</v>
      </c>
      <c r="F20" s="21">
        <f>SUM(F8:F18)</f>
        <v>56082.029028184486</v>
      </c>
    </row>
  </sheetData>
  <conditionalFormatting sqref="F2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9"/>
  <sheetViews>
    <sheetView workbookViewId="0">
      <selection activeCell="A32" sqref="A32"/>
    </sheetView>
  </sheetViews>
  <sheetFormatPr defaultRowHeight="14.4" x14ac:dyDescent="0.3"/>
  <cols>
    <col min="1" max="1" width="13.88671875" bestFit="1" customWidth="1"/>
    <col min="3" max="3" width="11.109375" customWidth="1"/>
    <col min="4" max="4" width="23.44140625" customWidth="1"/>
    <col min="5" max="5" width="28.109375" bestFit="1" customWidth="1"/>
    <col min="6" max="6" width="21.33203125" customWidth="1"/>
    <col min="7" max="7" width="16.6640625" customWidth="1"/>
    <col min="8" max="8" width="14.6640625" bestFit="1" customWidth="1"/>
    <col min="9" max="9" width="22" bestFit="1" customWidth="1"/>
    <col min="10" max="10" width="17.33203125" bestFit="1" customWidth="1"/>
    <col min="11" max="11" width="16.44140625" bestFit="1" customWidth="1"/>
    <col min="13" max="13" width="11.33203125" bestFit="1" customWidth="1"/>
  </cols>
  <sheetData>
    <row r="2" spans="1:11" x14ac:dyDescent="0.3">
      <c r="A2" s="32" t="s">
        <v>18</v>
      </c>
      <c r="B2" s="33">
        <v>0.11</v>
      </c>
    </row>
    <row r="4" spans="1:11" x14ac:dyDescent="0.3">
      <c r="E4" s="18" t="s">
        <v>54</v>
      </c>
    </row>
    <row r="6" spans="1:11" x14ac:dyDescent="0.3">
      <c r="C6" s="10" t="s">
        <v>26</v>
      </c>
      <c r="D6" s="10" t="s">
        <v>97</v>
      </c>
      <c r="E6" s="10" t="s">
        <v>98</v>
      </c>
      <c r="F6" s="10" t="s">
        <v>100</v>
      </c>
      <c r="G6" s="10" t="s">
        <v>29</v>
      </c>
      <c r="H6" s="10" t="s">
        <v>23</v>
      </c>
      <c r="I6" s="10" t="s">
        <v>28</v>
      </c>
      <c r="J6" s="10" t="s">
        <v>22</v>
      </c>
      <c r="K6" s="10" t="s">
        <v>27</v>
      </c>
    </row>
    <row r="8" spans="1:11" x14ac:dyDescent="0.3">
      <c r="C8" s="11">
        <v>0</v>
      </c>
      <c r="D8" s="12">
        <f>Overview!$B$23*(1+Overview!$E$23)^('Income (with Alternium )'!C8)</f>
        <v>4500</v>
      </c>
      <c r="E8" s="12">
        <f>Overview!$B$24*(1+Overview!$E$24)^('Income (with Alternium )'!C8)</f>
        <v>3000</v>
      </c>
      <c r="F8" s="12">
        <f>Overview!$B$27*(1+0.08)^('Income (with Alternium )'!C8)</f>
        <v>250</v>
      </c>
      <c r="G8" s="12">
        <f>Overview!$B$33*(1+Overview!$E$33)^('Income (with Alternium )'!C8)</f>
        <v>30</v>
      </c>
      <c r="H8" s="12">
        <f>G8+E8+D8+F8</f>
        <v>7780</v>
      </c>
      <c r="I8" s="12">
        <f>0.9*H8</f>
        <v>7002</v>
      </c>
      <c r="J8" s="11">
        <f t="shared" ref="J8:J17" si="0">(1+$B$2)^(-C8)</f>
        <v>1</v>
      </c>
      <c r="K8" s="12">
        <f>J8*I8</f>
        <v>7002</v>
      </c>
    </row>
    <row r="9" spans="1:11" x14ac:dyDescent="0.3">
      <c r="C9" s="11">
        <f t="shared" ref="C9:C18" si="1">C8+1</f>
        <v>1</v>
      </c>
      <c r="D9" s="12">
        <f>Overview!$B$23*(1+Overview!$E$23)^('Income (with Alternium )'!C9)</f>
        <v>4725</v>
      </c>
      <c r="E9" s="12">
        <f>Overview!$B$24*(1+Overview!$E$24)^('Income (with Alternium )'!C9)</f>
        <v>3300.0000000000005</v>
      </c>
      <c r="F9" s="12">
        <f>Overview!$B$27*(1+0.08)^('Income (with Alternium )'!C9)</f>
        <v>270</v>
      </c>
      <c r="G9" s="12">
        <f>Overview!$B$33*(1+Overview!$E$33)^('Income (with Alternium )'!C9)</f>
        <v>30.900000000000002</v>
      </c>
      <c r="H9" s="12">
        <f t="shared" ref="H9:H17" si="2">G9+E9+D9+F9</f>
        <v>8325.9000000000015</v>
      </c>
      <c r="I9" s="12">
        <f t="shared" ref="I9:I17" si="3">0.9*H9</f>
        <v>7493.3100000000013</v>
      </c>
      <c r="J9" s="11">
        <f>(1+$B$2)^(-C9)</f>
        <v>0.9009009009009008</v>
      </c>
      <c r="K9" s="12">
        <f t="shared" ref="K9:K17" si="4">J9*I9</f>
        <v>6750.72972972973</v>
      </c>
    </row>
    <row r="10" spans="1:11" x14ac:dyDescent="0.3">
      <c r="C10" s="11">
        <f t="shared" si="1"/>
        <v>2</v>
      </c>
      <c r="D10" s="12">
        <f>Overview!$B$23*(1+Overview!$E$23)^('Income (with Alternium )'!C10)</f>
        <v>4961.25</v>
      </c>
      <c r="E10" s="12">
        <f>Overview!$B$24*(1+Overview!$E$24)^('Income (with Alternium )'!C10)</f>
        <v>3630.0000000000005</v>
      </c>
      <c r="F10" s="12">
        <f>Overview!$B$27*(1+0.08)^('Income (with Alternium )'!C10)</f>
        <v>291.60000000000002</v>
      </c>
      <c r="G10" s="12">
        <f>Overview!$B$33*(1+Overview!$E$33)^('Income (with Alternium )'!C10)</f>
        <v>31.826999999999998</v>
      </c>
      <c r="H10" s="12">
        <f t="shared" si="2"/>
        <v>8914.6770000000015</v>
      </c>
      <c r="I10" s="12">
        <f t="shared" si="3"/>
        <v>8023.2093000000013</v>
      </c>
      <c r="J10" s="11">
        <f>(1+$B$2)^(-C10)</f>
        <v>0.8116224332440547</v>
      </c>
      <c r="K10" s="12">
        <f t="shared" si="4"/>
        <v>6511.8166544923297</v>
      </c>
    </row>
    <row r="11" spans="1:11" x14ac:dyDescent="0.3">
      <c r="C11" s="11">
        <f t="shared" si="1"/>
        <v>3</v>
      </c>
      <c r="D11" s="12">
        <f>Overview!$B$23*(1+Overview!$E$23)^('Income (with Alternium )'!C11)</f>
        <v>5209.3125000000009</v>
      </c>
      <c r="E11" s="12">
        <f>Overview!$B$24*(1+Overview!$E$24)^('Income (with Alternium )'!C11)</f>
        <v>3993.0000000000014</v>
      </c>
      <c r="F11" s="12">
        <f>Overview!$B$27*(1+0.08)^('Income (with Alternium )'!C11)</f>
        <v>314.92800000000005</v>
      </c>
      <c r="G11" s="12">
        <f>Overview!$B$33*(1+Overview!$E$33)^('Income (with Alternium )'!C11)</f>
        <v>32.78181</v>
      </c>
      <c r="H11" s="12">
        <f t="shared" si="2"/>
        <v>9550.0223100000021</v>
      </c>
      <c r="I11" s="12">
        <f t="shared" si="3"/>
        <v>8595.0200790000017</v>
      </c>
      <c r="J11" s="11">
        <f t="shared" si="0"/>
        <v>0.73119138130095018</v>
      </c>
      <c r="K11" s="12">
        <f t="shared" si="4"/>
        <v>6284.604603873413</v>
      </c>
    </row>
    <row r="12" spans="1:11" x14ac:dyDescent="0.3">
      <c r="C12" s="11">
        <f t="shared" si="1"/>
        <v>4</v>
      </c>
      <c r="D12" s="12">
        <f>Overview!$B$23*(1+Overview!$E$23)^('Income (with Alternium )'!C12)</f>
        <v>5469.7781249999998</v>
      </c>
      <c r="E12" s="12">
        <f>Overview!$B$24*(1+Overview!$E$24)^('Income (with Alternium )'!C12)</f>
        <v>4392.3000000000011</v>
      </c>
      <c r="F12" s="12">
        <f>Overview!$B$27*(1+0.08)^('Income (with Alternium )'!C12)</f>
        <v>340.12224000000009</v>
      </c>
      <c r="G12" s="12">
        <f>Overview!$B$33*(1+Overview!$E$33)^('Income (with Alternium )'!C12)</f>
        <v>33.765264299999998</v>
      </c>
      <c r="H12" s="12">
        <f t="shared" si="2"/>
        <v>10235.965629300001</v>
      </c>
      <c r="I12" s="12">
        <f t="shared" si="3"/>
        <v>9212.3690663700017</v>
      </c>
      <c r="J12" s="11">
        <f t="shared" si="0"/>
        <v>0.65873097414500015</v>
      </c>
      <c r="K12" s="12">
        <f t="shared" si="4"/>
        <v>6068.4728492731765</v>
      </c>
    </row>
    <row r="13" spans="1:11" x14ac:dyDescent="0.3">
      <c r="C13" s="11">
        <f t="shared" si="1"/>
        <v>5</v>
      </c>
      <c r="D13" s="12">
        <f>Overview!$B$23*(1+Overview!$E$23)^('Income (with Alternium )'!C13)</f>
        <v>5743.2670312500004</v>
      </c>
      <c r="E13" s="12">
        <f>Overview!$B$24*(1+Overview!$E$24)^('Income (with Alternium )'!C13)</f>
        <v>4831.5300000000016</v>
      </c>
      <c r="F13" s="12">
        <f>Overview!$B$27*(1+0.08)^('Income (with Alternium )'!C13)</f>
        <v>367.3320192000001</v>
      </c>
      <c r="G13" s="12">
        <f>Overview!$B$33*(1+Overview!$E$33)^('Income (with Alternium )'!C13)</f>
        <v>34.778222228999994</v>
      </c>
      <c r="H13" s="12">
        <f t="shared" si="2"/>
        <v>10976.907272679</v>
      </c>
      <c r="I13" s="12">
        <f t="shared" si="3"/>
        <v>9879.2165454111</v>
      </c>
      <c r="J13" s="11">
        <f t="shared" si="0"/>
        <v>0.5934513280585586</v>
      </c>
      <c r="K13" s="12">
        <f t="shared" si="4"/>
        <v>5862.8341790523027</v>
      </c>
    </row>
    <row r="14" spans="1:11" x14ac:dyDescent="0.3">
      <c r="C14" s="11">
        <f t="shared" si="1"/>
        <v>6</v>
      </c>
      <c r="D14" s="12">
        <f>Overview!$B$23*(1+Overview!$E$23)^('Income (with Alternium )'!C14)</f>
        <v>6030.4303828125003</v>
      </c>
      <c r="E14" s="12">
        <f>Overview!$B$24*(1+Overview!$E$24)^('Income (with Alternium )'!C14)</f>
        <v>5314.6830000000027</v>
      </c>
      <c r="F14" s="12">
        <f>Overview!$B$27*(1+0.08)^('Income (with Alternium )'!C14)</f>
        <v>396.71858073600015</v>
      </c>
      <c r="G14" s="12">
        <f>Overview!$B$33*(1+Overview!$E$33)^('Income (with Alternium )'!C14)</f>
        <v>35.821568895869994</v>
      </c>
      <c r="H14" s="12">
        <f t="shared" si="2"/>
        <v>11777.653532444372</v>
      </c>
      <c r="I14" s="12">
        <f t="shared" si="3"/>
        <v>10599.888179199936</v>
      </c>
      <c r="J14" s="11">
        <f t="shared" si="0"/>
        <v>0.53464083608879154</v>
      </c>
      <c r="K14" s="12">
        <f t="shared" si="4"/>
        <v>5667.1330785751516</v>
      </c>
    </row>
    <row r="15" spans="1:11" x14ac:dyDescent="0.3">
      <c r="C15" s="11">
        <f t="shared" si="1"/>
        <v>7</v>
      </c>
      <c r="D15" s="12">
        <f>Overview!$B$23*(1+Overview!$E$23)^('Income (with Alternium )'!C15)</f>
        <v>6331.9519019531263</v>
      </c>
      <c r="E15" s="12">
        <f>Overview!$B$24*(1+Overview!$E$24)^('Income (with Alternium )'!C15)</f>
        <v>5846.1513000000032</v>
      </c>
      <c r="F15" s="12">
        <f>Overview!$B$27*(1+0.08)^('Income (with Alternium )'!C15)</f>
        <v>428.45606719488018</v>
      </c>
      <c r="G15" s="12">
        <f>Overview!$B$33*(1+Overview!$E$33)^('Income (with Alternium )'!C15)</f>
        <v>36.896215962746098</v>
      </c>
      <c r="H15" s="12">
        <f t="shared" si="2"/>
        <v>12643.455485110755</v>
      </c>
      <c r="I15" s="12">
        <f t="shared" si="3"/>
        <v>11379.10993659968</v>
      </c>
      <c r="J15" s="11">
        <f t="shared" si="0"/>
        <v>0.48165841089080319</v>
      </c>
      <c r="K15" s="12">
        <f t="shared" si="4"/>
        <v>5480.8440094143498</v>
      </c>
    </row>
    <row r="16" spans="1:11" x14ac:dyDescent="0.3">
      <c r="C16" s="11">
        <f t="shared" si="1"/>
        <v>8</v>
      </c>
      <c r="D16" s="12">
        <f>Overview!$B$23*(1+Overview!$E$23)^('Income (with Alternium )'!C16)</f>
        <v>6648.5494970507816</v>
      </c>
      <c r="E16" s="12">
        <f>Overview!$B$24*(1+Overview!$E$24)^('Income (with Alternium )'!C16)</f>
        <v>6430.7664300000033</v>
      </c>
      <c r="F16" s="12">
        <f>Overview!$B$27*(1+0.08)^('Income (with Alternium )'!C16)</f>
        <v>462.7325525704706</v>
      </c>
      <c r="G16" s="12">
        <f>Overview!$B$33*(1+Overview!$E$33)^('Income (with Alternium )'!C16)</f>
        <v>38.003102441628478</v>
      </c>
      <c r="H16" s="12">
        <f t="shared" si="2"/>
        <v>13580.051582062884</v>
      </c>
      <c r="I16" s="12">
        <f t="shared" si="3"/>
        <v>12222.046423856596</v>
      </c>
      <c r="J16" s="11">
        <f t="shared" si="0"/>
        <v>0.43392649629802077</v>
      </c>
      <c r="K16" s="12">
        <f t="shared" si="4"/>
        <v>5303.4697822958478</v>
      </c>
    </row>
    <row r="17" spans="3:13" x14ac:dyDescent="0.3">
      <c r="C17" s="11">
        <f t="shared" si="1"/>
        <v>9</v>
      </c>
      <c r="D17" s="12">
        <f>Overview!$B$23*(1+Overview!$E$23)^('Income (with Alternium )'!C17)</f>
        <v>6980.9769719033211</v>
      </c>
      <c r="E17" s="12">
        <f>Overview!$B$24*(1+Overview!$E$24)^('Income (with Alternium )'!C17)</f>
        <v>7073.8430730000046</v>
      </c>
      <c r="F17" s="12">
        <f>Overview!$B$27*(1+0.08)^('Income (with Alternium )'!C17)</f>
        <v>499.75115677610825</v>
      </c>
      <c r="G17" s="12">
        <f>Overview!$B$33*(1+Overview!$E$33)^('Income (with Alternium )'!C17)</f>
        <v>39.143195514877334</v>
      </c>
      <c r="H17" s="12">
        <f t="shared" si="2"/>
        <v>14593.714397194311</v>
      </c>
      <c r="I17" s="12">
        <f t="shared" si="3"/>
        <v>13134.342957474881</v>
      </c>
      <c r="J17" s="11">
        <f t="shared" si="0"/>
        <v>0.39092477143965831</v>
      </c>
      <c r="K17" s="12">
        <f t="shared" si="4"/>
        <v>5134.5400186609531</v>
      </c>
    </row>
    <row r="18" spans="3:13" x14ac:dyDescent="0.3">
      <c r="C18" s="11">
        <f t="shared" si="1"/>
        <v>10</v>
      </c>
      <c r="D18" s="12"/>
      <c r="E18" s="12"/>
      <c r="F18" s="12"/>
      <c r="G18" s="12"/>
      <c r="H18" s="12"/>
      <c r="I18" s="12"/>
      <c r="J18" s="11"/>
      <c r="K18" s="11"/>
    </row>
    <row r="20" spans="3:13" x14ac:dyDescent="0.3">
      <c r="J20" s="15" t="s">
        <v>20</v>
      </c>
      <c r="K20" s="14">
        <f>SUM(K8:K17)</f>
        <v>60066.444905367258</v>
      </c>
    </row>
    <row r="23" spans="3:13" x14ac:dyDescent="0.3">
      <c r="E23" s="18" t="s">
        <v>102</v>
      </c>
      <c r="M23" s="2"/>
    </row>
    <row r="25" spans="3:13" x14ac:dyDescent="0.3">
      <c r="C25" s="10" t="s">
        <v>26</v>
      </c>
      <c r="D25" s="10" t="s">
        <v>97</v>
      </c>
      <c r="E25" s="10" t="s">
        <v>98</v>
      </c>
      <c r="F25" s="10" t="s">
        <v>101</v>
      </c>
      <c r="G25" s="10" t="s">
        <v>29</v>
      </c>
      <c r="H25" s="10" t="s">
        <v>23</v>
      </c>
      <c r="I25" s="10" t="s">
        <v>28</v>
      </c>
      <c r="J25" s="10" t="s">
        <v>22</v>
      </c>
      <c r="K25" s="10" t="s">
        <v>27</v>
      </c>
    </row>
    <row r="27" spans="3:13" x14ac:dyDescent="0.3">
      <c r="C27" s="11">
        <v>0</v>
      </c>
      <c r="D27" s="12">
        <f>Overview!$B$23*(1+Overview!$E$23)^('Income (with Alternium )'!C27)</f>
        <v>4500</v>
      </c>
      <c r="E27" s="12">
        <f>Overview!$B$24*(1+Overview!$E$24)^('Income (with Alternium )'!C27)</f>
        <v>3000</v>
      </c>
      <c r="F27" s="12">
        <f>Overview!$B$27*(1+0.08)^('Income (with Alternium )'!C27)</f>
        <v>250</v>
      </c>
      <c r="G27" s="12">
        <f>Overview!$B$33*(1+Overview!$E$33)^('Income (with Alternium )'!C27)</f>
        <v>30</v>
      </c>
      <c r="H27" s="12">
        <f>G27+E27+D27+F27</f>
        <v>7780</v>
      </c>
      <c r="I27" s="12">
        <f>0.9*H27</f>
        <v>7002</v>
      </c>
      <c r="J27" s="11">
        <f t="shared" ref="J27:J46" si="5">(1+$B$2)^(-C27)</f>
        <v>1</v>
      </c>
      <c r="K27" s="12">
        <f>J27*I27</f>
        <v>7002</v>
      </c>
    </row>
    <row r="28" spans="3:13" x14ac:dyDescent="0.3">
      <c r="C28" s="11">
        <f t="shared" ref="C28:C37" si="6">C27+1</f>
        <v>1</v>
      </c>
      <c r="D28" s="12">
        <f>Overview!$B$23*(1+Overview!$E$23)^('Income (with Alternium )'!C28)</f>
        <v>4725</v>
      </c>
      <c r="E28" s="12">
        <f>Overview!$B$24*(1+Overview!$E$24)^('Income (with Alternium )'!C28)</f>
        <v>3300.0000000000005</v>
      </c>
      <c r="F28" s="12">
        <f>Overview!$B$27*(1+0.08)^('Income (with Alternium )'!C28)</f>
        <v>270</v>
      </c>
      <c r="G28" s="12">
        <f>Overview!$B$33*(1+Overview!$E$33)^('Income (with Alternium )'!C28)</f>
        <v>30.900000000000002</v>
      </c>
      <c r="H28" s="12">
        <f t="shared" ref="H28:H46" si="7">G28+E28+D28+F28</f>
        <v>8325.9000000000015</v>
      </c>
      <c r="I28" s="12">
        <f t="shared" ref="I28:I46" si="8">0.9*H28</f>
        <v>7493.3100000000013</v>
      </c>
      <c r="J28" s="11">
        <f t="shared" si="5"/>
        <v>0.9009009009009008</v>
      </c>
      <c r="K28" s="12">
        <f t="shared" ref="K28:K46" si="9">J28*I28</f>
        <v>6750.72972972973</v>
      </c>
    </row>
    <row r="29" spans="3:13" x14ac:dyDescent="0.3">
      <c r="C29" s="11">
        <f t="shared" si="6"/>
        <v>2</v>
      </c>
      <c r="D29" s="12">
        <f>Overview!$B$23*(1+Overview!$E$23)^('Income (with Alternium )'!C29)</f>
        <v>4961.25</v>
      </c>
      <c r="E29" s="12">
        <f>Overview!$B$24*(1+Overview!$E$24)^('Income (with Alternium )'!C29)</f>
        <v>3630.0000000000005</v>
      </c>
      <c r="F29" s="12">
        <f>Overview!$B$27*(1+0.08)^('Income (with Alternium )'!C29)</f>
        <v>291.60000000000002</v>
      </c>
      <c r="G29" s="12">
        <f>Overview!$B$33*(1+Overview!$E$33)^('Income (with Alternium )'!C29)</f>
        <v>31.826999999999998</v>
      </c>
      <c r="H29" s="12">
        <f t="shared" si="7"/>
        <v>8914.6770000000015</v>
      </c>
      <c r="I29" s="12">
        <f t="shared" si="8"/>
        <v>8023.2093000000013</v>
      </c>
      <c r="J29" s="11">
        <f t="shared" si="5"/>
        <v>0.8116224332440547</v>
      </c>
      <c r="K29" s="12">
        <f t="shared" si="9"/>
        <v>6511.8166544923297</v>
      </c>
    </row>
    <row r="30" spans="3:13" x14ac:dyDescent="0.3">
      <c r="C30" s="11">
        <f t="shared" si="6"/>
        <v>3</v>
      </c>
      <c r="D30" s="12">
        <f>Overview!$B$23*(1+Overview!$E$23)^('Income (with Alternium )'!C30)</f>
        <v>5209.3125000000009</v>
      </c>
      <c r="E30" s="12">
        <f>Overview!$B$24*(1+Overview!$E$24)^('Income (with Alternium )'!C30)</f>
        <v>3993.0000000000014</v>
      </c>
      <c r="F30" s="12">
        <f>Overview!$B$27*(1+0.08)^('Income (with Alternium )'!C30)</f>
        <v>314.92800000000005</v>
      </c>
      <c r="G30" s="12">
        <f>Overview!$B$33*(1+Overview!$E$33)^('Income (with Alternium )'!C30)</f>
        <v>32.78181</v>
      </c>
      <c r="H30" s="12">
        <f t="shared" si="7"/>
        <v>9550.0223100000021</v>
      </c>
      <c r="I30" s="12">
        <f t="shared" si="8"/>
        <v>8595.0200790000017</v>
      </c>
      <c r="J30" s="11">
        <f t="shared" si="5"/>
        <v>0.73119138130095018</v>
      </c>
      <c r="K30" s="12">
        <f t="shared" si="9"/>
        <v>6284.604603873413</v>
      </c>
    </row>
    <row r="31" spans="3:13" x14ac:dyDescent="0.3">
      <c r="C31" s="11">
        <f t="shared" si="6"/>
        <v>4</v>
      </c>
      <c r="D31" s="12">
        <f>Overview!$B$23*(1+Overview!$E$23)^('Income (with Alternium )'!C31)</f>
        <v>5469.7781249999998</v>
      </c>
      <c r="E31" s="12">
        <f>Overview!$B$24*(1+Overview!$E$24)^('Income (with Alternium )'!C31)</f>
        <v>4392.3000000000011</v>
      </c>
      <c r="F31" s="12">
        <f>Overview!$B$27*(1+0.08)^('Income (with Alternium )'!C31)</f>
        <v>340.12224000000009</v>
      </c>
      <c r="G31" s="12">
        <f>Overview!$B$33*(1+Overview!$E$33)^('Income (with Alternium )'!C31)</f>
        <v>33.765264299999998</v>
      </c>
      <c r="H31" s="12">
        <f t="shared" si="7"/>
        <v>10235.965629300001</v>
      </c>
      <c r="I31" s="12">
        <f t="shared" si="8"/>
        <v>9212.3690663700017</v>
      </c>
      <c r="J31" s="11">
        <f t="shared" si="5"/>
        <v>0.65873097414500015</v>
      </c>
      <c r="K31" s="12">
        <f t="shared" si="9"/>
        <v>6068.4728492731765</v>
      </c>
    </row>
    <row r="32" spans="3:13" x14ac:dyDescent="0.3">
      <c r="C32" s="11">
        <f t="shared" si="6"/>
        <v>5</v>
      </c>
      <c r="D32" s="12">
        <f>Overview!$B$23*(1+Overview!$E$23)^('Income (with Alternium )'!C32)</f>
        <v>5743.2670312500004</v>
      </c>
      <c r="E32" s="12">
        <f>Overview!$B$24*(1+Overview!$E$24)^('Income (with Alternium )'!C32)</f>
        <v>4831.5300000000016</v>
      </c>
      <c r="F32" s="12">
        <f>Overview!$B$27*(1+0.08)^('Income (with Alternium )'!C32)</f>
        <v>367.3320192000001</v>
      </c>
      <c r="G32" s="12">
        <f>Overview!$B$33*(1+Overview!$E$33)^('Income (with Alternium )'!C32)</f>
        <v>34.778222228999994</v>
      </c>
      <c r="H32" s="12">
        <f t="shared" si="7"/>
        <v>10976.907272679</v>
      </c>
      <c r="I32" s="12">
        <f t="shared" si="8"/>
        <v>9879.2165454111</v>
      </c>
      <c r="J32" s="11">
        <f t="shared" si="5"/>
        <v>0.5934513280585586</v>
      </c>
      <c r="K32" s="12">
        <f t="shared" si="9"/>
        <v>5862.8341790523027</v>
      </c>
    </row>
    <row r="33" spans="3:11" x14ac:dyDescent="0.3">
      <c r="C33" s="11">
        <f t="shared" si="6"/>
        <v>6</v>
      </c>
      <c r="D33" s="12">
        <f>Overview!$B$23*(1+Overview!$E$23)^('Income (with Alternium )'!C33)</f>
        <v>6030.4303828125003</v>
      </c>
      <c r="E33" s="12">
        <f>Overview!$B$24*(1+Overview!$E$24)^('Income (with Alternium )'!C33)</f>
        <v>5314.6830000000027</v>
      </c>
      <c r="F33" s="12">
        <f>Overview!$B$27*(1+0.08)^('Income (with Alternium )'!C33)</f>
        <v>396.71858073600015</v>
      </c>
      <c r="G33" s="12">
        <f>Overview!$B$33*(1+Overview!$E$33)^('Income (with Alternium )'!C33)</f>
        <v>35.821568895869994</v>
      </c>
      <c r="H33" s="12">
        <f t="shared" si="7"/>
        <v>11777.653532444372</v>
      </c>
      <c r="I33" s="12">
        <f t="shared" si="8"/>
        <v>10599.888179199936</v>
      </c>
      <c r="J33" s="11">
        <f t="shared" si="5"/>
        <v>0.53464083608879154</v>
      </c>
      <c r="K33" s="12">
        <f t="shared" si="9"/>
        <v>5667.1330785751516</v>
      </c>
    </row>
    <row r="34" spans="3:11" x14ac:dyDescent="0.3">
      <c r="C34" s="11">
        <f t="shared" si="6"/>
        <v>7</v>
      </c>
      <c r="D34" s="12">
        <f>Overview!$B$23*(1+Overview!$E$23)^('Income (with Alternium )'!C34)</f>
        <v>6331.9519019531263</v>
      </c>
      <c r="E34" s="12">
        <f>Overview!$B$24*(1+Overview!$E$24)^('Income (with Alternium )'!C34)</f>
        <v>5846.1513000000032</v>
      </c>
      <c r="F34" s="12">
        <f>Overview!$B$27*(1+0.08)^('Income (with Alternium )'!C34)</f>
        <v>428.45606719488018</v>
      </c>
      <c r="G34" s="12">
        <f>Overview!$B$33*(1+Overview!$E$33)^('Income (with Alternium )'!C34)</f>
        <v>36.896215962746098</v>
      </c>
      <c r="H34" s="12">
        <f t="shared" si="7"/>
        <v>12643.455485110755</v>
      </c>
      <c r="I34" s="12">
        <f t="shared" si="8"/>
        <v>11379.10993659968</v>
      </c>
      <c r="J34" s="11">
        <f t="shared" si="5"/>
        <v>0.48165841089080319</v>
      </c>
      <c r="K34" s="12">
        <f t="shared" si="9"/>
        <v>5480.8440094143498</v>
      </c>
    </row>
    <row r="35" spans="3:11" x14ac:dyDescent="0.3">
      <c r="C35" s="11">
        <f t="shared" si="6"/>
        <v>8</v>
      </c>
      <c r="D35" s="12">
        <f>Overview!$B$23*(1+Overview!$E$23)^('Income (with Alternium )'!C35)</f>
        <v>6648.5494970507816</v>
      </c>
      <c r="E35" s="12">
        <f>Overview!$B$24*(1+Overview!$E$24)^('Income (with Alternium )'!C35)</f>
        <v>6430.7664300000033</v>
      </c>
      <c r="F35" s="12">
        <f>Overview!$B$27*(1+0.08)^('Income (with Alternium )'!C35)</f>
        <v>462.7325525704706</v>
      </c>
      <c r="G35" s="12">
        <f>Overview!$B$33*(1+Overview!$E$33)^('Income (with Alternium )'!C35)</f>
        <v>38.003102441628478</v>
      </c>
      <c r="H35" s="12">
        <f t="shared" si="7"/>
        <v>13580.051582062884</v>
      </c>
      <c r="I35" s="12">
        <f t="shared" si="8"/>
        <v>12222.046423856596</v>
      </c>
      <c r="J35" s="11">
        <f t="shared" si="5"/>
        <v>0.43392649629802077</v>
      </c>
      <c r="K35" s="12">
        <f t="shared" si="9"/>
        <v>5303.4697822958478</v>
      </c>
    </row>
    <row r="36" spans="3:11" x14ac:dyDescent="0.3">
      <c r="C36" s="11">
        <f t="shared" si="6"/>
        <v>9</v>
      </c>
      <c r="D36" s="12">
        <f>Overview!$B$23*(1+Overview!$E$23)^('Income (with Alternium )'!C36)</f>
        <v>6980.9769719033211</v>
      </c>
      <c r="E36" s="12">
        <f>Overview!$B$24*(1+Overview!$E$24)^('Income (with Alternium )'!C36)</f>
        <v>7073.8430730000046</v>
      </c>
      <c r="F36" s="12">
        <f>Overview!$B$27*(1+0.08)^('Income (with Alternium )'!C36)</f>
        <v>499.75115677610825</v>
      </c>
      <c r="G36" s="12">
        <f>Overview!$B$33*(1+Overview!$E$33)^('Income (with Alternium )'!C36)</f>
        <v>39.143195514877334</v>
      </c>
      <c r="H36" s="12">
        <f t="shared" si="7"/>
        <v>14593.714397194311</v>
      </c>
      <c r="I36" s="12">
        <f t="shared" si="8"/>
        <v>13134.342957474881</v>
      </c>
      <c r="J36" s="11">
        <f t="shared" si="5"/>
        <v>0.39092477143965831</v>
      </c>
      <c r="K36" s="12">
        <f t="shared" si="9"/>
        <v>5134.5400186609531</v>
      </c>
    </row>
    <row r="37" spans="3:11" x14ac:dyDescent="0.3">
      <c r="C37" s="11">
        <f t="shared" si="6"/>
        <v>10</v>
      </c>
      <c r="D37" s="12">
        <f>Overview!$B$23*(1+Overview!$E$23)^('Income (with Alternium )'!C37)</f>
        <v>7330.0258204984866</v>
      </c>
      <c r="E37" s="12">
        <f>Overview!$B$24*(1+Overview!$E$24)^('Income (with Alternium )'!C37)</f>
        <v>7781.2273803000053</v>
      </c>
      <c r="F37" s="12">
        <f>Overview!$B$27*(1+0.08)^('Income (with Alternium )'!C37)</f>
        <v>539.73124931819689</v>
      </c>
      <c r="G37" s="12">
        <f>Overview!$B$33*(1+Overview!$E$33)^('Income (with Alternium )'!C37)</f>
        <v>40.317491380323652</v>
      </c>
      <c r="H37" s="12">
        <f t="shared" si="7"/>
        <v>15691.301941497011</v>
      </c>
      <c r="I37" s="12">
        <f t="shared" si="8"/>
        <v>14122.171747347311</v>
      </c>
      <c r="J37" s="11">
        <f t="shared" si="5"/>
        <v>0.3521844787744669</v>
      </c>
      <c r="K37" s="12">
        <f t="shared" si="9"/>
        <v>4973.6096960030154</v>
      </c>
    </row>
    <row r="38" spans="3:11" x14ac:dyDescent="0.3">
      <c r="C38" s="11">
        <f>C37+1</f>
        <v>11</v>
      </c>
      <c r="D38" s="12">
        <f>Overview!$B$23*(1+Overview!$E$23)^('Income (with Alternium )'!C38)</f>
        <v>7696.5271115234118</v>
      </c>
      <c r="E38" s="12">
        <f>Overview!$B$24*(1+Overview!$E$24)^('Income (with Alternium )'!C38)</f>
        <v>8559.3501183300068</v>
      </c>
      <c r="F38" s="12">
        <f>Overview!$B$27*(1+0.08)^('Income (with Alternium )'!C38)</f>
        <v>582.90974926365266</v>
      </c>
      <c r="G38" s="12">
        <f>Overview!$B$33*(1+Overview!$E$33)^('Income (with Alternium )'!C38)</f>
        <v>41.527016121733368</v>
      </c>
      <c r="H38" s="12">
        <f t="shared" si="7"/>
        <v>16880.313995238805</v>
      </c>
      <c r="I38" s="12">
        <f t="shared" si="8"/>
        <v>15192.282595714925</v>
      </c>
      <c r="J38" s="11">
        <f t="shared" si="5"/>
        <v>0.31728331421123146</v>
      </c>
      <c r="K38" s="12">
        <f t="shared" si="9"/>
        <v>4820.2577724020421</v>
      </c>
    </row>
    <row r="39" spans="3:11" x14ac:dyDescent="0.3">
      <c r="C39" s="11">
        <f t="shared" ref="C39:C47" si="10">C38+1</f>
        <v>12</v>
      </c>
      <c r="D39" s="12">
        <f>Overview!$B$23*(1+Overview!$E$23)^('Income (with Alternium )'!C39)</f>
        <v>8081.3534670995814</v>
      </c>
      <c r="E39" s="12">
        <f>Overview!$B$24*(1+Overview!$E$24)^('Income (with Alternium )'!C39)</f>
        <v>9415.2851301630071</v>
      </c>
      <c r="F39" s="12">
        <f>Overview!$B$27*(1+0.08)^('Income (with Alternium )'!C39)</f>
        <v>629.54252920474494</v>
      </c>
      <c r="G39" s="12">
        <f>Overview!$B$33*(1+Overview!$E$33)^('Income (with Alternium )'!C39)</f>
        <v>42.772826605385362</v>
      </c>
      <c r="H39" s="12">
        <f t="shared" si="7"/>
        <v>18168.95395307272</v>
      </c>
      <c r="I39" s="12">
        <f t="shared" si="8"/>
        <v>16352.058557765447</v>
      </c>
      <c r="J39" s="11">
        <f t="shared" si="5"/>
        <v>0.28584082361372198</v>
      </c>
      <c r="K39" s="12">
        <f t="shared" si="9"/>
        <v>4674.0858859314867</v>
      </c>
    </row>
    <row r="40" spans="3:11" x14ac:dyDescent="0.3">
      <c r="C40" s="11">
        <f t="shared" si="10"/>
        <v>13</v>
      </c>
      <c r="D40" s="12">
        <f>Overview!$B$23*(1+Overview!$E$23)^('Income (with Alternium )'!C40)</f>
        <v>8485.4211404545622</v>
      </c>
      <c r="E40" s="12">
        <f>Overview!$B$24*(1+Overview!$E$24)^('Income (with Alternium )'!C40)</f>
        <v>10356.813643179308</v>
      </c>
      <c r="F40" s="12">
        <f>Overview!$B$27*(1+0.08)^('Income (with Alternium )'!C40)</f>
        <v>679.90593154112457</v>
      </c>
      <c r="G40" s="12">
        <f>Overview!$B$33*(1+Overview!$E$33)^('Income (with Alternium )'!C40)</f>
        <v>44.056011403546918</v>
      </c>
      <c r="H40" s="12">
        <f t="shared" si="7"/>
        <v>19566.196726578542</v>
      </c>
      <c r="I40" s="12">
        <f t="shared" si="8"/>
        <v>17609.57705392069</v>
      </c>
      <c r="J40" s="11">
        <f t="shared" si="5"/>
        <v>0.25751425550785767</v>
      </c>
      <c r="K40" s="12">
        <f t="shared" si="9"/>
        <v>4534.7171248486402</v>
      </c>
    </row>
    <row r="41" spans="3:11" x14ac:dyDescent="0.3">
      <c r="C41" s="11">
        <f t="shared" si="10"/>
        <v>14</v>
      </c>
      <c r="D41" s="12">
        <f>Overview!$B$23*(1+Overview!$E$23)^('Income (with Alternium )'!C41)</f>
        <v>8909.6921974772886</v>
      </c>
      <c r="E41" s="12">
        <f>Overview!$B$24*(1+Overview!$E$24)^('Income (with Alternium )'!C41)</f>
        <v>11392.495007497242</v>
      </c>
      <c r="F41" s="12">
        <f>Overview!$B$27*(1+0.08)^('Income (with Alternium )'!C41)</f>
        <v>734.29840606441462</v>
      </c>
      <c r="G41" s="12">
        <f>Overview!$B$33*(1+Overview!$E$33)^('Income (with Alternium )'!C41)</f>
        <v>45.37769174565333</v>
      </c>
      <c r="H41" s="12">
        <f t="shared" si="7"/>
        <v>21081.863302784601</v>
      </c>
      <c r="I41" s="12">
        <f t="shared" si="8"/>
        <v>18973.676972506142</v>
      </c>
      <c r="J41" s="11">
        <f t="shared" si="5"/>
        <v>0.23199482478185374</v>
      </c>
      <c r="K41" s="12">
        <f t="shared" si="9"/>
        <v>4401.7948647040557</v>
      </c>
    </row>
    <row r="42" spans="3:11" x14ac:dyDescent="0.3">
      <c r="C42" s="11">
        <f t="shared" si="10"/>
        <v>15</v>
      </c>
      <c r="D42" s="12">
        <f>Overview!$B$23*(1+Overview!$E$23)^('Income (with Alternium )'!C42)</f>
        <v>9355.1768073511557</v>
      </c>
      <c r="E42" s="12">
        <f>Overview!$B$24*(1+Overview!$E$24)^('Income (with Alternium )'!C42)</f>
        <v>12531.744508246966</v>
      </c>
      <c r="F42" s="12">
        <f>Overview!$B$27*(1+0.08)^('Income (with Alternium )'!C42)</f>
        <v>793.04227854956787</v>
      </c>
      <c r="G42" s="12">
        <f>Overview!$B$33*(1+Overview!$E$33)^('Income (with Alternium )'!C42)</f>
        <v>46.739022498022933</v>
      </c>
      <c r="H42" s="12">
        <f t="shared" si="7"/>
        <v>22726.702616645714</v>
      </c>
      <c r="I42" s="12">
        <f t="shared" si="8"/>
        <v>20454.032354981144</v>
      </c>
      <c r="J42" s="11">
        <f t="shared" si="5"/>
        <v>0.2090043466503187</v>
      </c>
      <c r="K42" s="12">
        <f t="shared" si="9"/>
        <v>4274.9816687173134</v>
      </c>
    </row>
    <row r="43" spans="3:11" x14ac:dyDescent="0.3">
      <c r="C43" s="11">
        <f t="shared" si="10"/>
        <v>16</v>
      </c>
      <c r="D43" s="12">
        <f>Overview!$B$23*(1+Overview!$E$23)^('Income (with Alternium )'!C43)</f>
        <v>9822.9356477187121</v>
      </c>
      <c r="E43" s="12">
        <f>Overview!$B$24*(1+Overview!$E$24)^('Income (with Alternium )'!C43)</f>
        <v>13784.918959071663</v>
      </c>
      <c r="F43" s="12">
        <f>Overview!$B$27*(1+0.08)^('Income (with Alternium )'!C43)</f>
        <v>856.4856608335333</v>
      </c>
      <c r="G43" s="12">
        <f>Overview!$B$33*(1+Overview!$E$33)^('Income (with Alternium )'!C43)</f>
        <v>48.141193172963611</v>
      </c>
      <c r="H43" s="12">
        <f t="shared" si="7"/>
        <v>24512.481460796873</v>
      </c>
      <c r="I43" s="12">
        <f t="shared" si="8"/>
        <v>22061.233314717185</v>
      </c>
      <c r="J43" s="11">
        <f t="shared" si="5"/>
        <v>0.18829220418947626</v>
      </c>
      <c r="K43" s="12">
        <f t="shared" si="9"/>
        <v>4153.9582479664041</v>
      </c>
    </row>
    <row r="44" spans="3:11" x14ac:dyDescent="0.3">
      <c r="C44" s="11">
        <f t="shared" si="10"/>
        <v>17</v>
      </c>
      <c r="D44" s="12">
        <f>Overview!$B$23*(1+Overview!$E$23)^('Income (with Alternium )'!C44)</f>
        <v>10314.082430104649</v>
      </c>
      <c r="E44" s="12">
        <f>Overview!$B$24*(1+Overview!$E$24)^('Income (with Alternium )'!C44)</f>
        <v>15163.410854978831</v>
      </c>
      <c r="F44" s="12">
        <f>Overview!$B$27*(1+0.08)^('Income (with Alternium )'!C44)</f>
        <v>925.00451370021597</v>
      </c>
      <c r="G44" s="12">
        <f>Overview!$B$33*(1+Overview!$E$33)^('Income (with Alternium )'!C44)</f>
        <v>49.58542896815252</v>
      </c>
      <c r="H44" s="12">
        <f t="shared" si="7"/>
        <v>26452.083227751849</v>
      </c>
      <c r="I44" s="12">
        <f t="shared" si="8"/>
        <v>23806.874904976667</v>
      </c>
      <c r="J44" s="11">
        <f t="shared" si="5"/>
        <v>0.16963261638691554</v>
      </c>
      <c r="K44" s="12">
        <f t="shared" si="9"/>
        <v>4038.4224781271932</v>
      </c>
    </row>
    <row r="45" spans="3:11" x14ac:dyDescent="0.3">
      <c r="C45" s="11">
        <f t="shared" si="10"/>
        <v>18</v>
      </c>
      <c r="D45" s="12">
        <f>Overview!$B$23*(1+Overview!$E$23)^('Income (with Alternium )'!C45)</f>
        <v>10829.786551609881</v>
      </c>
      <c r="E45" s="12">
        <f>Overview!$B$24*(1+Overview!$E$24)^('Income (with Alternium )'!C45)</f>
        <v>16679.751940476715</v>
      </c>
      <c r="F45" s="12">
        <f>Overview!$B$27*(1+0.08)^('Income (with Alternium )'!C45)</f>
        <v>999.00487479623337</v>
      </c>
      <c r="G45" s="12">
        <f>Overview!$B$33*(1+Overview!$E$33)^('Income (with Alternium )'!C45)</f>
        <v>51.072991837197094</v>
      </c>
      <c r="H45" s="12">
        <f t="shared" si="7"/>
        <v>28559.616358720024</v>
      </c>
      <c r="I45" s="12">
        <f t="shared" si="8"/>
        <v>25703.654722848023</v>
      </c>
      <c r="J45" s="11">
        <f t="shared" si="5"/>
        <v>0.15282217692514913</v>
      </c>
      <c r="K45" s="12">
        <f t="shared" si="9"/>
        <v>3928.0884696780254</v>
      </c>
    </row>
    <row r="46" spans="3:11" x14ac:dyDescent="0.3">
      <c r="C46" s="11">
        <f t="shared" si="10"/>
        <v>19</v>
      </c>
      <c r="D46" s="12">
        <f>Overview!$B$23*(1+Overview!$E$23)^('Income (with Alternium )'!C46)</f>
        <v>11371.275879190376</v>
      </c>
      <c r="E46" s="12">
        <f>Overview!$B$24*(1+Overview!$E$24)^('Income (with Alternium )'!C46)</f>
        <v>18347.72713452439</v>
      </c>
      <c r="F46" s="12">
        <f>Overview!$B$27*(1+0.08)^('Income (with Alternium )'!C46)</f>
        <v>1078.9252647799321</v>
      </c>
      <c r="G46" s="12">
        <f>Overview!$B$33*(1+Overview!$E$33)^('Income (with Alternium )'!C46)</f>
        <v>52.605181592313009</v>
      </c>
      <c r="H46" s="12">
        <f t="shared" si="7"/>
        <v>30850.533460087012</v>
      </c>
      <c r="I46" s="12">
        <f t="shared" si="8"/>
        <v>27765.480114078313</v>
      </c>
      <c r="J46" s="11">
        <f t="shared" si="5"/>
        <v>0.13767763686950371</v>
      </c>
      <c r="K46" s="12">
        <f t="shared" si="9"/>
        <v>3822.6856886535006</v>
      </c>
    </row>
    <row r="47" spans="3:11" x14ac:dyDescent="0.3">
      <c r="C47" s="11">
        <f t="shared" si="10"/>
        <v>20</v>
      </c>
      <c r="D47" s="11"/>
      <c r="E47" s="11"/>
      <c r="F47" s="11"/>
      <c r="G47" s="11"/>
      <c r="H47" s="11"/>
      <c r="I47" s="11"/>
      <c r="J47" s="11"/>
      <c r="K47" s="11"/>
    </row>
    <row r="49" spans="10:11" x14ac:dyDescent="0.3">
      <c r="J49" s="9" t="s">
        <v>20</v>
      </c>
      <c r="K49" s="14">
        <f>SUM(K27:K46)</f>
        <v>103689.04680239894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50"/>
  <sheetViews>
    <sheetView topLeftCell="C16" zoomScale="85" zoomScaleNormal="85" workbookViewId="0">
      <selection activeCell="I53" sqref="I53"/>
    </sheetView>
  </sheetViews>
  <sheetFormatPr defaultRowHeight="14.4" x14ac:dyDescent="0.3"/>
  <cols>
    <col min="2" max="2" width="14.5546875" bestFit="1" customWidth="1"/>
    <col min="4" max="4" width="9.6640625" bestFit="1" customWidth="1"/>
    <col min="5" max="5" width="17.109375" customWidth="1"/>
    <col min="6" max="6" width="29.33203125" customWidth="1"/>
    <col min="7" max="7" width="29.44140625" bestFit="1" customWidth="1"/>
    <col min="8" max="8" width="19.33203125" customWidth="1"/>
    <col min="9" max="9" width="16.5546875" bestFit="1" customWidth="1"/>
    <col min="10" max="10" width="11.5546875" bestFit="1" customWidth="1"/>
    <col min="11" max="11" width="14.5546875" bestFit="1" customWidth="1"/>
    <col min="12" max="12" width="12.44140625" customWidth="1"/>
    <col min="13" max="13" width="19.88671875" customWidth="1"/>
    <col min="14" max="15" width="21.6640625" customWidth="1"/>
    <col min="16" max="16" width="18.5546875" customWidth="1"/>
    <col min="17" max="17" width="17.33203125" bestFit="1" customWidth="1"/>
    <col min="18" max="18" width="16.6640625" bestFit="1" customWidth="1"/>
  </cols>
  <sheetData>
    <row r="2" spans="2:16" x14ac:dyDescent="0.3">
      <c r="B2" s="32" t="s">
        <v>18</v>
      </c>
      <c r="C2" s="33">
        <f>coc</f>
        <v>0.11</v>
      </c>
    </row>
    <row r="3" spans="2:16" x14ac:dyDescent="0.3">
      <c r="G3" s="18" t="s">
        <v>54</v>
      </c>
    </row>
    <row r="6" spans="2:16" x14ac:dyDescent="0.3">
      <c r="C6" s="10" t="s">
        <v>26</v>
      </c>
      <c r="D6" s="10" t="s">
        <v>6</v>
      </c>
      <c r="E6" s="10" t="s">
        <v>90</v>
      </c>
      <c r="F6" s="10" t="s">
        <v>84</v>
      </c>
      <c r="G6" s="10" t="s">
        <v>25</v>
      </c>
      <c r="H6" s="10" t="s">
        <v>86</v>
      </c>
      <c r="I6" s="10" t="s">
        <v>24</v>
      </c>
      <c r="J6" s="10" t="s">
        <v>13</v>
      </c>
      <c r="K6" s="10" t="s">
        <v>12</v>
      </c>
      <c r="L6" s="10" t="s">
        <v>3</v>
      </c>
      <c r="M6" s="10" t="s">
        <v>63</v>
      </c>
      <c r="N6" s="10" t="s">
        <v>23</v>
      </c>
      <c r="O6" s="10" t="s">
        <v>22</v>
      </c>
      <c r="P6" s="10" t="s">
        <v>21</v>
      </c>
    </row>
    <row r="8" spans="2:16" x14ac:dyDescent="0.3">
      <c r="C8" s="11">
        <v>0</v>
      </c>
      <c r="D8" s="12">
        <f>Overview!$C$21</f>
        <v>150</v>
      </c>
      <c r="E8" s="12">
        <f>Overview!C22</f>
        <v>1000</v>
      </c>
      <c r="F8" s="12"/>
      <c r="G8" s="12"/>
      <c r="H8" s="12"/>
      <c r="I8" s="12"/>
      <c r="J8" s="12">
        <f>Overview!C30</f>
        <v>40</v>
      </c>
      <c r="K8" s="12"/>
      <c r="L8" s="12">
        <f>Overview!$C$32*(1+Overview!$E$32)^('Expense (with Alternium )'!C8)</f>
        <v>575</v>
      </c>
      <c r="M8" s="12">
        <f>'Working Capital'!F29</f>
        <v>16.560000000000002</v>
      </c>
      <c r="N8" s="12">
        <f t="shared" ref="N8:N18" si="0">SUM(D8:M8)</f>
        <v>1781.56</v>
      </c>
      <c r="O8" s="11">
        <f>(1+'Income (with Alternium )'!$B$2)^(-C8)</f>
        <v>1</v>
      </c>
      <c r="P8" s="12">
        <f>O8*N8</f>
        <v>1781.56</v>
      </c>
    </row>
    <row r="9" spans="2:16" x14ac:dyDescent="0.3">
      <c r="C9" s="11">
        <f t="shared" ref="C9:C18" si="1">C8+1</f>
        <v>1</v>
      </c>
      <c r="D9" s="12"/>
      <c r="E9" s="12"/>
      <c r="F9" s="12">
        <f>Overview!$C$25*(1+Overview!$E$25)^('Expense (with Alternium )'!C8)</f>
        <v>1620</v>
      </c>
      <c r="G9" s="12">
        <f>Overview!$C$26*(1+Overview!$E$26)^('Expense (with Alternium )'!C8)</f>
        <v>1440</v>
      </c>
      <c r="H9" s="12">
        <f>Overview!$C$28*(1+0.08)^('Expense (with Alternium )'!C8)</f>
        <v>144</v>
      </c>
      <c r="I9" s="12"/>
      <c r="J9" s="12"/>
      <c r="K9" s="12">
        <f>Overview!$C$31*(1+Overview!$E$31)^('Expense (with Alternium )'!C8)</f>
        <v>46</v>
      </c>
      <c r="L9" s="12">
        <f>Overview!$C$32*(1+Overview!$E$32)^('Expense (with Alternium )'!C9)</f>
        <v>603.75</v>
      </c>
      <c r="M9" s="12">
        <f>'Working Capital'!F30</f>
        <v>16.194101240767395</v>
      </c>
      <c r="N9" s="12">
        <f t="shared" si="0"/>
        <v>3869.9441012407674</v>
      </c>
      <c r="O9" s="11">
        <f>(1+'Income (with Alternium )'!$B$2)^(-C9)</f>
        <v>0.9009009009009008</v>
      </c>
      <c r="P9" s="12">
        <f t="shared" ref="P9:P18" si="2">O9*N9</f>
        <v>3486.4361272439342</v>
      </c>
    </row>
    <row r="10" spans="2:16" x14ac:dyDescent="0.3">
      <c r="C10" s="11">
        <f t="shared" si="1"/>
        <v>2</v>
      </c>
      <c r="D10" s="12"/>
      <c r="E10" s="12"/>
      <c r="F10" s="12">
        <f>Overview!$C$25*(1+Overview!$E$25)^('Expense (with Alternium )'!C9)</f>
        <v>1701</v>
      </c>
      <c r="G10" s="12">
        <f>Overview!$C$26*(1+Overview!$E$26)^('Expense (with Alternium )'!C9)</f>
        <v>1584.0000000000002</v>
      </c>
      <c r="H10" s="12">
        <f>Overview!$C$28*(1+0.08)^('Expense (with Alternium )'!C9)</f>
        <v>155.52000000000001</v>
      </c>
      <c r="I10" s="12"/>
      <c r="J10" s="12"/>
      <c r="K10" s="12">
        <f>Overview!$C$31*(1+Overview!$E$31)^('Expense (with Alternium )'!C9)</f>
        <v>50.6</v>
      </c>
      <c r="L10" s="12">
        <f>Overview!$C$32*(1+Overview!$E$32)^('Expense (with Alternium )'!C10)</f>
        <v>633.9375</v>
      </c>
      <c r="M10" s="12">
        <f>'Working Capital'!F31</f>
        <v>15.836287137453144</v>
      </c>
      <c r="N10" s="12">
        <f t="shared" si="0"/>
        <v>4140.8937871374528</v>
      </c>
      <c r="O10" s="11">
        <f>(1+'Income (with Alternium )'!$B$2)^(-C10)</f>
        <v>0.8116224332440547</v>
      </c>
      <c r="P10" s="12">
        <f t="shared" si="2"/>
        <v>3360.8422913216882</v>
      </c>
    </row>
    <row r="11" spans="2:16" x14ac:dyDescent="0.3">
      <c r="C11" s="11">
        <f t="shared" si="1"/>
        <v>3</v>
      </c>
      <c r="D11" s="12"/>
      <c r="E11" s="12"/>
      <c r="F11" s="12">
        <f>Overview!$C$25*(1+Overview!$E$25)^('Expense (with Alternium )'!C10)</f>
        <v>1786.05</v>
      </c>
      <c r="G11" s="12">
        <f>Overview!$C$26*(1+Overview!$E$26)^('Expense (with Alternium )'!C10)</f>
        <v>1742.4000000000003</v>
      </c>
      <c r="H11" s="12">
        <f>Overview!$C$28*(1+0.08)^('Expense (with Alternium )'!C10)</f>
        <v>167.9616</v>
      </c>
      <c r="I11" s="12"/>
      <c r="J11" s="12"/>
      <c r="K11" s="12">
        <f>Overview!$C$31*(1+Overview!$E$31)^('Expense (with Alternium )'!C10)</f>
        <v>55.660000000000011</v>
      </c>
      <c r="L11" s="12">
        <f>Overview!$C$32*(1+Overview!$E$32)^('Expense (with Alternium )'!C11)</f>
        <v>665.63437500000009</v>
      </c>
      <c r="M11" s="12">
        <f>'Working Capital'!F32</f>
        <v>15.486379056870694</v>
      </c>
      <c r="N11" s="12">
        <f t="shared" si="0"/>
        <v>4433.1923540568714</v>
      </c>
      <c r="O11" s="11">
        <f>(1+'Income (with Alternium )'!$B$2)^(-C11)</f>
        <v>0.73119138130095018</v>
      </c>
      <c r="P11" s="12">
        <f t="shared" si="2"/>
        <v>3241.512040935655</v>
      </c>
    </row>
    <row r="12" spans="2:16" x14ac:dyDescent="0.3">
      <c r="C12" s="11">
        <f t="shared" si="1"/>
        <v>4</v>
      </c>
      <c r="D12" s="12"/>
      <c r="E12" s="12"/>
      <c r="F12" s="12">
        <f>Overview!$C$25*(1+Overview!$E$25)^('Expense (with Alternium )'!C11)</f>
        <v>1875.3525000000002</v>
      </c>
      <c r="G12" s="12">
        <f>Overview!$C$26*(1+Overview!$E$26)^('Expense (with Alternium )'!C11)</f>
        <v>1916.6400000000006</v>
      </c>
      <c r="H12" s="12">
        <f>Overview!$C$28*(1+0.08)^('Expense (with Alternium )'!C11)</f>
        <v>181.39852800000003</v>
      </c>
      <c r="I12" s="12"/>
      <c r="J12" s="12"/>
      <c r="K12" s="12">
        <f>Overview!$C$31*(1+Overview!$E$31)^('Expense (with Alternium )'!C11)</f>
        <v>61.22600000000002</v>
      </c>
      <c r="L12" s="12">
        <f>Overview!$C$32*(1+Overview!$E$32)^('Expense (with Alternium )'!C12)</f>
        <v>698.91609374999996</v>
      </c>
      <c r="M12" s="12">
        <f>'Working Capital'!F33</f>
        <v>15.144202312793714</v>
      </c>
      <c r="N12" s="12">
        <f t="shared" si="0"/>
        <v>4748.6773240627945</v>
      </c>
      <c r="O12" s="11">
        <f>(1+'Income (with Alternium )'!$B$2)^(-C12)</f>
        <v>0.65873097414500015</v>
      </c>
      <c r="P12" s="12">
        <f t="shared" si="2"/>
        <v>3128.1008395801573</v>
      </c>
    </row>
    <row r="13" spans="2:16" x14ac:dyDescent="0.3">
      <c r="C13" s="11">
        <f t="shared" si="1"/>
        <v>5</v>
      </c>
      <c r="D13" s="12"/>
      <c r="E13" s="12"/>
      <c r="F13" s="12">
        <f>Overview!$C$25*(1+Overview!$E$25)^('Expense (with Alternium )'!C12)</f>
        <v>1969.1201249999999</v>
      </c>
      <c r="G13" s="12">
        <f>Overview!$C$26*(1+Overview!$E$26)^('Expense (with Alternium )'!C12)</f>
        <v>2108.3040000000005</v>
      </c>
      <c r="H13" s="12">
        <f>Overview!$C$28*(1+0.08)^('Expense (with Alternium )'!C12)</f>
        <v>195.91041024000003</v>
      </c>
      <c r="I13" s="12">
        <v>639.66999999999996</v>
      </c>
      <c r="J13" s="12"/>
      <c r="K13" s="12">
        <f>Overview!$C$31*(1+Overview!$E$31)^('Expense (with Alternium )'!C12)</f>
        <v>67.348600000000019</v>
      </c>
      <c r="L13" s="12">
        <f>Overview!$C$32*(1+Overview!$E$32)^('Expense (with Alternium )'!C13)</f>
        <v>733.86189843750003</v>
      </c>
      <c r="M13" s="12">
        <f>'Working Capital'!F34</f>
        <v>14.809586078746683</v>
      </c>
      <c r="N13" s="12">
        <f t="shared" si="0"/>
        <v>5729.0246197562474</v>
      </c>
      <c r="O13" s="11">
        <f>(1+'Income (with Alternium )'!$B$2)^(-C13)</f>
        <v>0.5934513280585586</v>
      </c>
      <c r="P13" s="12">
        <f t="shared" si="2"/>
        <v>3399.8972690745236</v>
      </c>
    </row>
    <row r="14" spans="2:16" x14ac:dyDescent="0.3">
      <c r="C14" s="11">
        <f t="shared" si="1"/>
        <v>6</v>
      </c>
      <c r="D14" s="12"/>
      <c r="E14" s="12"/>
      <c r="F14" s="12">
        <f>Overview!$C$25*(1+Overview!$E$25)^('Expense (with Alternium )'!C13)</f>
        <v>2067.5761312500003</v>
      </c>
      <c r="G14" s="12">
        <f>Overview!$C$26*(1+Overview!$E$26)^('Expense (with Alternium )'!C13)</f>
        <v>2319.1344000000008</v>
      </c>
      <c r="H14" s="12">
        <f>Overview!$C$28*(1+0.08)^('Expense (with Alternium )'!C13)</f>
        <v>211.58324305920004</v>
      </c>
      <c r="I14" s="12"/>
      <c r="J14" s="12"/>
      <c r="K14" s="12">
        <f>Overview!$C$31*(1+Overview!$E$31)^('Expense (with Alternium )'!C13)</f>
        <v>74.083460000000031</v>
      </c>
      <c r="L14" s="12">
        <f>Overview!$C$32*(1+Overview!$E$32)^('Expense (with Alternium )'!C14)</f>
        <v>770.55499335937498</v>
      </c>
      <c r="M14" s="12">
        <f>'Working Capital'!F35</f>
        <v>14.482363302722419</v>
      </c>
      <c r="N14" s="12">
        <f t="shared" si="0"/>
        <v>5457.4145909712979</v>
      </c>
      <c r="O14" s="11">
        <f>(1+'Income (with Alternium )'!$B$2)^(-C14)</f>
        <v>0.53464083608879154</v>
      </c>
      <c r="P14" s="12">
        <f t="shared" si="2"/>
        <v>2917.7566998000648</v>
      </c>
    </row>
    <row r="15" spans="2:16" x14ac:dyDescent="0.3">
      <c r="C15" s="11">
        <f t="shared" si="1"/>
        <v>7</v>
      </c>
      <c r="D15" s="12"/>
      <c r="E15" s="12"/>
      <c r="F15" s="12">
        <f>Overview!$C$25*(1+Overview!$E$25)^('Expense (with Alternium )'!C14)</f>
        <v>2170.9549378124998</v>
      </c>
      <c r="G15" s="12">
        <f>Overview!$C$26*(1+Overview!$E$26)^('Expense (with Alternium )'!C14)</f>
        <v>2551.0478400000011</v>
      </c>
      <c r="H15" s="12">
        <f>Overview!$C$28*(1+0.08)^('Expense (with Alternium )'!C14)</f>
        <v>228.50990250393608</v>
      </c>
      <c r="I15" s="12"/>
      <c r="J15" s="12"/>
      <c r="K15" s="12">
        <f>Overview!$C$31*(1+Overview!$E$31)^('Expense (with Alternium )'!C14)</f>
        <v>81.491806000000039</v>
      </c>
      <c r="L15" s="12">
        <f>Overview!$C$32*(1+Overview!$E$32)^('Expense (with Alternium )'!C15)</f>
        <v>809.08274302734389</v>
      </c>
      <c r="M15" s="12">
        <f>'Working Capital'!F36</f>
        <v>14.162370623783895</v>
      </c>
      <c r="N15" s="12">
        <f t="shared" si="0"/>
        <v>5855.2495999675648</v>
      </c>
      <c r="O15" s="11">
        <f>(1+'Income (with Alternium )'!$B$2)^(-C15)</f>
        <v>0.48165841089080319</v>
      </c>
      <c r="P15" s="12">
        <f t="shared" si="2"/>
        <v>2820.2302176893882</v>
      </c>
    </row>
    <row r="16" spans="2:16" x14ac:dyDescent="0.3">
      <c r="C16" s="11">
        <f t="shared" si="1"/>
        <v>8</v>
      </c>
      <c r="D16" s="12"/>
      <c r="E16" s="12"/>
      <c r="F16" s="12">
        <f>Overview!$C$25*(1+Overview!$E$25)^('Expense (with Alternium )'!C15)</f>
        <v>2279.5026847031254</v>
      </c>
      <c r="G16" s="12">
        <f>Overview!$C$26*(1+Overview!$E$26)^('Expense (with Alternium )'!C15)</f>
        <v>2806.1526240000017</v>
      </c>
      <c r="H16" s="12">
        <f>Overview!$C$28*(1+0.08)^('Expense (with Alternium )'!C15)</f>
        <v>246.79069470425097</v>
      </c>
      <c r="I16" s="12"/>
      <c r="J16" s="12"/>
      <c r="K16" s="12">
        <f>Overview!$C$31*(1+Overview!$E$31)^('Expense (with Alternium )'!C15)</f>
        <v>89.640986600000062</v>
      </c>
      <c r="L16" s="12">
        <f>Overview!$C$32*(1+Overview!$E$32)^('Expense (with Alternium )'!C16)</f>
        <v>849.53688017871093</v>
      </c>
      <c r="M16" s="12">
        <f>'Working Capital'!F37</f>
        <v>13.849448290508843</v>
      </c>
      <c r="N16" s="12">
        <f t="shared" si="0"/>
        <v>6285.4733184765983</v>
      </c>
      <c r="O16" s="11">
        <f>(1+'Income (with Alternium )'!$B$2)^(-C16)</f>
        <v>0.43392649629802077</v>
      </c>
      <c r="P16" s="12">
        <f t="shared" si="2"/>
        <v>2727.4334146612441</v>
      </c>
    </row>
    <row r="17" spans="3:18" x14ac:dyDescent="0.3">
      <c r="C17" s="11">
        <f t="shared" si="1"/>
        <v>9</v>
      </c>
      <c r="D17" s="12"/>
      <c r="E17" s="12"/>
      <c r="F17" s="12">
        <f>Overview!$C$25*(1+Overview!$E$25)^('Expense (with Alternium )'!C16)</f>
        <v>2393.4778189382814</v>
      </c>
      <c r="G17" s="12">
        <f>Overview!$C$26*(1+Overview!$E$26)^('Expense (with Alternium )'!C16)</f>
        <v>3086.7678864000018</v>
      </c>
      <c r="H17" s="12">
        <f>Overview!$C$28*(1+0.08)^('Expense (with Alternium )'!C16)</f>
        <v>266.53395028059106</v>
      </c>
      <c r="I17" s="12"/>
      <c r="J17" s="12"/>
      <c r="K17" s="12">
        <f>Overview!$C$31*(1+Overview!$E$31)^('Expense (with Alternium )'!C16)</f>
        <v>98.605085260000052</v>
      </c>
      <c r="L17" s="12">
        <f>Overview!$C$32*(1+Overview!$E$32)^('Expense (with Alternium )'!C17)</f>
        <v>892.01372418764652</v>
      </c>
      <c r="M17" s="12">
        <f>'Working Capital'!F38</f>
        <v>13.5434400812363</v>
      </c>
      <c r="N17" s="12">
        <f t="shared" si="0"/>
        <v>6750.9419051477571</v>
      </c>
      <c r="O17" s="11">
        <f>(1+'Income (with Alternium )'!$B$2)^(-C17)</f>
        <v>0.39092477143965831</v>
      </c>
      <c r="P17" s="12">
        <f t="shared" si="2"/>
        <v>2639.1104212722985</v>
      </c>
    </row>
    <row r="18" spans="3:18" x14ac:dyDescent="0.3">
      <c r="C18" s="11">
        <f t="shared" si="1"/>
        <v>10</v>
      </c>
      <c r="D18" s="12"/>
      <c r="E18" s="12"/>
      <c r="F18" s="12">
        <f>Overview!$C$25*(1+Overview!$E$25)^('Expense (with Alternium )'!C17)</f>
        <v>2513.1517098851955</v>
      </c>
      <c r="G18" s="12">
        <f>Overview!$C$26*(1+Overview!$E$26)^('Expense (with Alternium )'!C17)</f>
        <v>3395.444675040002</v>
      </c>
      <c r="H18" s="12">
        <f>Overview!$C$28*(1+0.08)^('Expense (with Alternium )'!C17)</f>
        <v>287.85666630303837</v>
      </c>
      <c r="I18" s="12"/>
      <c r="J18" s="12"/>
      <c r="K18" s="12"/>
      <c r="L18" s="12"/>
      <c r="M18" s="12"/>
      <c r="N18" s="12">
        <f t="shared" si="0"/>
        <v>6196.4530512282363</v>
      </c>
      <c r="O18" s="11">
        <f>(1+'Income (with Alternium )'!$B$2)^(-C18)</f>
        <v>0.3521844787744669</v>
      </c>
      <c r="P18" s="12">
        <f t="shared" si="2"/>
        <v>2182.2945880972716</v>
      </c>
    </row>
    <row r="20" spans="3:18" x14ac:dyDescent="0.3">
      <c r="Q20" s="9" t="s">
        <v>20</v>
      </c>
      <c r="R20" s="19">
        <f>SUM(P8:P18)</f>
        <v>31685.173909676229</v>
      </c>
    </row>
    <row r="22" spans="3:18" x14ac:dyDescent="0.3">
      <c r="G22" s="18" t="s">
        <v>102</v>
      </c>
    </row>
    <row r="25" spans="3:18" x14ac:dyDescent="0.3">
      <c r="C25" s="10" t="s">
        <v>26</v>
      </c>
      <c r="D25" s="10" t="s">
        <v>6</v>
      </c>
      <c r="E25" s="10" t="s">
        <v>90</v>
      </c>
      <c r="F25" s="10" t="s">
        <v>84</v>
      </c>
      <c r="G25" s="10" t="s">
        <v>25</v>
      </c>
      <c r="H25" s="10" t="s">
        <v>86</v>
      </c>
      <c r="I25" s="10" t="s">
        <v>24</v>
      </c>
      <c r="J25" s="10" t="s">
        <v>13</v>
      </c>
      <c r="K25" s="10" t="s">
        <v>12</v>
      </c>
      <c r="L25" s="10" t="s">
        <v>3</v>
      </c>
      <c r="M25" s="10" t="s">
        <v>63</v>
      </c>
      <c r="N25" s="10" t="s">
        <v>23</v>
      </c>
      <c r="O25" s="10" t="s">
        <v>22</v>
      </c>
      <c r="P25" s="10" t="s">
        <v>21</v>
      </c>
    </row>
    <row r="27" spans="3:18" x14ac:dyDescent="0.3">
      <c r="C27" s="11">
        <v>0</v>
      </c>
      <c r="D27" s="12">
        <f>D8</f>
        <v>150</v>
      </c>
      <c r="E27" s="12">
        <f>E8</f>
        <v>1000</v>
      </c>
      <c r="F27" s="12"/>
      <c r="G27" s="12"/>
      <c r="H27" s="12"/>
      <c r="I27" s="12"/>
      <c r="J27" s="12">
        <f>J8</f>
        <v>40</v>
      </c>
      <c r="K27" s="12"/>
      <c r="L27" s="12">
        <f>Overview!$C$32*(1+Overview!$E$32)^('Expense (with Alternium )'!C27)</f>
        <v>575</v>
      </c>
      <c r="M27" s="12">
        <f>'Working Capital'!F29</f>
        <v>16.560000000000002</v>
      </c>
      <c r="N27" s="12">
        <f t="shared" ref="N27:N47" si="3">SUM(D27:M27)</f>
        <v>1781.56</v>
      </c>
      <c r="O27" s="11">
        <f>(1+'Income (with Alternium )'!$B$2)^(-C27)</f>
        <v>1</v>
      </c>
      <c r="P27" s="12">
        <f>O27*N27</f>
        <v>1781.56</v>
      </c>
    </row>
    <row r="28" spans="3:18" x14ac:dyDescent="0.3">
      <c r="C28" s="11">
        <f t="shared" ref="C28:C47" si="4">C27+1</f>
        <v>1</v>
      </c>
      <c r="D28" s="12"/>
      <c r="E28" s="12"/>
      <c r="F28" s="12">
        <f>Overview!$C$25*(1+Overview!$E$25)^('Expense (with Alternium )'!C27)</f>
        <v>1620</v>
      </c>
      <c r="G28" s="12">
        <f>Overview!$C$26*(1+Overview!$E$26)^('Expense (with Alternium )'!C27)</f>
        <v>1440</v>
      </c>
      <c r="H28" s="12">
        <f>Overview!$C$28*(1+0.08)^('Expense (with Alternium )'!C27)</f>
        <v>144</v>
      </c>
      <c r="I28" s="12"/>
      <c r="J28" s="12"/>
      <c r="K28" s="12">
        <f>Overview!$C$31*(1+Overview!$E$31)^('Expense (with Alternium )'!C27)</f>
        <v>46</v>
      </c>
      <c r="L28" s="12">
        <f>Overview!$C$32*(1+Overview!$E$32)^('Expense (with Alternium )'!C28)</f>
        <v>603.75</v>
      </c>
      <c r="M28" s="12">
        <f>'Working Capital'!F30</f>
        <v>16.194101240767395</v>
      </c>
      <c r="N28" s="12">
        <f t="shared" si="3"/>
        <v>3869.9441012407674</v>
      </c>
      <c r="O28" s="11">
        <f>(1+'Income (with Alternium )'!$B$2)^(-C28)</f>
        <v>0.9009009009009008</v>
      </c>
      <c r="P28" s="12">
        <f t="shared" ref="P28:P47" si="5">O28*N28</f>
        <v>3486.4361272439342</v>
      </c>
    </row>
    <row r="29" spans="3:18" x14ac:dyDescent="0.3">
      <c r="C29" s="11">
        <f t="shared" si="4"/>
        <v>2</v>
      </c>
      <c r="D29" s="12"/>
      <c r="E29" s="12"/>
      <c r="F29" s="12">
        <f>Overview!$C$25*(1+Overview!$E$25)^('Expense (with Alternium )'!C28)</f>
        <v>1701</v>
      </c>
      <c r="G29" s="12">
        <f>Overview!$C$26*(1+Overview!$E$26)^('Expense (with Alternium )'!C28)</f>
        <v>1584.0000000000002</v>
      </c>
      <c r="H29" s="12">
        <f>Overview!$C$28*(1+0.08)^('Expense (with Alternium )'!C28)</f>
        <v>155.52000000000001</v>
      </c>
      <c r="I29" s="12"/>
      <c r="J29" s="12"/>
      <c r="K29" s="12">
        <f>Overview!$C$31*(1+Overview!$E$31)^('Expense (with Alternium )'!C28)</f>
        <v>50.6</v>
      </c>
      <c r="L29" s="12">
        <f>Overview!$C$32*(1+Overview!$E$32)^('Expense (with Alternium )'!C29)</f>
        <v>633.9375</v>
      </c>
      <c r="M29" s="12">
        <f>'Working Capital'!F31</f>
        <v>15.836287137453144</v>
      </c>
      <c r="N29" s="12">
        <f t="shared" si="3"/>
        <v>4140.8937871374528</v>
      </c>
      <c r="O29" s="11">
        <f>(1+'Income (with Alternium )'!$B$2)^(-C29)</f>
        <v>0.8116224332440547</v>
      </c>
      <c r="P29" s="12">
        <f t="shared" si="5"/>
        <v>3360.8422913216882</v>
      </c>
    </row>
    <row r="30" spans="3:18" x14ac:dyDescent="0.3">
      <c r="C30" s="11">
        <f t="shared" si="4"/>
        <v>3</v>
      </c>
      <c r="D30" s="12"/>
      <c r="E30" s="12"/>
      <c r="F30" s="12">
        <f>Overview!$C$25*(1+Overview!$E$25)^('Expense (with Alternium )'!C29)</f>
        <v>1786.05</v>
      </c>
      <c r="G30" s="12">
        <f>Overview!$C$26*(1+Overview!$E$26)^('Expense (with Alternium )'!C29)</f>
        <v>1742.4000000000003</v>
      </c>
      <c r="H30" s="12">
        <f>Overview!$C$28*(1+0.08)^('Expense (with Alternium )'!C29)</f>
        <v>167.9616</v>
      </c>
      <c r="I30" s="12"/>
      <c r="J30" s="12"/>
      <c r="K30" s="12">
        <f>Overview!$C$31*(1+Overview!$E$31)^('Expense (with Alternium )'!C29)</f>
        <v>55.660000000000011</v>
      </c>
      <c r="L30" s="12">
        <f>Overview!$C$32*(1+Overview!$E$32)^('Expense (with Alternium )'!C30)</f>
        <v>665.63437500000009</v>
      </c>
      <c r="M30" s="12">
        <f>'Working Capital'!F32</f>
        <v>15.486379056870694</v>
      </c>
      <c r="N30" s="12">
        <f t="shared" si="3"/>
        <v>4433.1923540568714</v>
      </c>
      <c r="O30" s="11">
        <f>(1+'Income (with Alternium )'!$B$2)^(-C30)</f>
        <v>0.73119138130095018</v>
      </c>
      <c r="P30" s="12">
        <f t="shared" si="5"/>
        <v>3241.512040935655</v>
      </c>
    </row>
    <row r="31" spans="3:18" x14ac:dyDescent="0.3">
      <c r="C31" s="11">
        <f t="shared" si="4"/>
        <v>4</v>
      </c>
      <c r="D31" s="12"/>
      <c r="E31" s="12"/>
      <c r="F31" s="12">
        <f>Overview!$C$25*(1+Overview!$E$25)^('Expense (with Alternium )'!C30)</f>
        <v>1875.3525000000002</v>
      </c>
      <c r="G31" s="12">
        <f>Overview!$C$26*(1+Overview!$E$26)^('Expense (with Alternium )'!C30)</f>
        <v>1916.6400000000006</v>
      </c>
      <c r="H31" s="12">
        <f>Overview!$C$28*(1+0.08)^('Expense (with Alternium )'!C30)</f>
        <v>181.39852800000003</v>
      </c>
      <c r="I31" s="12"/>
      <c r="J31" s="12"/>
      <c r="K31" s="12">
        <f>Overview!$C$31*(1+Overview!$E$31)^('Expense (with Alternium )'!C30)</f>
        <v>61.22600000000002</v>
      </c>
      <c r="L31" s="12">
        <f>Overview!$C$32*(1+Overview!$E$32)^('Expense (with Alternium )'!C31)</f>
        <v>698.91609374999996</v>
      </c>
      <c r="M31" s="12">
        <f>'Working Capital'!F33</f>
        <v>15.144202312793714</v>
      </c>
      <c r="N31" s="12">
        <f t="shared" si="3"/>
        <v>4748.6773240627945</v>
      </c>
      <c r="O31" s="11">
        <f>(1+'Income (with Alternium )'!$B$2)^(-C31)</f>
        <v>0.65873097414500015</v>
      </c>
      <c r="P31" s="12">
        <f t="shared" si="5"/>
        <v>3128.1008395801573</v>
      </c>
    </row>
    <row r="32" spans="3:18" x14ac:dyDescent="0.3">
      <c r="C32" s="11">
        <f t="shared" si="4"/>
        <v>5</v>
      </c>
      <c r="D32" s="12"/>
      <c r="E32" s="12"/>
      <c r="F32" s="12">
        <f>Overview!$C$25*(1+Overview!$E$25)^('Expense (with Alternium )'!C31)</f>
        <v>1969.1201249999999</v>
      </c>
      <c r="G32" s="12">
        <f>Overview!$C$26*(1+Overview!$E$26)^('Expense (with Alternium )'!C31)</f>
        <v>2108.3040000000005</v>
      </c>
      <c r="H32" s="12">
        <f>Overview!$C$28*(1+0.08)^('Expense (with Alternium )'!C31)</f>
        <v>195.91041024000003</v>
      </c>
      <c r="I32" s="12">
        <f>I13</f>
        <v>639.66999999999996</v>
      </c>
      <c r="J32" s="12"/>
      <c r="K32" s="12">
        <f>Overview!$C$31*(1+Overview!$E$31)^('Expense (with Alternium )'!C31)</f>
        <v>67.348600000000019</v>
      </c>
      <c r="L32" s="12">
        <f>Overview!$C$32*(1+Overview!$E$32)^('Expense (with Alternium )'!C32)</f>
        <v>733.86189843750003</v>
      </c>
      <c r="M32" s="12">
        <f>'Working Capital'!F34</f>
        <v>14.809586078746683</v>
      </c>
      <c r="N32" s="12">
        <f t="shared" si="3"/>
        <v>5729.0246197562474</v>
      </c>
      <c r="O32" s="11">
        <f>(1+'Income (with Alternium )'!$B$2)^(-C32)</f>
        <v>0.5934513280585586</v>
      </c>
      <c r="P32" s="12">
        <f t="shared" si="5"/>
        <v>3399.8972690745236</v>
      </c>
    </row>
    <row r="33" spans="3:16" x14ac:dyDescent="0.3">
      <c r="C33" s="11">
        <f t="shared" si="4"/>
        <v>6</v>
      </c>
      <c r="D33" s="12"/>
      <c r="E33" s="12"/>
      <c r="F33" s="12">
        <f>Overview!$C$25*(1+Overview!$E$25)^('Expense (with Alternium )'!C32)</f>
        <v>2067.5761312500003</v>
      </c>
      <c r="G33" s="12">
        <f>Overview!$C$26*(1+Overview!$E$26)^('Expense (with Alternium )'!C32)</f>
        <v>2319.1344000000008</v>
      </c>
      <c r="H33" s="12">
        <f>Overview!$C$28*(1+0.08)^('Expense (with Alternium )'!C32)</f>
        <v>211.58324305920004</v>
      </c>
      <c r="I33" s="12"/>
      <c r="J33" s="12"/>
      <c r="K33" s="12">
        <f>Overview!$C$31*(1+Overview!$E$31)^('Expense (with Alternium )'!C32)</f>
        <v>74.083460000000031</v>
      </c>
      <c r="L33" s="12">
        <f>Overview!$C$32*(1+Overview!$E$32)^('Expense (with Alternium )'!C33)</f>
        <v>770.55499335937498</v>
      </c>
      <c r="M33" s="12">
        <f>'Working Capital'!F35</f>
        <v>14.482363302722419</v>
      </c>
      <c r="N33" s="12">
        <f t="shared" si="3"/>
        <v>5457.4145909712979</v>
      </c>
      <c r="O33" s="11">
        <f>(1+'Income (with Alternium )'!$B$2)^(-C33)</f>
        <v>0.53464083608879154</v>
      </c>
      <c r="P33" s="12">
        <f t="shared" si="5"/>
        <v>2917.7566998000648</v>
      </c>
    </row>
    <row r="34" spans="3:16" x14ac:dyDescent="0.3">
      <c r="C34" s="11">
        <f t="shared" si="4"/>
        <v>7</v>
      </c>
      <c r="D34" s="12"/>
      <c r="E34" s="12"/>
      <c r="F34" s="12">
        <f>Overview!$C$25*(1+Overview!$E$25)^('Expense (with Alternium )'!C33)</f>
        <v>2170.9549378124998</v>
      </c>
      <c r="G34" s="12">
        <f>Overview!$C$26*(1+Overview!$E$26)^('Expense (with Alternium )'!C33)</f>
        <v>2551.0478400000011</v>
      </c>
      <c r="H34" s="12">
        <f>Overview!$C$28*(1+0.08)^('Expense (with Alternium )'!C33)</f>
        <v>228.50990250393608</v>
      </c>
      <c r="I34" s="12"/>
      <c r="J34" s="12"/>
      <c r="K34" s="12">
        <f>Overview!$C$31*(1+Overview!$E$31)^('Expense (with Alternium )'!C33)</f>
        <v>81.491806000000039</v>
      </c>
      <c r="L34" s="12">
        <f>Overview!$C$32*(1+Overview!$E$32)^('Expense (with Alternium )'!C34)</f>
        <v>809.08274302734389</v>
      </c>
      <c r="M34" s="12">
        <f>'Working Capital'!F36</f>
        <v>14.162370623783895</v>
      </c>
      <c r="N34" s="12">
        <f t="shared" si="3"/>
        <v>5855.2495999675648</v>
      </c>
      <c r="O34" s="11">
        <f>(1+'Income (with Alternium )'!$B$2)^(-C34)</f>
        <v>0.48165841089080319</v>
      </c>
      <c r="P34" s="12">
        <f t="shared" si="5"/>
        <v>2820.2302176893882</v>
      </c>
    </row>
    <row r="35" spans="3:16" x14ac:dyDescent="0.3">
      <c r="C35" s="11">
        <f t="shared" si="4"/>
        <v>8</v>
      </c>
      <c r="D35" s="12"/>
      <c r="E35" s="12"/>
      <c r="F35" s="12">
        <f>Overview!$C$25*(1+Overview!$E$25)^('Expense (with Alternium )'!C34)</f>
        <v>2279.5026847031254</v>
      </c>
      <c r="G35" s="12">
        <f>Overview!$C$26*(1+Overview!$E$26)^('Expense (with Alternium )'!C34)</f>
        <v>2806.1526240000017</v>
      </c>
      <c r="H35" s="12">
        <f>Overview!$C$28*(1+0.08)^('Expense (with Alternium )'!C34)</f>
        <v>246.79069470425097</v>
      </c>
      <c r="I35" s="12"/>
      <c r="J35" s="12"/>
      <c r="K35" s="12">
        <f>Overview!$C$31*(1+Overview!$E$31)^('Expense (with Alternium )'!C34)</f>
        <v>89.640986600000062</v>
      </c>
      <c r="L35" s="12">
        <f>Overview!$C$32*(1+Overview!$E$32)^('Expense (with Alternium )'!C35)</f>
        <v>849.53688017871093</v>
      </c>
      <c r="M35" s="12">
        <f>'Working Capital'!F37</f>
        <v>13.849448290508843</v>
      </c>
      <c r="N35" s="12">
        <f t="shared" si="3"/>
        <v>6285.4733184765983</v>
      </c>
      <c r="O35" s="11">
        <f>(1+'Income (with Alternium )'!$B$2)^(-C35)</f>
        <v>0.43392649629802077</v>
      </c>
      <c r="P35" s="12">
        <f t="shared" si="5"/>
        <v>2727.4334146612441</v>
      </c>
    </row>
    <row r="36" spans="3:16" x14ac:dyDescent="0.3">
      <c r="C36" s="11">
        <f t="shared" si="4"/>
        <v>9</v>
      </c>
      <c r="D36" s="12"/>
      <c r="E36" s="12"/>
      <c r="F36" s="12">
        <f>Overview!$C$25*(1+Overview!$E$25)^('Expense (with Alternium )'!C35)</f>
        <v>2393.4778189382814</v>
      </c>
      <c r="G36" s="12">
        <f>Overview!$C$26*(1+Overview!$E$26)^('Expense (with Alternium )'!C35)</f>
        <v>3086.7678864000018</v>
      </c>
      <c r="H36" s="12">
        <f>Overview!$C$28*(1+0.08)^('Expense (with Alternium )'!C35)</f>
        <v>266.53395028059106</v>
      </c>
      <c r="I36" s="12"/>
      <c r="J36" s="12"/>
      <c r="K36" s="12">
        <f>Overview!$C$31*(1+Overview!$E$31)^('Expense (with Alternium )'!C35)</f>
        <v>98.605085260000052</v>
      </c>
      <c r="L36" s="12">
        <f>Overview!$C$32*(1+Overview!$E$32)^('Expense (with Alternium )'!C36)</f>
        <v>892.01372418764652</v>
      </c>
      <c r="M36" s="12">
        <f>'Working Capital'!F38</f>
        <v>13.5434400812363</v>
      </c>
      <c r="N36" s="12">
        <f t="shared" si="3"/>
        <v>6750.9419051477571</v>
      </c>
      <c r="O36" s="11">
        <f>(1+'Income (with Alternium )'!$B$2)^(-C36)</f>
        <v>0.39092477143965831</v>
      </c>
      <c r="P36" s="12">
        <f t="shared" si="5"/>
        <v>2639.1104212722985</v>
      </c>
    </row>
    <row r="37" spans="3:16" x14ac:dyDescent="0.3">
      <c r="C37" s="11">
        <f t="shared" si="4"/>
        <v>10</v>
      </c>
      <c r="D37" s="12"/>
      <c r="E37" s="12"/>
      <c r="F37" s="12">
        <f>Overview!$C$25*(1+Overview!$E$25)^('Expense (with Alternium )'!C36)</f>
        <v>2513.1517098851955</v>
      </c>
      <c r="G37" s="12">
        <f>Overview!$C$26*(1+Overview!$E$26)^('Expense (with Alternium )'!C36)</f>
        <v>3395.444675040002</v>
      </c>
      <c r="H37" s="12">
        <f>Overview!$C$28*(1+0.08)^('Expense (with Alternium )'!C36)</f>
        <v>287.85666630303837</v>
      </c>
      <c r="I37" s="12"/>
      <c r="J37" s="12"/>
      <c r="K37" s="12">
        <f>Overview!$C$31*(1+Overview!$E$31)^('Expense (with Alternium )'!C36)</f>
        <v>108.46559378600007</v>
      </c>
      <c r="L37" s="12">
        <f>Overview!$C$32*(1+Overview!$E$32)^('Expense (with Alternium )'!C37)</f>
        <v>936.61441039702891</v>
      </c>
      <c r="M37" s="12">
        <f>'Working Capital'!F39</f>
        <v>13.244193226075339</v>
      </c>
      <c r="N37" s="12">
        <f t="shared" si="3"/>
        <v>7254.7772486373406</v>
      </c>
      <c r="O37" s="11">
        <f>(1+'Income (with Alternium )'!$B$2)^(-C37)</f>
        <v>0.3521844787744669</v>
      </c>
      <c r="P37" s="12">
        <f t="shared" si="5"/>
        <v>2555.0199439362027</v>
      </c>
    </row>
    <row r="38" spans="3:16" x14ac:dyDescent="0.3">
      <c r="C38" s="11">
        <f t="shared" si="4"/>
        <v>11</v>
      </c>
      <c r="D38" s="12"/>
      <c r="E38" s="12"/>
      <c r="F38" s="12">
        <f>Overview!$C$25*(1+Overview!$E$25)^('Expense (with Alternium )'!C37)</f>
        <v>2638.8092953794553</v>
      </c>
      <c r="G38" s="12">
        <f>Overview!$C$26*(1+Overview!$E$26)^('Expense (with Alternium )'!C37)</f>
        <v>3734.9891425440028</v>
      </c>
      <c r="H38" s="12">
        <f>Overview!$C$28*(1+0.08)^('Expense (with Alternium )'!C37)</f>
        <v>310.88519960728144</v>
      </c>
      <c r="I38" s="12"/>
      <c r="J38" s="12"/>
      <c r="K38" s="12">
        <f>Overview!$C$31*(1+Overview!$E$31)^('Expense (with Alternium )'!C37)</f>
        <v>119.31215316460009</v>
      </c>
      <c r="L38" s="12">
        <f>Overview!$C$32*(1+Overview!$E$32)^('Expense (with Alternium )'!C38)</f>
        <v>983.44513091688043</v>
      </c>
      <c r="M38" s="12">
        <f>'Working Capital'!F40</f>
        <v>12.951558330637063</v>
      </c>
      <c r="N38" s="12">
        <f t="shared" si="3"/>
        <v>7800.3924799428587</v>
      </c>
      <c r="O38" s="11">
        <f>(1+'Income (with Alternium )'!$B$2)^(-C38)</f>
        <v>0.31728331421123146</v>
      </c>
      <c r="P38" s="12">
        <f t="shared" si="5"/>
        <v>2474.9343781846369</v>
      </c>
    </row>
    <row r="39" spans="3:16" x14ac:dyDescent="0.3">
      <c r="C39" s="11">
        <f t="shared" si="4"/>
        <v>12</v>
      </c>
      <c r="D39" s="12"/>
      <c r="E39" s="12"/>
      <c r="F39" s="12">
        <f>Overview!$C$25*(1+Overview!$E$25)^('Expense (with Alternium )'!C38)</f>
        <v>2770.7497601484283</v>
      </c>
      <c r="G39" s="12">
        <f>Overview!$C$26*(1+Overview!$E$26)^('Expense (with Alternium )'!C38)</f>
        <v>4108.4880567984037</v>
      </c>
      <c r="H39" s="12">
        <f>Overview!$C$28*(1+0.08)^('Expense (with Alternium )'!C38)</f>
        <v>335.75601557586396</v>
      </c>
      <c r="I39" s="12"/>
      <c r="J39" s="12"/>
      <c r="K39" s="12">
        <f>Overview!$C$31*(1+Overview!$E$31)^('Expense (with Alternium )'!C38)</f>
        <v>131.24336848106012</v>
      </c>
      <c r="L39" s="12">
        <f>Overview!$C$32*(1+Overview!$E$32)^('Expense (with Alternium )'!C39)</f>
        <v>1032.6173874627243</v>
      </c>
      <c r="M39" s="12">
        <f>'Working Capital'!F41</f>
        <v>12.665389301451748</v>
      </c>
      <c r="N39" s="12">
        <f t="shared" si="3"/>
        <v>8391.5199777679318</v>
      </c>
      <c r="O39" s="11">
        <f>(1+'Income (with Alternium )'!$B$2)^(-C39)</f>
        <v>0.28584082361372198</v>
      </c>
      <c r="P39" s="12">
        <f t="shared" si="5"/>
        <v>2398.6389818161874</v>
      </c>
    </row>
    <row r="40" spans="3:16" x14ac:dyDescent="0.3">
      <c r="C40" s="11">
        <f t="shared" si="4"/>
        <v>13</v>
      </c>
      <c r="D40" s="12"/>
      <c r="E40" s="12"/>
      <c r="F40" s="12">
        <f>Overview!$C$25*(1+Overview!$E$25)^('Expense (with Alternium )'!C39)</f>
        <v>2909.2872481558493</v>
      </c>
      <c r="G40" s="12">
        <f>Overview!$C$26*(1+Overview!$E$26)^('Expense (with Alternium )'!C39)</f>
        <v>4519.3368624782433</v>
      </c>
      <c r="H40" s="12">
        <f>Overview!$C$28*(1+0.08)^('Expense (with Alternium )'!C39)</f>
        <v>362.61649682193308</v>
      </c>
      <c r="I40" s="12"/>
      <c r="J40" s="12"/>
      <c r="K40" s="12">
        <f>Overview!$C$31*(1+Overview!$E$31)^('Expense (with Alternium )'!C39)</f>
        <v>144.36770532916611</v>
      </c>
      <c r="L40" s="12">
        <f>Overview!$C$32*(1+Overview!$E$32)^('Expense (with Alternium )'!C40)</f>
        <v>1084.2482568358607</v>
      </c>
      <c r="M40" s="12">
        <f>'Working Capital'!F42</f>
        <v>12.385543273033926</v>
      </c>
      <c r="N40" s="12">
        <f t="shared" si="3"/>
        <v>9032.2421128940859</v>
      </c>
      <c r="O40" s="11">
        <f>(1+'Income (with Alternium )'!$B$2)^(-C40)</f>
        <v>0.25751425550785767</v>
      </c>
      <c r="P40" s="12">
        <f t="shared" si="5"/>
        <v>2325.9311032686401</v>
      </c>
    </row>
    <row r="41" spans="3:16" x14ac:dyDescent="0.3">
      <c r="C41" s="11">
        <f t="shared" si="4"/>
        <v>14</v>
      </c>
      <c r="D41" s="12"/>
      <c r="E41" s="12"/>
      <c r="F41" s="12">
        <f>Overview!$C$25*(1+Overview!$E$25)^('Expense (with Alternium )'!C40)</f>
        <v>3054.7516105636423</v>
      </c>
      <c r="G41" s="12">
        <f>Overview!$C$26*(1+Overview!$E$26)^('Expense (with Alternium )'!C40)</f>
        <v>4971.2705487260682</v>
      </c>
      <c r="H41" s="12">
        <f>Overview!$C$28*(1+0.08)^('Expense (with Alternium )'!C40)</f>
        <v>391.62581656768776</v>
      </c>
      <c r="I41" s="12"/>
      <c r="J41" s="12"/>
      <c r="K41" s="12">
        <f>Overview!$C$31*(1+Overview!$E$31)^('Expense (with Alternium )'!C40)</f>
        <v>158.80447586208274</v>
      </c>
      <c r="L41" s="12">
        <f>Overview!$C$32*(1+Overview!$E$32)^('Expense (with Alternium )'!C41)</f>
        <v>1138.4606696776534</v>
      </c>
      <c r="M41" s="12">
        <f>'Working Capital'!F43</f>
        <v>12.111880536558997</v>
      </c>
      <c r="N41" s="12">
        <f t="shared" si="3"/>
        <v>9727.0250019336945</v>
      </c>
      <c r="O41" s="11">
        <f>(1+'Income (with Alternium )'!$B$2)^(-C41)</f>
        <v>0.23199482478185374</v>
      </c>
      <c r="P41" s="12">
        <f t="shared" si="5"/>
        <v>2256.6194609723179</v>
      </c>
    </row>
    <row r="42" spans="3:16" x14ac:dyDescent="0.3">
      <c r="C42" s="11">
        <f t="shared" si="4"/>
        <v>15</v>
      </c>
      <c r="D42" s="12"/>
      <c r="E42" s="12"/>
      <c r="F42" s="12">
        <f>Overview!$C$25*(1+Overview!$E$25)^('Expense (with Alternium )'!C41)</f>
        <v>3207.4891910918236</v>
      </c>
      <c r="G42" s="12">
        <f>Overview!$C$26*(1+Overview!$E$26)^('Expense (with Alternium )'!C41)</f>
        <v>5468.3976035986761</v>
      </c>
      <c r="H42" s="12">
        <f>Overview!$C$28*(1+0.08)^('Expense (with Alternium )'!C41)</f>
        <v>422.95588189310286</v>
      </c>
      <c r="I42" s="12"/>
      <c r="J42" s="12"/>
      <c r="K42" s="12">
        <f>Overview!$C$31*(1+Overview!$E$31)^('Expense (with Alternium )'!C41)</f>
        <v>174.68492344829104</v>
      </c>
      <c r="L42" s="12">
        <f>Overview!$C$32*(1+Overview!$E$32)^('Expense (with Alternium )'!C42)</f>
        <v>1195.3837031615365</v>
      </c>
      <c r="M42" s="12">
        <f>'Working Capital'!F44</f>
        <v>11.844264470115732</v>
      </c>
      <c r="N42" s="12">
        <f t="shared" si="3"/>
        <v>10480.755567663546</v>
      </c>
      <c r="O42" s="11">
        <f>(1+'Income (with Alternium )'!$B$2)^(-C42)</f>
        <v>0.2090043466503187</v>
      </c>
      <c r="P42" s="12">
        <f t="shared" si="5"/>
        <v>2190.5234698212093</v>
      </c>
    </row>
    <row r="43" spans="3:16" x14ac:dyDescent="0.3">
      <c r="C43" s="11">
        <f t="shared" si="4"/>
        <v>16</v>
      </c>
      <c r="D43" s="12"/>
      <c r="E43" s="12"/>
      <c r="F43" s="12">
        <f>Overview!$C$25*(1+Overview!$E$25)^('Expense (with Alternium )'!C42)</f>
        <v>3367.8636506464159</v>
      </c>
      <c r="G43" s="12">
        <f>Overview!$C$26*(1+Overview!$E$26)^('Expense (with Alternium )'!C42)</f>
        <v>6015.2373639585439</v>
      </c>
      <c r="H43" s="12">
        <f>Overview!$C$28*(1+0.08)^('Expense (with Alternium )'!C42)</f>
        <v>456.79235244455111</v>
      </c>
      <c r="I43" s="12"/>
      <c r="J43" s="12"/>
      <c r="K43" s="12">
        <f>Overview!$C$31*(1+Overview!$E$31)^('Expense (with Alternium )'!C42)</f>
        <v>192.15341579312013</v>
      </c>
      <c r="L43" s="12">
        <f>Overview!$C$32*(1+Overview!$E$32)^('Expense (with Alternium )'!C43)</f>
        <v>1255.1528883196131</v>
      </c>
      <c r="M43" s="12">
        <f>'Working Capital'!F45</f>
        <v>11.582561470499895</v>
      </c>
      <c r="N43" s="12">
        <f t="shared" si="3"/>
        <v>11298.782232632742</v>
      </c>
      <c r="O43" s="11">
        <f>(1+'Income (with Alternium )'!$B$2)^(-C43)</f>
        <v>0.18829220418947626</v>
      </c>
      <c r="P43" s="12">
        <f t="shared" si="5"/>
        <v>2127.4726112393109</v>
      </c>
    </row>
    <row r="44" spans="3:16" x14ac:dyDescent="0.3">
      <c r="C44" s="11">
        <f t="shared" si="4"/>
        <v>17</v>
      </c>
      <c r="D44" s="12"/>
      <c r="E44" s="12"/>
      <c r="F44" s="12">
        <f>Overview!$C$25*(1+Overview!$E$25)^('Expense (with Alternium )'!C43)</f>
        <v>3536.2568331787365</v>
      </c>
      <c r="G44" s="12">
        <f>Overview!$C$26*(1+Overview!$E$26)^('Expense (with Alternium )'!C43)</f>
        <v>6616.761100354398</v>
      </c>
      <c r="H44" s="12">
        <f>Overview!$C$28*(1+0.08)^('Expense (with Alternium )'!C43)</f>
        <v>493.33574064011515</v>
      </c>
      <c r="I44" s="12"/>
      <c r="J44" s="12"/>
      <c r="K44" s="12">
        <f>Overview!$C$31*(1+Overview!$E$31)^('Expense (with Alternium )'!C43)</f>
        <v>211.36875737243216</v>
      </c>
      <c r="L44" s="12">
        <f>Overview!$C$32*(1+Overview!$E$32)^('Expense (with Alternium )'!C44)</f>
        <v>1317.910532735594</v>
      </c>
      <c r="M44" s="12">
        <f>'Working Capital'!F46</f>
        <v>11.326640886514914</v>
      </c>
      <c r="N44" s="12">
        <f t="shared" si="3"/>
        <v>12186.959605167791</v>
      </c>
      <c r="O44" s="11">
        <f>(1+'Income (with Alternium )'!$B$2)^(-C44)</f>
        <v>0.16963261638691554</v>
      </c>
      <c r="P44" s="12">
        <f t="shared" si="5"/>
        <v>2067.3058436262636</v>
      </c>
    </row>
    <row r="45" spans="3:16" x14ac:dyDescent="0.3">
      <c r="C45" s="11">
        <f t="shared" si="4"/>
        <v>18</v>
      </c>
      <c r="D45" s="12"/>
      <c r="E45" s="12"/>
      <c r="F45" s="12">
        <f>Overview!$C$25*(1+Overview!$E$25)^('Expense (with Alternium )'!C44)</f>
        <v>3713.0696748376736</v>
      </c>
      <c r="G45" s="12">
        <f>Overview!$C$26*(1+Overview!$E$26)^('Expense (with Alternium )'!C44)</f>
        <v>7278.4372103898386</v>
      </c>
      <c r="H45" s="12">
        <f>Overview!$C$28*(1+0.08)^('Expense (with Alternium )'!C44)</f>
        <v>532.80259989132435</v>
      </c>
      <c r="I45" s="12"/>
      <c r="J45" s="12"/>
      <c r="K45" s="12">
        <f>Overview!$C$31*(1+Overview!$E$31)^('Expense (with Alternium )'!C44)</f>
        <v>232.50563310967539</v>
      </c>
      <c r="L45" s="12">
        <f>Overview!$C$32*(1+Overview!$E$32)^('Expense (with Alternium )'!C45)</f>
        <v>1383.8060593723737</v>
      </c>
      <c r="M45" s="12">
        <f>'Working Capital'!F47</f>
        <v>11.076374953746251</v>
      </c>
      <c r="N45" s="12">
        <f t="shared" si="3"/>
        <v>13151.69755255463</v>
      </c>
      <c r="O45" s="11">
        <f>(1+'Income (with Alternium )'!$B$2)^(-C45)</f>
        <v>0.15282217692514913</v>
      </c>
      <c r="P45" s="12">
        <f t="shared" si="5"/>
        <v>2009.8710502425545</v>
      </c>
    </row>
    <row r="46" spans="3:16" x14ac:dyDescent="0.3">
      <c r="C46" s="11">
        <f t="shared" si="4"/>
        <v>19</v>
      </c>
      <c r="D46" s="12"/>
      <c r="E46" s="12"/>
      <c r="F46" s="12">
        <f>Overview!$C$25*(1+Overview!$E$25)^('Expense (with Alternium )'!C45)</f>
        <v>3898.7231585795575</v>
      </c>
      <c r="G46" s="12">
        <f>Overview!$C$26*(1+Overview!$E$26)^('Expense (with Alternium )'!C45)</f>
        <v>8006.2809314288224</v>
      </c>
      <c r="H46" s="12">
        <f>Overview!$C$28*(1+0.08)^('Expense (with Alternium )'!C45)</f>
        <v>575.42680788263044</v>
      </c>
      <c r="I46" s="12"/>
      <c r="J46" s="12"/>
      <c r="K46" s="12">
        <f>Overview!$C$31*(1+Overview!$E$31)^('Expense (with Alternium )'!C45)</f>
        <v>255.75619642064294</v>
      </c>
      <c r="L46" s="12">
        <f>Overview!$C$32*(1+Overview!$E$32)^('Expense (with Alternium )'!C46)</f>
        <v>1452.9963623409924</v>
      </c>
      <c r="M46" s="12">
        <f>'Working Capital'!F48</f>
        <v>10.831638730776998</v>
      </c>
      <c r="N46" s="12">
        <f t="shared" si="3"/>
        <v>14200.015095383424</v>
      </c>
      <c r="O46" s="11">
        <f>(1+'Income (with Alternium )'!$B$2)^(-C46)</f>
        <v>0.13767763686950371</v>
      </c>
      <c r="P46" s="12">
        <f t="shared" si="5"/>
        <v>1955.0245218436701</v>
      </c>
    </row>
    <row r="47" spans="3:16" x14ac:dyDescent="0.3">
      <c r="C47" s="11">
        <f t="shared" si="4"/>
        <v>20</v>
      </c>
      <c r="D47" s="12"/>
      <c r="E47" s="12"/>
      <c r="F47" s="12">
        <f>Overview!$C$25*(1+Overview!$E$25)^('Expense (with Alternium )'!C46)</f>
        <v>4093.6593165085351</v>
      </c>
      <c r="G47" s="12">
        <f>Overview!$C$26*(1+Overview!$E$26)^('Expense (with Alternium )'!C46)</f>
        <v>8806.9090245717071</v>
      </c>
      <c r="H47" s="12">
        <f>Overview!$C$28*(1+0.08)^('Expense (with Alternium )'!C46)</f>
        <v>621.46095251324095</v>
      </c>
      <c r="I47" s="12"/>
      <c r="J47" s="12"/>
      <c r="K47" s="12">
        <f>Overview!$C$31*(1+Overview!$E$31)^('Expense (with Alternium )'!C46)</f>
        <v>281.33181606270733</v>
      </c>
      <c r="L47" s="12">
        <f>Overview!$C$32*(1+Overview!$E$32)^('Expense (with Alternium )'!C47)</f>
        <v>1525.646180458042</v>
      </c>
      <c r="M47" s="12">
        <f>'Working Capital'!F49</f>
        <v>0</v>
      </c>
      <c r="N47" s="12">
        <f t="shared" si="3"/>
        <v>15329.00729011423</v>
      </c>
      <c r="O47" s="11">
        <f>(1+'Income (with Alternium )'!$B$2)^(-C47)</f>
        <v>0.12403390708964297</v>
      </c>
      <c r="P47" s="12">
        <f t="shared" si="5"/>
        <v>1901.3166659984881</v>
      </c>
    </row>
    <row r="50" spans="17:18" x14ac:dyDescent="0.3">
      <c r="Q50" s="9" t="s">
        <v>55</v>
      </c>
      <c r="R50" s="19">
        <f>SUM(P27:P47)</f>
        <v>53765.53735252843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32"/>
  <sheetViews>
    <sheetView zoomScaleNormal="100" workbookViewId="0">
      <selection activeCell="I26" sqref="I26"/>
    </sheetView>
  </sheetViews>
  <sheetFormatPr defaultRowHeight="14.4" x14ac:dyDescent="0.3"/>
  <cols>
    <col min="1" max="1" width="11.33203125" customWidth="1"/>
    <col min="2" max="2" width="14.33203125" bestFit="1" customWidth="1"/>
    <col min="3" max="3" width="13.44140625" customWidth="1"/>
    <col min="4" max="4" width="14.6640625" customWidth="1"/>
    <col min="5" max="5" width="29.44140625" customWidth="1"/>
    <col min="6" max="6" width="27.5546875" bestFit="1" customWidth="1"/>
    <col min="7" max="7" width="16.5546875" bestFit="1" customWidth="1"/>
    <col min="8" max="8" width="14.44140625" customWidth="1"/>
    <col min="9" max="9" width="14" bestFit="1" customWidth="1"/>
    <col min="10" max="10" width="11.109375" bestFit="1" customWidth="1"/>
    <col min="11" max="11" width="18.44140625" bestFit="1" customWidth="1"/>
    <col min="12" max="12" width="20.5546875" bestFit="1" customWidth="1"/>
    <col min="13" max="13" width="14.6640625" bestFit="1" customWidth="1"/>
    <col min="14" max="14" width="17.33203125" bestFit="1" customWidth="1"/>
    <col min="15" max="15" width="16.6640625" bestFit="1" customWidth="1"/>
  </cols>
  <sheetData>
    <row r="2" spans="1:6" x14ac:dyDescent="0.3">
      <c r="E2" s="9" t="s">
        <v>31</v>
      </c>
      <c r="F2" s="12">
        <f>'Income (with Alternium )'!K20-'Expense (with Alternium )'!R20</f>
        <v>28381.270995691029</v>
      </c>
    </row>
    <row r="4" spans="1:6" x14ac:dyDescent="0.3">
      <c r="E4" s="9" t="s">
        <v>32</v>
      </c>
      <c r="F4" s="12">
        <f>E32-B32</f>
        <v>49923.509449870508</v>
      </c>
    </row>
    <row r="5" spans="1:6" x14ac:dyDescent="0.3">
      <c r="F5" s="2"/>
    </row>
    <row r="7" spans="1:6" x14ac:dyDescent="0.3">
      <c r="A7" s="17" t="s">
        <v>52</v>
      </c>
      <c r="D7" s="17" t="s">
        <v>56</v>
      </c>
    </row>
    <row r="9" spans="1:6" x14ac:dyDescent="0.3">
      <c r="A9" s="10" t="s">
        <v>26</v>
      </c>
      <c r="B9" s="10" t="s">
        <v>53</v>
      </c>
      <c r="D9" s="10" t="s">
        <v>61</v>
      </c>
      <c r="E9" s="10" t="s">
        <v>62</v>
      </c>
    </row>
    <row r="10" spans="1:6" x14ac:dyDescent="0.3">
      <c r="A10" s="11">
        <f>0</f>
        <v>0</v>
      </c>
      <c r="B10" s="12">
        <f>'Expense (with Alternium )'!P27</f>
        <v>1781.56</v>
      </c>
      <c r="D10" s="11">
        <f>0</f>
        <v>0</v>
      </c>
      <c r="E10" s="12">
        <f>'Income (with Alternium )'!K27</f>
        <v>7002</v>
      </c>
    </row>
    <row r="11" spans="1:6" x14ac:dyDescent="0.3">
      <c r="A11" s="11">
        <f>A10+1</f>
        <v>1</v>
      </c>
      <c r="B11" s="12">
        <f>'Expense (with Alternium )'!P28</f>
        <v>3486.4361272439342</v>
      </c>
      <c r="D11" s="11">
        <f>D10+1</f>
        <v>1</v>
      </c>
      <c r="E11" s="12">
        <f>'Income (with Alternium )'!K28</f>
        <v>6750.72972972973</v>
      </c>
    </row>
    <row r="12" spans="1:6" x14ac:dyDescent="0.3">
      <c r="A12" s="11">
        <f t="shared" ref="A12:A30" si="0">A11+1</f>
        <v>2</v>
      </c>
      <c r="B12" s="12">
        <f>'Expense (with Alternium )'!P29</f>
        <v>3360.8422913216882</v>
      </c>
      <c r="D12" s="11">
        <f t="shared" ref="D12:D30" si="1">D11+1</f>
        <v>2</v>
      </c>
      <c r="E12" s="12">
        <f>'Income (with Alternium )'!K29</f>
        <v>6511.8166544923297</v>
      </c>
    </row>
    <row r="13" spans="1:6" x14ac:dyDescent="0.3">
      <c r="A13" s="11">
        <f t="shared" si="0"/>
        <v>3</v>
      </c>
      <c r="B13" s="12">
        <f>'Expense (with Alternium )'!P30</f>
        <v>3241.512040935655</v>
      </c>
      <c r="D13" s="11">
        <f t="shared" si="1"/>
        <v>3</v>
      </c>
      <c r="E13" s="12">
        <f>'Income (with Alternium )'!K30</f>
        <v>6284.604603873413</v>
      </c>
    </row>
    <row r="14" spans="1:6" x14ac:dyDescent="0.3">
      <c r="A14" s="11">
        <f t="shared" si="0"/>
        <v>4</v>
      </c>
      <c r="B14" s="12">
        <f>'Expense (with Alternium )'!P31</f>
        <v>3128.1008395801573</v>
      </c>
      <c r="D14" s="11">
        <f t="shared" si="1"/>
        <v>4</v>
      </c>
      <c r="E14" s="12">
        <f>'Income (with Alternium )'!K31</f>
        <v>6068.4728492731765</v>
      </c>
    </row>
    <row r="15" spans="1:6" x14ac:dyDescent="0.3">
      <c r="A15" s="11">
        <f t="shared" si="0"/>
        <v>5</v>
      </c>
      <c r="B15" s="12">
        <f>'Expense (with Alternium )'!P32</f>
        <v>3399.8972690745236</v>
      </c>
      <c r="D15" s="11">
        <f t="shared" si="1"/>
        <v>5</v>
      </c>
      <c r="E15" s="12">
        <f>'Income (with Alternium )'!K32</f>
        <v>5862.8341790523027</v>
      </c>
    </row>
    <row r="16" spans="1:6" x14ac:dyDescent="0.3">
      <c r="A16" s="11">
        <f t="shared" si="0"/>
        <v>6</v>
      </c>
      <c r="B16" s="12">
        <f>'Expense (with Alternium )'!P33</f>
        <v>2917.7566998000648</v>
      </c>
      <c r="D16" s="11">
        <f t="shared" si="1"/>
        <v>6</v>
      </c>
      <c r="E16" s="12">
        <f>'Income (with Alternium )'!K33</f>
        <v>5667.1330785751516</v>
      </c>
    </row>
    <row r="17" spans="1:5" x14ac:dyDescent="0.3">
      <c r="A17" s="11">
        <f t="shared" si="0"/>
        <v>7</v>
      </c>
      <c r="B17" s="12">
        <f>'Expense (with Alternium )'!P34</f>
        <v>2820.2302176893882</v>
      </c>
      <c r="D17" s="11">
        <f t="shared" si="1"/>
        <v>7</v>
      </c>
      <c r="E17" s="12">
        <f>'Income (with Alternium )'!K34</f>
        <v>5480.8440094143498</v>
      </c>
    </row>
    <row r="18" spans="1:5" x14ac:dyDescent="0.3">
      <c r="A18" s="11">
        <f t="shared" si="0"/>
        <v>8</v>
      </c>
      <c r="B18" s="12">
        <f>'Expense (with Alternium )'!P35</f>
        <v>2727.4334146612441</v>
      </c>
      <c r="D18" s="11">
        <f t="shared" si="1"/>
        <v>8</v>
      </c>
      <c r="E18" s="12">
        <f>'Income (with Alternium )'!K35</f>
        <v>5303.4697822958478</v>
      </c>
    </row>
    <row r="19" spans="1:5" x14ac:dyDescent="0.3">
      <c r="A19" s="11">
        <f t="shared" si="0"/>
        <v>9</v>
      </c>
      <c r="B19" s="12">
        <f>'Expense (with Alternium )'!P36</f>
        <v>2639.1104212722985</v>
      </c>
      <c r="D19" s="11">
        <f t="shared" si="1"/>
        <v>9</v>
      </c>
      <c r="E19" s="12">
        <f>'Income (with Alternium )'!K36</f>
        <v>5134.5400186609531</v>
      </c>
    </row>
    <row r="20" spans="1:5" x14ac:dyDescent="0.3">
      <c r="A20" s="11">
        <f t="shared" si="0"/>
        <v>10</v>
      </c>
      <c r="B20" s="12">
        <f>'Expense (with Alternium )'!P37</f>
        <v>2555.0199439362027</v>
      </c>
      <c r="D20" s="11">
        <f t="shared" si="1"/>
        <v>10</v>
      </c>
      <c r="E20" s="12">
        <f>'Income (with Alternium )'!K37</f>
        <v>4973.6096960030154</v>
      </c>
    </row>
    <row r="21" spans="1:5" x14ac:dyDescent="0.3">
      <c r="A21" s="11">
        <f t="shared" si="0"/>
        <v>11</v>
      </c>
      <c r="B21" s="12">
        <f>'Expense (with Alternium )'!P38</f>
        <v>2474.9343781846369</v>
      </c>
      <c r="D21" s="11">
        <f t="shared" si="1"/>
        <v>11</v>
      </c>
      <c r="E21" s="12">
        <f>'Income (with Alternium )'!K38</f>
        <v>4820.2577724020421</v>
      </c>
    </row>
    <row r="22" spans="1:5" x14ac:dyDescent="0.3">
      <c r="A22" s="11">
        <f t="shared" si="0"/>
        <v>12</v>
      </c>
      <c r="B22" s="12">
        <f>'Expense (with Alternium )'!P39</f>
        <v>2398.6389818161874</v>
      </c>
      <c r="D22" s="11">
        <f t="shared" si="1"/>
        <v>12</v>
      </c>
      <c r="E22" s="12">
        <f>'Income (with Alternium )'!K39</f>
        <v>4674.0858859314867</v>
      </c>
    </row>
    <row r="23" spans="1:5" x14ac:dyDescent="0.3">
      <c r="A23" s="11">
        <f t="shared" si="0"/>
        <v>13</v>
      </c>
      <c r="B23" s="12">
        <f>'Expense (with Alternium )'!P40</f>
        <v>2325.9311032686401</v>
      </c>
      <c r="D23" s="11">
        <f t="shared" si="1"/>
        <v>13</v>
      </c>
      <c r="E23" s="12">
        <f>'Income (with Alternium )'!K40</f>
        <v>4534.7171248486402</v>
      </c>
    </row>
    <row r="24" spans="1:5" x14ac:dyDescent="0.3">
      <c r="A24" s="11">
        <f t="shared" si="0"/>
        <v>14</v>
      </c>
      <c r="B24" s="12">
        <f>'Expense (with Alternium )'!P41</f>
        <v>2256.6194609723179</v>
      </c>
      <c r="D24" s="11">
        <f t="shared" si="1"/>
        <v>14</v>
      </c>
      <c r="E24" s="12">
        <f>'Income (with Alternium )'!K41</f>
        <v>4401.7948647040557</v>
      </c>
    </row>
    <row r="25" spans="1:5" x14ac:dyDescent="0.3">
      <c r="A25" s="11">
        <f t="shared" si="0"/>
        <v>15</v>
      </c>
      <c r="B25" s="12">
        <f>'Expense (with Alternium )'!P42</f>
        <v>2190.5234698212093</v>
      </c>
      <c r="D25" s="11">
        <f t="shared" si="1"/>
        <v>15</v>
      </c>
      <c r="E25" s="12">
        <f>'Income (with Alternium )'!K42</f>
        <v>4274.9816687173134</v>
      </c>
    </row>
    <row r="26" spans="1:5" x14ac:dyDescent="0.3">
      <c r="A26" s="11">
        <f t="shared" si="0"/>
        <v>16</v>
      </c>
      <c r="B26" s="12">
        <f>'Expense (with Alternium )'!P43</f>
        <v>2127.4726112393109</v>
      </c>
      <c r="D26" s="11">
        <f t="shared" si="1"/>
        <v>16</v>
      </c>
      <c r="E26" s="12">
        <f>'Income (with Alternium )'!K43</f>
        <v>4153.9582479664041</v>
      </c>
    </row>
    <row r="27" spans="1:5" x14ac:dyDescent="0.3">
      <c r="A27" s="11">
        <f t="shared" si="0"/>
        <v>17</v>
      </c>
      <c r="B27" s="12">
        <f>'Expense (with Alternium )'!P44</f>
        <v>2067.3058436262636</v>
      </c>
      <c r="D27" s="11">
        <f t="shared" si="1"/>
        <v>17</v>
      </c>
      <c r="E27" s="12">
        <f>'Income (with Alternium )'!K44</f>
        <v>4038.4224781271932</v>
      </c>
    </row>
    <row r="28" spans="1:5" x14ac:dyDescent="0.3">
      <c r="A28" s="11">
        <f t="shared" si="0"/>
        <v>18</v>
      </c>
      <c r="B28" s="12">
        <f>'Expense (with Alternium )'!P45</f>
        <v>2009.8710502425545</v>
      </c>
      <c r="D28" s="11">
        <f t="shared" si="1"/>
        <v>18</v>
      </c>
      <c r="E28" s="12">
        <f>'Income (with Alternium )'!K45</f>
        <v>3928.0884696780254</v>
      </c>
    </row>
    <row r="29" spans="1:5" x14ac:dyDescent="0.3">
      <c r="A29" s="11">
        <f t="shared" si="0"/>
        <v>19</v>
      </c>
      <c r="B29" s="12">
        <f>'Expense (with Alternium )'!P46</f>
        <v>1955.0245218436701</v>
      </c>
      <c r="D29" s="11">
        <f t="shared" si="1"/>
        <v>19</v>
      </c>
      <c r="E29" s="12">
        <f>'Income (with Alternium )'!K46</f>
        <v>3822.6856886535006</v>
      </c>
    </row>
    <row r="30" spans="1:5" x14ac:dyDescent="0.3">
      <c r="A30" s="11">
        <f t="shared" si="0"/>
        <v>20</v>
      </c>
      <c r="B30" s="12">
        <f>'Expense (with Alternium )'!P47</f>
        <v>1901.3166659984881</v>
      </c>
      <c r="D30" s="11">
        <f t="shared" si="1"/>
        <v>20</v>
      </c>
      <c r="E30" s="12">
        <f>'Income (with Alternium )'!K47</f>
        <v>0</v>
      </c>
    </row>
    <row r="32" spans="1:5" x14ac:dyDescent="0.3">
      <c r="A32" s="20" t="s">
        <v>33</v>
      </c>
      <c r="B32" s="21">
        <f>SUM(B10:B30)</f>
        <v>53765.53735252843</v>
      </c>
      <c r="D32" s="20" t="s">
        <v>33</v>
      </c>
      <c r="E32" s="21">
        <f>SUM(E10:E30)</f>
        <v>103689.04680239894</v>
      </c>
    </row>
  </sheetData>
  <conditionalFormatting sqref="E2:F4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Overview</vt:lpstr>
      <vt:lpstr>Working Capital</vt:lpstr>
      <vt:lpstr>Debt</vt:lpstr>
      <vt:lpstr>Income (without Alternium )</vt:lpstr>
      <vt:lpstr>Expense (without Alternium )</vt:lpstr>
      <vt:lpstr>Net Present Value</vt:lpstr>
      <vt:lpstr>Income (with Alternium )</vt:lpstr>
      <vt:lpstr>Expense (with Alternium )</vt:lpstr>
      <vt:lpstr>Net Present Value </vt:lpstr>
      <vt:lpstr>IRR Calculation</vt:lpstr>
      <vt:lpstr>Annual_Inf</vt:lpstr>
      <vt:lpstr>coc</vt:lpstr>
      <vt:lpstr>inf_rate</vt:lpstr>
      <vt:lpstr>monthly_rate</vt:lpstr>
      <vt:lpstr>sp</vt:lpstr>
      <vt:lpstr>wacc</vt:lpstr>
      <vt:lpstr>wor_cap</vt:lpstr>
      <vt:lpstr>yearly_rate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aarushi</dc:creator>
  <cp:lastModifiedBy>hp</cp:lastModifiedBy>
  <dcterms:created xsi:type="dcterms:W3CDTF">2021-02-27T08:12:13Z</dcterms:created>
  <dcterms:modified xsi:type="dcterms:W3CDTF">2022-02-20T17:55:49Z</dcterms:modified>
</cp:coreProperties>
</file>