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Khushi\Downloads\"/>
    </mc:Choice>
  </mc:AlternateContent>
  <xr:revisionPtr revIDLastSave="0" documentId="13_ncr:1_{1D87204A-B547-469B-9FE2-7ACF0C7C66F5}" xr6:coauthVersionLast="47" xr6:coauthVersionMax="47" xr10:uidLastSave="{00000000-0000-0000-0000-000000000000}"/>
  <bookViews>
    <workbookView xWindow="-108" yWindow="-108" windowWidth="16608" windowHeight="8712" activeTab="2" xr2:uid="{26DA433C-5442-4E9F-BD75-BBFB5D4403BC}"/>
  </bookViews>
  <sheets>
    <sheet name="q1" sheetId="1" r:id="rId1"/>
    <sheet name="q2" sheetId="4" r:id="rId2"/>
    <sheet name="q3" sheetId="5" r:id="rId3"/>
    <sheet name="Sheet1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4" l="1"/>
  <c r="Q15" i="5"/>
  <c r="Q16" i="5" s="1"/>
  <c r="Q17" i="5" s="1"/>
  <c r="Q18" i="5" s="1"/>
  <c r="Q19" i="5" s="1"/>
  <c r="Q20" i="5" s="1"/>
  <c r="Q21" i="5" s="1"/>
  <c r="Q22" i="5" s="1"/>
  <c r="Q23" i="5" s="1"/>
  <c r="Q24" i="5" s="1"/>
  <c r="Q25" i="5" s="1"/>
  <c r="Q26" i="5" s="1"/>
  <c r="Q27" i="5" s="1"/>
  <c r="Q28" i="5" s="1"/>
  <c r="Q29" i="5" s="1"/>
  <c r="Q30" i="5" s="1"/>
  <c r="Q31" i="5" s="1"/>
  <c r="Q32" i="5" s="1"/>
  <c r="Q33" i="5" s="1"/>
  <c r="O15" i="5"/>
  <c r="O16" i="5" s="1"/>
  <c r="O17" i="5" s="1"/>
  <c r="O18" i="5" s="1"/>
  <c r="O19" i="5" s="1"/>
  <c r="O20" i="5" s="1"/>
  <c r="O21" i="5" s="1"/>
  <c r="O22" i="5" s="1"/>
  <c r="O23" i="5" s="1"/>
  <c r="O24" i="5" s="1"/>
  <c r="O25" i="5" s="1"/>
  <c r="O26" i="5" s="1"/>
  <c r="O27" i="5" s="1"/>
  <c r="O28" i="5" s="1"/>
  <c r="O29" i="5" s="1"/>
  <c r="O30" i="5" s="1"/>
  <c r="O31" i="5" s="1"/>
  <c r="O32" i="5" s="1"/>
  <c r="O33" i="5" s="1"/>
  <c r="N15" i="5"/>
  <c r="M15" i="5"/>
  <c r="L15" i="5"/>
  <c r="L16" i="5" s="1"/>
  <c r="M16" i="5" s="1"/>
  <c r="F15" i="5"/>
  <c r="G15" i="5" s="1"/>
  <c r="H15" i="5" s="1"/>
  <c r="I15" i="5" s="1"/>
  <c r="B15" i="5"/>
  <c r="C15" i="5" s="1"/>
  <c r="D15" i="5" s="1"/>
  <c r="E15" i="5" s="1"/>
  <c r="N14" i="5"/>
  <c r="M14" i="5"/>
  <c r="G14" i="5"/>
  <c r="H14" i="5" s="1"/>
  <c r="I14" i="5" s="1"/>
  <c r="E14" i="5"/>
  <c r="C14" i="5"/>
  <c r="D14" i="5" s="1"/>
  <c r="K5" i="5"/>
  <c r="K14" i="5" s="1"/>
  <c r="K15" i="5" s="1"/>
  <c r="K16" i="5" s="1"/>
  <c r="K17" i="5" s="1"/>
  <c r="K18" i="5" s="1"/>
  <c r="K19" i="5" s="1"/>
  <c r="K20" i="5" s="1"/>
  <c r="K21" i="5" s="1"/>
  <c r="K22" i="5" s="1"/>
  <c r="K23" i="5" s="1"/>
  <c r="K24" i="5" s="1"/>
  <c r="K25" i="5" s="1"/>
  <c r="K26" i="5" s="1"/>
  <c r="K27" i="5" s="1"/>
  <c r="K28" i="5" s="1"/>
  <c r="K29" i="5" s="1"/>
  <c r="K30" i="5" s="1"/>
  <c r="K31" i="5" s="1"/>
  <c r="K32" i="5" s="1"/>
  <c r="K33" i="5" s="1"/>
  <c r="K4" i="5"/>
  <c r="J14" i="5" s="1"/>
  <c r="F4" i="4"/>
  <c r="AL5" i="1"/>
  <c r="AL6" i="1"/>
  <c r="AL7" i="1"/>
  <c r="AL8" i="1"/>
  <c r="AL9" i="1"/>
  <c r="AL10" i="1"/>
  <c r="AL11" i="1"/>
  <c r="AL12" i="1"/>
  <c r="AL13" i="1"/>
  <c r="AL14" i="1"/>
  <c r="AL4" i="1"/>
  <c r="AI5" i="1"/>
  <c r="AI6" i="1"/>
  <c r="AI7" i="1"/>
  <c r="AI8" i="1"/>
  <c r="AI9" i="1"/>
  <c r="AI10" i="1"/>
  <c r="AI11" i="1"/>
  <c r="AI12" i="1"/>
  <c r="AI13" i="1"/>
  <c r="AI14" i="1"/>
  <c r="AI4" i="1"/>
  <c r="AI25" i="1"/>
  <c r="AM5" i="1"/>
  <c r="AM6" i="1"/>
  <c r="AM7" i="1"/>
  <c r="AM9" i="1"/>
  <c r="AM10" i="1"/>
  <c r="AM11" i="1"/>
  <c r="AM13" i="1"/>
  <c r="AM14" i="1"/>
  <c r="AK4" i="1"/>
  <c r="AJ5" i="1"/>
  <c r="AJ6" i="1"/>
  <c r="AJ7" i="1"/>
  <c r="AJ8" i="1"/>
  <c r="AK8" i="1" s="1"/>
  <c r="AJ9" i="1"/>
  <c r="AJ10" i="1"/>
  <c r="AJ11" i="1"/>
  <c r="AJ12" i="1"/>
  <c r="AJ13" i="1"/>
  <c r="AJ14" i="1"/>
  <c r="AK14" i="1" s="1"/>
  <c r="AJ4" i="1"/>
  <c r="AK5" i="1"/>
  <c r="AK7" i="1"/>
  <c r="AK11" i="1"/>
  <c r="AK12" i="1"/>
  <c r="AK10" i="1"/>
  <c r="AK6" i="1"/>
  <c r="AK13" i="1"/>
  <c r="AK9" i="1"/>
  <c r="T4" i="1"/>
  <c r="J4" i="1"/>
  <c r="AH4" i="1"/>
  <c r="AG5" i="1"/>
  <c r="AG6" i="1"/>
  <c r="AG7" i="1"/>
  <c r="AG8" i="1"/>
  <c r="AG9" i="1"/>
  <c r="AG10" i="1"/>
  <c r="AG11" i="1"/>
  <c r="AG12" i="1"/>
  <c r="AG13" i="1"/>
  <c r="AG14" i="1"/>
  <c r="AG4" i="1"/>
  <c r="AG22" i="1"/>
  <c r="AE5" i="1"/>
  <c r="AE6" i="1"/>
  <c r="AE7" i="1"/>
  <c r="AE8" i="1"/>
  <c r="AE9" i="1"/>
  <c r="AE10" i="1"/>
  <c r="AE11" i="1"/>
  <c r="AE12" i="1"/>
  <c r="AE13" i="1"/>
  <c r="AE14" i="1"/>
  <c r="AE4" i="1"/>
  <c r="AD5" i="1"/>
  <c r="AD6" i="1"/>
  <c r="AD7" i="1"/>
  <c r="AD8" i="1"/>
  <c r="AD9" i="1"/>
  <c r="AD10" i="1"/>
  <c r="AD11" i="1"/>
  <c r="AD12" i="1"/>
  <c r="AD13" i="1"/>
  <c r="AD14" i="1"/>
  <c r="AD4" i="1"/>
  <c r="AC5" i="1"/>
  <c r="AC6" i="1"/>
  <c r="AC7" i="1"/>
  <c r="AC8" i="1"/>
  <c r="AC9" i="1"/>
  <c r="AC10" i="1"/>
  <c r="AC11" i="1"/>
  <c r="AC12" i="1"/>
  <c r="AC13" i="1"/>
  <c r="AC14" i="1"/>
  <c r="AC4" i="1"/>
  <c r="AH5" i="1"/>
  <c r="AH6" i="1"/>
  <c r="AH7" i="1"/>
  <c r="AH8" i="1"/>
  <c r="AH9" i="1"/>
  <c r="AH10" i="1"/>
  <c r="AH11" i="1"/>
  <c r="AH12" i="1"/>
  <c r="AH13" i="1"/>
  <c r="AH14" i="1"/>
  <c r="I4" i="1"/>
  <c r="X5" i="1"/>
  <c r="X6" i="1" s="1"/>
  <c r="X7" i="1" s="1"/>
  <c r="X8" i="1" s="1"/>
  <c r="X9" i="1" s="1"/>
  <c r="X10" i="1" s="1"/>
  <c r="X11" i="1" s="1"/>
  <c r="X12" i="1" s="1"/>
  <c r="X13" i="1" s="1"/>
  <c r="X14" i="1" s="1"/>
  <c r="AF5" i="1"/>
  <c r="AF6" i="1" s="1"/>
  <c r="AF7" i="1" s="1"/>
  <c r="AF8" i="1" s="1"/>
  <c r="AF9" i="1" s="1"/>
  <c r="AF10" i="1" s="1"/>
  <c r="AF11" i="1" s="1"/>
  <c r="AF12" i="1" s="1"/>
  <c r="AF13" i="1" s="1"/>
  <c r="AF14" i="1" s="1"/>
  <c r="T14" i="5" l="1"/>
  <c r="R14" i="5" s="1"/>
  <c r="T15" i="5"/>
  <c r="R15" i="5" s="1"/>
  <c r="U15" i="5" s="1"/>
  <c r="W14" i="5"/>
  <c r="X14" i="5" s="1"/>
  <c r="J15" i="5"/>
  <c r="U14" i="5"/>
  <c r="Y14" i="5" s="1"/>
  <c r="AA14" i="5" s="1"/>
  <c r="L17" i="5"/>
  <c r="N16" i="5"/>
  <c r="B16" i="5"/>
  <c r="F16" i="5"/>
  <c r="AM12" i="1"/>
  <c r="AM8" i="1"/>
  <c r="AM4" i="1"/>
  <c r="W15" i="5" l="1"/>
  <c r="X15" i="5" s="1"/>
  <c r="Y15" i="5" s="1"/>
  <c r="AA15" i="5" s="1"/>
  <c r="J16" i="5"/>
  <c r="C16" i="5"/>
  <c r="D16" i="5" s="1"/>
  <c r="E16" i="5" s="1"/>
  <c r="T16" i="5" s="1"/>
  <c r="B17" i="5"/>
  <c r="L18" i="5"/>
  <c r="N17" i="5"/>
  <c r="M17" i="5"/>
  <c r="G16" i="5"/>
  <c r="H16" i="5" s="1"/>
  <c r="I16" i="5" s="1"/>
  <c r="F17" i="5"/>
  <c r="AB14" i="5"/>
  <c r="AC14" i="5"/>
  <c r="AB15" i="5" l="1"/>
  <c r="AC15" i="5"/>
  <c r="R16" i="5"/>
  <c r="U16" i="5" s="1"/>
  <c r="Y16" i="5" s="1"/>
  <c r="AA16" i="5" s="1"/>
  <c r="W16" i="5"/>
  <c r="X16" i="5" s="1"/>
  <c r="J17" i="5"/>
  <c r="G17" i="5"/>
  <c r="H17" i="5" s="1"/>
  <c r="I17" i="5" s="1"/>
  <c r="F18" i="5"/>
  <c r="L19" i="5"/>
  <c r="N18" i="5"/>
  <c r="M18" i="5"/>
  <c r="C17" i="5"/>
  <c r="D17" i="5" s="1"/>
  <c r="E17" i="5" s="1"/>
  <c r="T17" i="5" s="1"/>
  <c r="B18" i="5"/>
  <c r="W17" i="5" l="1"/>
  <c r="X17" i="5" s="1"/>
  <c r="J18" i="5"/>
  <c r="C18" i="5"/>
  <c r="D18" i="5" s="1"/>
  <c r="E18" i="5" s="1"/>
  <c r="B19" i="5"/>
  <c r="R17" i="5"/>
  <c r="U17" i="5" s="1"/>
  <c r="Y17" i="5" s="1"/>
  <c r="AA17" i="5" s="1"/>
  <c r="G18" i="5"/>
  <c r="H18" i="5" s="1"/>
  <c r="I18" i="5" s="1"/>
  <c r="F19" i="5"/>
  <c r="AB16" i="5"/>
  <c r="AC16" i="5"/>
  <c r="L20" i="5"/>
  <c r="M19" i="5"/>
  <c r="N19" i="5"/>
  <c r="C19" i="5" l="1"/>
  <c r="D19" i="5" s="1"/>
  <c r="E19" i="5" s="1"/>
  <c r="B20" i="5"/>
  <c r="T18" i="5"/>
  <c r="W18" i="5"/>
  <c r="X18" i="5" s="1"/>
  <c r="J19" i="5"/>
  <c r="F20" i="5"/>
  <c r="G19" i="5"/>
  <c r="H19" i="5" s="1"/>
  <c r="I19" i="5" s="1"/>
  <c r="M20" i="5"/>
  <c r="L21" i="5"/>
  <c r="N20" i="5"/>
  <c r="AB17" i="5"/>
  <c r="AC17" i="5"/>
  <c r="F21" i="5" l="1"/>
  <c r="G20" i="5"/>
  <c r="H20" i="5" s="1"/>
  <c r="I20" i="5" s="1"/>
  <c r="R18" i="5"/>
  <c r="U18" i="5" s="1"/>
  <c r="Y18" i="5" s="1"/>
  <c r="AA18" i="5" s="1"/>
  <c r="M21" i="5"/>
  <c r="N21" i="5"/>
  <c r="L22" i="5"/>
  <c r="W19" i="5"/>
  <c r="X19" i="5" s="1"/>
  <c r="J20" i="5"/>
  <c r="B21" i="5"/>
  <c r="C20" i="5"/>
  <c r="D20" i="5" s="1"/>
  <c r="E20" i="5" s="1"/>
  <c r="T20" i="5" s="1"/>
  <c r="T19" i="5"/>
  <c r="AB18" i="5" l="1"/>
  <c r="AC18" i="5"/>
  <c r="M22" i="5"/>
  <c r="N22" i="5"/>
  <c r="L23" i="5"/>
  <c r="C21" i="5"/>
  <c r="D21" i="5" s="1"/>
  <c r="E21" i="5" s="1"/>
  <c r="B22" i="5"/>
  <c r="R19" i="5"/>
  <c r="U19" i="5" s="1"/>
  <c r="Y19" i="5" s="1"/>
  <c r="AA19" i="5" s="1"/>
  <c r="R20" i="5"/>
  <c r="U20" i="5" s="1"/>
  <c r="Y20" i="5" s="1"/>
  <c r="AA20" i="5" s="1"/>
  <c r="J21" i="5"/>
  <c r="W20" i="5"/>
  <c r="X20" i="5" s="1"/>
  <c r="F22" i="5"/>
  <c r="G21" i="5"/>
  <c r="H21" i="5" s="1"/>
  <c r="I21" i="5" s="1"/>
  <c r="J22" i="5" l="1"/>
  <c r="W21" i="5"/>
  <c r="X21" i="5" s="1"/>
  <c r="AC19" i="5"/>
  <c r="AB19" i="5"/>
  <c r="AC20" i="5"/>
  <c r="AB20" i="5"/>
  <c r="C22" i="5"/>
  <c r="D22" i="5" s="1"/>
  <c r="E22" i="5" s="1"/>
  <c r="T22" i="5" s="1"/>
  <c r="B23" i="5"/>
  <c r="G22" i="5"/>
  <c r="H22" i="5" s="1"/>
  <c r="I22" i="5" s="1"/>
  <c r="F23" i="5"/>
  <c r="T21" i="5"/>
  <c r="M23" i="5"/>
  <c r="N23" i="5"/>
  <c r="L24" i="5"/>
  <c r="M24" i="5" l="1"/>
  <c r="N24" i="5"/>
  <c r="L25" i="5"/>
  <c r="R21" i="5"/>
  <c r="U21" i="5" s="1"/>
  <c r="Y21" i="5" s="1"/>
  <c r="AA21" i="5" s="1"/>
  <c r="R22" i="5"/>
  <c r="U22" i="5" s="1"/>
  <c r="Y22" i="5" s="1"/>
  <c r="AA22" i="5" s="1"/>
  <c r="G23" i="5"/>
  <c r="H23" i="5" s="1"/>
  <c r="I23" i="5" s="1"/>
  <c r="F24" i="5"/>
  <c r="C23" i="5"/>
  <c r="D23" i="5" s="1"/>
  <c r="E23" i="5" s="1"/>
  <c r="B24" i="5"/>
  <c r="W22" i="5"/>
  <c r="X22" i="5" s="1"/>
  <c r="J23" i="5"/>
  <c r="AC21" i="5" l="1"/>
  <c r="AB21" i="5"/>
  <c r="AC22" i="5"/>
  <c r="AB22" i="5"/>
  <c r="T23" i="5"/>
  <c r="C24" i="5"/>
  <c r="D24" i="5" s="1"/>
  <c r="E24" i="5" s="1"/>
  <c r="B25" i="5"/>
  <c r="M25" i="5"/>
  <c r="L26" i="5"/>
  <c r="N25" i="5"/>
  <c r="J24" i="5"/>
  <c r="W23" i="5"/>
  <c r="X23" i="5" s="1"/>
  <c r="G24" i="5"/>
  <c r="H24" i="5" s="1"/>
  <c r="I24" i="5" s="1"/>
  <c r="F25" i="5"/>
  <c r="R23" i="5" l="1"/>
  <c r="U23" i="5" s="1"/>
  <c r="Y23" i="5" s="1"/>
  <c r="AA23" i="5" s="1"/>
  <c r="C25" i="5"/>
  <c r="D25" i="5" s="1"/>
  <c r="E25" i="5" s="1"/>
  <c r="B26" i="5"/>
  <c r="W24" i="5"/>
  <c r="X24" i="5" s="1"/>
  <c r="J25" i="5"/>
  <c r="G25" i="5"/>
  <c r="H25" i="5" s="1"/>
  <c r="I25" i="5" s="1"/>
  <c r="F26" i="5"/>
  <c r="T24" i="5"/>
  <c r="N26" i="5"/>
  <c r="M26" i="5"/>
  <c r="L27" i="5"/>
  <c r="R24" i="5" l="1"/>
  <c r="U24" i="5" s="1"/>
  <c r="Y24" i="5" s="1"/>
  <c r="AA24" i="5" s="1"/>
  <c r="AC23" i="5"/>
  <c r="AB23" i="5"/>
  <c r="N27" i="5"/>
  <c r="M27" i="5"/>
  <c r="L28" i="5"/>
  <c r="G26" i="5"/>
  <c r="H26" i="5" s="1"/>
  <c r="I26" i="5" s="1"/>
  <c r="F27" i="5"/>
  <c r="C26" i="5"/>
  <c r="D26" i="5" s="1"/>
  <c r="E26" i="5" s="1"/>
  <c r="T26" i="5" s="1"/>
  <c r="B27" i="5"/>
  <c r="T25" i="5"/>
  <c r="J26" i="5"/>
  <c r="W25" i="5"/>
  <c r="X25" i="5" s="1"/>
  <c r="J27" i="5" l="1"/>
  <c r="W26" i="5"/>
  <c r="X26" i="5" s="1"/>
  <c r="G27" i="5"/>
  <c r="H27" i="5" s="1"/>
  <c r="I27" i="5" s="1"/>
  <c r="F28" i="5"/>
  <c r="AC24" i="5"/>
  <c r="AB24" i="5"/>
  <c r="R25" i="5"/>
  <c r="U25" i="5" s="1"/>
  <c r="Y25" i="5" s="1"/>
  <c r="AA25" i="5" s="1"/>
  <c r="C27" i="5"/>
  <c r="D27" i="5" s="1"/>
  <c r="E27" i="5" s="1"/>
  <c r="B28" i="5"/>
  <c r="N28" i="5"/>
  <c r="M28" i="5"/>
  <c r="L29" i="5"/>
  <c r="R26" i="5"/>
  <c r="U26" i="5" s="1"/>
  <c r="Y26" i="5" s="1"/>
  <c r="AA26" i="5" s="1"/>
  <c r="AC26" i="5" l="1"/>
  <c r="AB26" i="5"/>
  <c r="N29" i="5"/>
  <c r="M29" i="5"/>
  <c r="L30" i="5"/>
  <c r="T27" i="5"/>
  <c r="J28" i="5"/>
  <c r="W27" i="5"/>
  <c r="X27" i="5" s="1"/>
  <c r="G28" i="5"/>
  <c r="H28" i="5" s="1"/>
  <c r="I28" i="5" s="1"/>
  <c r="F29" i="5"/>
  <c r="AC25" i="5"/>
  <c r="AB25" i="5"/>
  <c r="C28" i="5"/>
  <c r="D28" i="5" s="1"/>
  <c r="E28" i="5" s="1"/>
  <c r="B29" i="5"/>
  <c r="T28" i="5" l="1"/>
  <c r="N30" i="5"/>
  <c r="M30" i="5"/>
  <c r="L31" i="5"/>
  <c r="J29" i="5"/>
  <c r="W28" i="5"/>
  <c r="X28" i="5" s="1"/>
  <c r="C29" i="5"/>
  <c r="D29" i="5" s="1"/>
  <c r="E29" i="5" s="1"/>
  <c r="T29" i="5" s="1"/>
  <c r="B30" i="5"/>
  <c r="G29" i="5"/>
  <c r="H29" i="5" s="1"/>
  <c r="I29" i="5" s="1"/>
  <c r="F30" i="5"/>
  <c r="R27" i="5"/>
  <c r="U27" i="5" s="1"/>
  <c r="Y27" i="5" s="1"/>
  <c r="AA27" i="5" s="1"/>
  <c r="R28" i="5" l="1"/>
  <c r="U28" i="5" s="1"/>
  <c r="Y28" i="5" s="1"/>
  <c r="AA28" i="5" s="1"/>
  <c r="C30" i="5"/>
  <c r="D30" i="5" s="1"/>
  <c r="E30" i="5" s="1"/>
  <c r="T30" i="5" s="1"/>
  <c r="B31" i="5"/>
  <c r="N31" i="5"/>
  <c r="M31" i="5"/>
  <c r="L32" i="5"/>
  <c r="R29" i="5"/>
  <c r="U29" i="5" s="1"/>
  <c r="Y29" i="5" s="1"/>
  <c r="AA29" i="5" s="1"/>
  <c r="AC27" i="5"/>
  <c r="AB27" i="5"/>
  <c r="G30" i="5"/>
  <c r="H30" i="5" s="1"/>
  <c r="I30" i="5" s="1"/>
  <c r="F31" i="5"/>
  <c r="J30" i="5"/>
  <c r="W29" i="5"/>
  <c r="X29" i="5" s="1"/>
  <c r="AC29" i="5" l="1"/>
  <c r="AB29" i="5"/>
  <c r="AC28" i="5"/>
  <c r="AB28" i="5"/>
  <c r="C31" i="5"/>
  <c r="D31" i="5" s="1"/>
  <c r="E31" i="5" s="1"/>
  <c r="T31" i="5" s="1"/>
  <c r="B32" i="5"/>
  <c r="N32" i="5"/>
  <c r="M32" i="5"/>
  <c r="L33" i="5"/>
  <c r="R30" i="5"/>
  <c r="U30" i="5" s="1"/>
  <c r="Y30" i="5" s="1"/>
  <c r="AA30" i="5" s="1"/>
  <c r="J31" i="5"/>
  <c r="W30" i="5"/>
  <c r="X30" i="5" s="1"/>
  <c r="G31" i="5"/>
  <c r="H31" i="5" s="1"/>
  <c r="I31" i="5" s="1"/>
  <c r="F32" i="5"/>
  <c r="AC30" i="5" l="1"/>
  <c r="AB30" i="5"/>
  <c r="R31" i="5"/>
  <c r="U31" i="5" s="1"/>
  <c r="Y31" i="5" s="1"/>
  <c r="AA31" i="5" s="1"/>
  <c r="J32" i="5"/>
  <c r="W31" i="5"/>
  <c r="X31" i="5" s="1"/>
  <c r="G32" i="5"/>
  <c r="H32" i="5" s="1"/>
  <c r="I32" i="5" s="1"/>
  <c r="F33" i="5"/>
  <c r="G33" i="5" s="1"/>
  <c r="H33" i="5" s="1"/>
  <c r="I33" i="5" s="1"/>
  <c r="C32" i="5"/>
  <c r="D32" i="5" s="1"/>
  <c r="E32" i="5" s="1"/>
  <c r="T32" i="5" s="1"/>
  <c r="B33" i="5"/>
  <c r="C33" i="5" s="1"/>
  <c r="D33" i="5" s="1"/>
  <c r="E33" i="5" s="1"/>
  <c r="T33" i="5" s="1"/>
  <c r="N33" i="5"/>
  <c r="M33" i="5"/>
  <c r="AC31" i="5" l="1"/>
  <c r="AB31" i="5"/>
  <c r="R33" i="5"/>
  <c r="U33" i="5" s="1"/>
  <c r="Y33" i="5" s="1"/>
  <c r="AA33" i="5" s="1"/>
  <c r="R32" i="5"/>
  <c r="U32" i="5" s="1"/>
  <c r="Y32" i="5" s="1"/>
  <c r="AA32" i="5" s="1"/>
  <c r="J33" i="5"/>
  <c r="W33" i="5" s="1"/>
  <c r="X33" i="5" s="1"/>
  <c r="W32" i="5"/>
  <c r="X32" i="5" s="1"/>
  <c r="AC32" i="5" l="1"/>
  <c r="AB32" i="5"/>
  <c r="AC33" i="5"/>
  <c r="AB33" i="5"/>
  <c r="B37" i="5" s="1"/>
  <c r="AB4" i="1"/>
  <c r="AA5" i="1"/>
  <c r="AA6" i="1" s="1"/>
  <c r="B38" i="5" l="1"/>
  <c r="AA7" i="1"/>
  <c r="AB6" i="1"/>
  <c r="AB5" i="1"/>
  <c r="AA8" i="1" l="1"/>
  <c r="AB7" i="1"/>
  <c r="W5" i="1"/>
  <c r="W6" i="1" s="1"/>
  <c r="W7" i="1" s="1"/>
  <c r="W8" i="1" s="1"/>
  <c r="W9" i="1" s="1"/>
  <c r="W10" i="1" s="1"/>
  <c r="W11" i="1" s="1"/>
  <c r="W12" i="1" s="1"/>
  <c r="W13" i="1" s="1"/>
  <c r="W14" i="1" s="1"/>
  <c r="S4" i="1"/>
  <c r="P20" i="1"/>
  <c r="P19" i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P14" i="1" s="1"/>
  <c r="M4" i="1"/>
  <c r="O4" i="1" s="1"/>
  <c r="L4" i="1"/>
  <c r="K4" i="1"/>
  <c r="F5" i="1"/>
  <c r="F6" i="1" s="1"/>
  <c r="F7" i="1" s="1"/>
  <c r="F8" i="1" s="1"/>
  <c r="F9" i="1" s="1"/>
  <c r="F10" i="1" s="1"/>
  <c r="F11" i="1" s="1"/>
  <c r="F12" i="1" s="1"/>
  <c r="F13" i="1" s="1"/>
  <c r="F14" i="1" s="1"/>
  <c r="H5" i="1"/>
  <c r="H6" i="1" s="1"/>
  <c r="H7" i="1" s="1"/>
  <c r="H8" i="1" s="1"/>
  <c r="H9" i="1" s="1"/>
  <c r="H10" i="1" s="1"/>
  <c r="H11" i="1" s="1"/>
  <c r="H12" i="1" s="1"/>
  <c r="H13" i="1" s="1"/>
  <c r="H14" i="1" s="1"/>
  <c r="J14" i="1" s="1"/>
  <c r="L14" i="1" s="1"/>
  <c r="G5" i="1"/>
  <c r="G6" i="1" s="1"/>
  <c r="G7" i="1" s="1"/>
  <c r="G8" i="1" s="1"/>
  <c r="G9" i="1" s="1"/>
  <c r="G10" i="1" s="1"/>
  <c r="G11" i="1" s="1"/>
  <c r="G12" i="1" s="1"/>
  <c r="G13" i="1" s="1"/>
  <c r="G14" i="1" s="1"/>
  <c r="I14" i="1" s="1"/>
  <c r="K14" i="1" s="1"/>
  <c r="C5" i="1"/>
  <c r="C6" i="1" s="1"/>
  <c r="C7" i="1" s="1"/>
  <c r="C8" i="1" s="1"/>
  <c r="C9" i="1" s="1"/>
  <c r="C10" i="1" s="1"/>
  <c r="C11" i="1" s="1"/>
  <c r="C12" i="1" s="1"/>
  <c r="C13" i="1" s="1"/>
  <c r="D14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O14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A9" i="1" l="1"/>
  <c r="AB8" i="1"/>
  <c r="S5" i="1"/>
  <c r="U4" i="1"/>
  <c r="Q4" i="1"/>
  <c r="Q14" i="1"/>
  <c r="R14" i="1"/>
  <c r="O10" i="1"/>
  <c r="O6" i="1"/>
  <c r="P11" i="1"/>
  <c r="P7" i="1"/>
  <c r="O13" i="1"/>
  <c r="O9" i="1"/>
  <c r="P10" i="1"/>
  <c r="P6" i="1"/>
  <c r="O12" i="1"/>
  <c r="O8" i="1"/>
  <c r="P13" i="1"/>
  <c r="P9" i="1"/>
  <c r="P5" i="1"/>
  <c r="O5" i="1"/>
  <c r="O11" i="1"/>
  <c r="O7" i="1"/>
  <c r="P12" i="1"/>
  <c r="P8" i="1"/>
  <c r="P4" i="1"/>
  <c r="R4" i="1" s="1"/>
  <c r="J11" i="1"/>
  <c r="L11" i="1" s="1"/>
  <c r="I12" i="1"/>
  <c r="K12" i="1" s="1"/>
  <c r="Q12" i="1" s="1"/>
  <c r="J7" i="1"/>
  <c r="L7" i="1" s="1"/>
  <c r="I8" i="1"/>
  <c r="K8" i="1" s="1"/>
  <c r="I11" i="1"/>
  <c r="K11" i="1" s="1"/>
  <c r="I7" i="1"/>
  <c r="K7" i="1" s="1"/>
  <c r="J10" i="1"/>
  <c r="L10" i="1" s="1"/>
  <c r="J6" i="1"/>
  <c r="L6" i="1" s="1"/>
  <c r="I10" i="1"/>
  <c r="K10" i="1" s="1"/>
  <c r="I6" i="1"/>
  <c r="K6" i="1" s="1"/>
  <c r="J13" i="1"/>
  <c r="L13" i="1" s="1"/>
  <c r="J9" i="1"/>
  <c r="L9" i="1" s="1"/>
  <c r="J5" i="1"/>
  <c r="L5" i="1" s="1"/>
  <c r="I13" i="1"/>
  <c r="K13" i="1" s="1"/>
  <c r="Q13" i="1" s="1"/>
  <c r="I9" i="1"/>
  <c r="K9" i="1" s="1"/>
  <c r="Q9" i="1" s="1"/>
  <c r="I5" i="1"/>
  <c r="K5" i="1" s="1"/>
  <c r="J12" i="1"/>
  <c r="L12" i="1" s="1"/>
  <c r="J8" i="1"/>
  <c r="L8" i="1" s="1"/>
  <c r="D13" i="1"/>
  <c r="D9" i="1"/>
  <c r="D12" i="1"/>
  <c r="D8" i="1"/>
  <c r="D5" i="1"/>
  <c r="D11" i="1"/>
  <c r="D7" i="1"/>
  <c r="D10" i="1"/>
  <c r="D6" i="1"/>
  <c r="Q11" i="1" l="1"/>
  <c r="R11" i="1"/>
  <c r="AA10" i="1"/>
  <c r="AB9" i="1"/>
  <c r="V4" i="1"/>
  <c r="Q5" i="1"/>
  <c r="Q8" i="1"/>
  <c r="R12" i="1"/>
  <c r="R5" i="1"/>
  <c r="Q10" i="1"/>
  <c r="S6" i="1"/>
  <c r="U5" i="1"/>
  <c r="T5" i="1"/>
  <c r="R8" i="1"/>
  <c r="Q6" i="1"/>
  <c r="R13" i="1"/>
  <c r="R6" i="1"/>
  <c r="R9" i="1"/>
  <c r="R10" i="1"/>
  <c r="R7" i="1"/>
  <c r="Q7" i="1"/>
  <c r="AA11" i="1" l="1"/>
  <c r="AB10" i="1"/>
  <c r="V5" i="1"/>
  <c r="S7" i="1"/>
  <c r="U6" i="1"/>
  <c r="T6" i="1"/>
  <c r="AA12" i="1" l="1"/>
  <c r="AB11" i="1"/>
  <c r="V6" i="1"/>
  <c r="S8" i="1"/>
  <c r="T7" i="1"/>
  <c r="U7" i="1"/>
  <c r="AA13" i="1" l="1"/>
  <c r="AB12" i="1"/>
  <c r="V7" i="1"/>
  <c r="S9" i="1"/>
  <c r="T8" i="1"/>
  <c r="U8" i="1"/>
  <c r="AA14" i="1" l="1"/>
  <c r="AB14" i="1" s="1"/>
  <c r="AB13" i="1"/>
  <c r="V8" i="1"/>
  <c r="S10" i="1"/>
  <c r="T9" i="1"/>
  <c r="U9" i="1"/>
  <c r="S11" i="1" l="1"/>
  <c r="U10" i="1"/>
  <c r="T10" i="1"/>
  <c r="V9" i="1"/>
  <c r="V10" i="1" l="1"/>
  <c r="S12" i="1"/>
  <c r="T11" i="1"/>
  <c r="U11" i="1"/>
  <c r="V11" i="1" l="1"/>
  <c r="S13" i="1"/>
  <c r="T12" i="1"/>
  <c r="U12" i="1"/>
  <c r="V12" i="1" l="1"/>
  <c r="S14" i="1"/>
  <c r="U13" i="1"/>
  <c r="T13" i="1"/>
  <c r="V13" i="1" s="1"/>
  <c r="U14" i="1" l="1"/>
  <c r="T14" i="1"/>
  <c r="V14" i="1" l="1"/>
</calcChain>
</file>

<file path=xl/sharedStrings.xml><?xml version="1.0" encoding="utf-8"?>
<sst xmlns="http://schemas.openxmlformats.org/spreadsheetml/2006/main" count="136" uniqueCount="108">
  <si>
    <t>Year</t>
  </si>
  <si>
    <t>R&amp;D Expenses</t>
  </si>
  <si>
    <t>Introductory Costs</t>
  </si>
  <si>
    <t>Pricing and Unit Costs</t>
  </si>
  <si>
    <t>Server Facilities and Costs</t>
  </si>
  <si>
    <t>G&amp;A expenses</t>
  </si>
  <si>
    <t>Advertising Expenses</t>
  </si>
  <si>
    <t>Working Capital</t>
  </si>
  <si>
    <t>Side benefits</t>
  </si>
  <si>
    <t>US &amp; Russia</t>
  </si>
  <si>
    <t>International</t>
  </si>
  <si>
    <t>Without Alternium</t>
  </si>
  <si>
    <t>With Alternium</t>
  </si>
  <si>
    <t xml:space="preserve">Negative Cash Flows </t>
  </si>
  <si>
    <t xml:space="preserve">Research and devlopment-15,00,00,000
Introductory Cost- 1,00,00,00,000 (Salvage Value - 20,00,00,000)
</t>
  </si>
  <si>
    <t>Inflation Rate</t>
  </si>
  <si>
    <t>US Treasury Bond Rate</t>
  </si>
  <si>
    <t>TaxRate</t>
  </si>
  <si>
    <t>Depreciation</t>
  </si>
  <si>
    <t xml:space="preserve">Charges of Exchange </t>
  </si>
  <si>
    <t>Exchange Rate (without Inflation)</t>
  </si>
  <si>
    <t>Exchange Rate (with Inflation)</t>
  </si>
  <si>
    <t>Market Potential and Share (Users)</t>
  </si>
  <si>
    <t xml:space="preserve">Cost of Servicing </t>
  </si>
  <si>
    <t xml:space="preserve">US &amp; Russia </t>
  </si>
  <si>
    <t>Working Notes</t>
  </si>
  <si>
    <t>4) Pricing And Unit Cost</t>
  </si>
  <si>
    <t>Cost of Servicing (Without Inflation)</t>
  </si>
  <si>
    <t>Cost of Servicing (With Inflation)</t>
  </si>
  <si>
    <t>Total</t>
  </si>
  <si>
    <t>Number of participants</t>
  </si>
  <si>
    <t>Isolation (For International Participants)</t>
  </si>
  <si>
    <t>Growth</t>
  </si>
  <si>
    <t>Number of Participants</t>
  </si>
  <si>
    <t xml:space="preserve">Cost of Exchange </t>
  </si>
  <si>
    <t>Isolation (Only for International Participants)</t>
  </si>
  <si>
    <t>(with inflation)</t>
  </si>
  <si>
    <t xml:space="preserve">increase in cost </t>
  </si>
  <si>
    <t>increase in cost</t>
  </si>
  <si>
    <t>market value of debt</t>
  </si>
  <si>
    <t>Interest on debt</t>
  </si>
  <si>
    <t>cost of new server</t>
  </si>
  <si>
    <t xml:space="preserve">inflation </t>
  </si>
  <si>
    <t>growth rate</t>
  </si>
  <si>
    <t>Account receivable</t>
  </si>
  <si>
    <t>inventory costs</t>
  </si>
  <si>
    <t>accounts payable</t>
  </si>
  <si>
    <t>account payable percentage of working capital</t>
  </si>
  <si>
    <t>total revenue without accounts receivable</t>
  </si>
  <si>
    <t xml:space="preserve">total revenue </t>
  </si>
  <si>
    <t>income before tax</t>
  </si>
  <si>
    <t>income after tax</t>
  </si>
  <si>
    <t>tax</t>
  </si>
  <si>
    <t xml:space="preserve"> Debt instalments</t>
  </si>
  <si>
    <t>total cost without debt instalments</t>
  </si>
  <si>
    <t>total cost with debt instalments</t>
  </si>
  <si>
    <t>debt instalment</t>
  </si>
  <si>
    <t>stock price</t>
  </si>
  <si>
    <t>no. of outstanding shares</t>
  </si>
  <si>
    <t>total</t>
  </si>
  <si>
    <t>account receivables is percentage of working capital</t>
  </si>
  <si>
    <t>book value of the amount spent on infrastructure</t>
  </si>
  <si>
    <t>book value of the new server</t>
  </si>
  <si>
    <t xml:space="preserve">cost of capital </t>
  </si>
  <si>
    <t>total  value of assets</t>
  </si>
  <si>
    <t>assumptions</t>
  </si>
  <si>
    <t>servicing price for US and russia</t>
  </si>
  <si>
    <t>servicing price for international particip[ants</t>
  </si>
  <si>
    <t>tax percentage</t>
  </si>
  <si>
    <t>assumptions of cashflows</t>
  </si>
  <si>
    <t>cost of servicing new pool of alterium</t>
  </si>
  <si>
    <t>exchange fee for new alterium pool</t>
  </si>
  <si>
    <t xml:space="preserve">1] consumers are expected to grow by the rate </t>
  </si>
  <si>
    <t>inflation rate</t>
  </si>
  <si>
    <t>cost of capital</t>
  </si>
  <si>
    <t>2]exchange price is expected to grow at</t>
  </si>
  <si>
    <t>service price is expected to grow at</t>
  </si>
  <si>
    <t>4]consumers form the new pool of alterium is expected to grow at</t>
  </si>
  <si>
    <t>5] since the new project is established</t>
  </si>
  <si>
    <t>consumer base for US and russia</t>
  </si>
  <si>
    <t>cashflow from the exchange services</t>
  </si>
  <si>
    <t>cashflow from the pool with growth rate</t>
  </si>
  <si>
    <t>cashflow from the pool with growth rate and inflation</t>
  </si>
  <si>
    <t>consumer base of international particaipants</t>
  </si>
  <si>
    <t>cash flow from exchange services for international participants</t>
  </si>
  <si>
    <t>cashflow from theexchange services including growth rate</t>
  </si>
  <si>
    <t>cashflow from theexchange services including growth rate and inflation</t>
  </si>
  <si>
    <t>cash flow for us and russia participants for servicing cost</t>
  </si>
  <si>
    <t>cashflow from international particiapnts</t>
  </si>
  <si>
    <t>consumer base of the new pool of alterium</t>
  </si>
  <si>
    <t>cashflow exchange services from new alterium pool</t>
  </si>
  <si>
    <t>cashflow from the new alterium pool for servicing costs</t>
  </si>
  <si>
    <t>advertising expenses</t>
  </si>
  <si>
    <t>cost saving</t>
  </si>
  <si>
    <t>inventory expenses</t>
  </si>
  <si>
    <t>accounts recievable</t>
  </si>
  <si>
    <t>total revenue without recievables</t>
  </si>
  <si>
    <t>total revenue</t>
  </si>
  <si>
    <t>total cost</t>
  </si>
  <si>
    <t>income</t>
  </si>
  <si>
    <t>after tax income</t>
  </si>
  <si>
    <t>present value of cashflows</t>
  </si>
  <si>
    <t>net present value</t>
  </si>
  <si>
    <t>total net present value</t>
  </si>
  <si>
    <t>irr</t>
  </si>
  <si>
    <t>projected cash flows for the next 15 years</t>
  </si>
  <si>
    <t>accounts recievable percentage of revenue</t>
  </si>
  <si>
    <t>1] since the machine do not have a lot of life and it will lose efficiency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</si>
</sst>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-[$$-409]* #,##0_ ;_-[$$-409]* \-#,##0\ ;_-[$$-409]* &quot;-&quot;??_ ;_-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43" fontId="0" fillId="0" borderId="0" xfId="0" applyNumberFormat="1"/>
    <xf numFmtId="10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164" fontId="0" fillId="0" borderId="0" xfId="1" applyNumberFormat="1" applyFont="1" applyAlignment="1">
      <alignment horizontal="left" vertical="center"/>
    </xf>
    <xf numFmtId="164" fontId="0" fillId="0" borderId="0" xfId="2" applyNumberFormat="1" applyFont="1" applyAlignment="1">
      <alignment horizontal="left" vertical="center"/>
    </xf>
    <xf numFmtId="43" fontId="0" fillId="0" borderId="0" xfId="1" applyFont="1" applyAlignment="1">
      <alignment horizontal="left" vertical="center"/>
    </xf>
    <xf numFmtId="43" fontId="1" fillId="0" borderId="0" xfId="1" applyFont="1" applyAlignment="1">
      <alignment horizontal="left" vertical="center"/>
    </xf>
    <xf numFmtId="43" fontId="2" fillId="0" borderId="0" xfId="1" applyFont="1" applyAlignment="1">
      <alignment horizontal="left" vertical="center"/>
    </xf>
    <xf numFmtId="43" fontId="0" fillId="0" borderId="0" xfId="1" applyFont="1" applyAlignment="1">
      <alignment horizontal="left" vertical="center"/>
    </xf>
    <xf numFmtId="43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43" fontId="1" fillId="0" borderId="0" xfId="0" applyNumberFormat="1" applyFont="1" applyAlignment="1">
      <alignment horizontal="left" vertical="center"/>
    </xf>
    <xf numFmtId="43" fontId="2" fillId="0" borderId="0" xfId="0" applyNumberFormat="1" applyFont="1" applyAlignment="1">
      <alignment horizontal="left" vertical="center"/>
    </xf>
    <xf numFmtId="43" fontId="0" fillId="0" borderId="0" xfId="0" applyNumberFormat="1" applyAlignment="1">
      <alignment horizontal="left" vertical="center"/>
    </xf>
    <xf numFmtId="9" fontId="0" fillId="0" borderId="0" xfId="0" applyNumberFormat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10" fontId="0" fillId="0" borderId="0" xfId="0" applyNumberForma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9" fontId="0" fillId="0" borderId="8" xfId="0" applyNumberForma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10" fontId="0" fillId="0" borderId="11" xfId="0" applyNumberFormat="1" applyBorder="1" applyAlignment="1">
      <alignment horizontal="left" vertical="center"/>
    </xf>
    <xf numFmtId="9" fontId="0" fillId="0" borderId="10" xfId="0" applyNumberForma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43" fontId="0" fillId="0" borderId="12" xfId="1" applyFont="1" applyBorder="1"/>
    <xf numFmtId="43" fontId="0" fillId="3" borderId="12" xfId="1" applyFont="1" applyFill="1" applyBorder="1"/>
    <xf numFmtId="9" fontId="0" fillId="0" borderId="12" xfId="0" applyNumberFormat="1" applyBorder="1"/>
    <xf numFmtId="2" fontId="0" fillId="0" borderId="0" xfId="0" applyNumberFormat="1"/>
    <xf numFmtId="2" fontId="4" fillId="0" borderId="0" xfId="0" applyNumberFormat="1" applyFont="1"/>
    <xf numFmtId="0" fontId="2" fillId="3" borderId="0" xfId="0" applyFont="1" applyFill="1"/>
    <xf numFmtId="2" fontId="2" fillId="0" borderId="0" xfId="0" applyNumberFormat="1" applyFont="1"/>
    <xf numFmtId="0" fontId="0" fillId="2" borderId="0" xfId="0" applyFill="1"/>
    <xf numFmtId="0" fontId="0" fillId="2" borderId="0" xfId="0" applyFill="1" applyAlignment="1">
      <alignment wrapText="1"/>
    </xf>
    <xf numFmtId="0" fontId="4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1">
    <dxf>
      <font>
        <b/>
        <i val="0"/>
        <color theme="4" tint="-0.499984740745262"/>
      </font>
      <fill>
        <patternFill>
          <bgColor theme="3" tint="0.79998168889431442"/>
        </patternFill>
      </fill>
    </dxf>
  </dxfs>
  <tableStyles count="1" defaultTableStyle="TableStyleMedium2" defaultPivotStyle="PivotStyleLight16">
    <tableStyle name="Table Style 1" pivot="0" count="1" xr9:uid="{CF62B5F4-9D62-48AF-B0A2-C99A5FF3AC70}"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4BAFE-2D9C-439D-A33E-DA4EF6DAADFD}">
  <dimension ref="A1:AM25"/>
  <sheetViews>
    <sheetView zoomScale="60" zoomScaleNormal="60" workbookViewId="0">
      <selection activeCell="F18" sqref="F18"/>
    </sheetView>
  </sheetViews>
  <sheetFormatPr defaultRowHeight="14.4" x14ac:dyDescent="0.3"/>
  <cols>
    <col min="1" max="1" width="8.88671875" style="9"/>
    <col min="2" max="2" width="19.88671875" style="9" customWidth="1"/>
    <col min="3" max="3" width="18.6640625" style="9" bestFit="1" customWidth="1"/>
    <col min="4" max="4" width="18.6640625" style="9" customWidth="1"/>
    <col min="5" max="5" width="19.5546875" style="9" customWidth="1"/>
    <col min="6" max="6" width="21.44140625" style="9" customWidth="1"/>
    <col min="7" max="7" width="17.77734375" style="9" customWidth="1"/>
    <col min="8" max="10" width="21.33203125" style="9" customWidth="1"/>
    <col min="11" max="11" width="19.77734375" style="9" customWidth="1"/>
    <col min="12" max="12" width="22.109375" style="9" customWidth="1"/>
    <col min="13" max="13" width="21.5546875" style="9" customWidth="1"/>
    <col min="14" max="14" width="22.33203125" style="9" customWidth="1"/>
    <col min="15" max="18" width="19.5546875" style="9" customWidth="1"/>
    <col min="19" max="22" width="22.33203125" style="9" customWidth="1"/>
    <col min="23" max="24" width="26.77734375" style="9" customWidth="1"/>
    <col min="25" max="27" width="16.88671875" style="9" customWidth="1"/>
    <col min="28" max="28" width="19" style="9" bestFit="1" customWidth="1"/>
    <col min="29" max="30" width="19" style="9" customWidth="1"/>
    <col min="31" max="31" width="18.21875" style="9" bestFit="1" customWidth="1"/>
    <col min="32" max="32" width="14" style="9" bestFit="1" customWidth="1"/>
    <col min="33" max="33" width="21" style="9" bestFit="1" customWidth="1"/>
    <col min="34" max="34" width="41.5546875" style="9" bestFit="1" customWidth="1"/>
    <col min="35" max="35" width="26.21875" style="9" bestFit="1" customWidth="1"/>
    <col min="36" max="36" width="34.33203125" style="9" bestFit="1" customWidth="1"/>
    <col min="37" max="37" width="31.21875" style="9" bestFit="1" customWidth="1"/>
    <col min="38" max="38" width="19" style="9" bestFit="1" customWidth="1"/>
    <col min="39" max="39" width="19.5546875" style="9" bestFit="1" customWidth="1"/>
    <col min="40" max="16384" width="8.88671875" style="9"/>
  </cols>
  <sheetData>
    <row r="1" spans="1:39" s="46" customFormat="1" ht="15.6" x14ac:dyDescent="0.3">
      <c r="A1" s="43" t="s">
        <v>0</v>
      </c>
      <c r="B1" s="44" t="s">
        <v>1</v>
      </c>
      <c r="C1" s="44" t="s">
        <v>2</v>
      </c>
      <c r="D1" s="44" t="s">
        <v>18</v>
      </c>
      <c r="E1" s="45" t="s">
        <v>22</v>
      </c>
      <c r="F1" s="45"/>
      <c r="G1" s="45"/>
      <c r="H1" s="45"/>
      <c r="I1" s="45" t="s">
        <v>3</v>
      </c>
      <c r="J1" s="45"/>
      <c r="K1" s="45"/>
      <c r="L1" s="45"/>
      <c r="M1" s="45"/>
      <c r="N1" s="45"/>
      <c r="O1" s="45"/>
      <c r="P1" s="45"/>
      <c r="Q1" s="45"/>
      <c r="R1" s="45"/>
      <c r="S1" s="45" t="s">
        <v>35</v>
      </c>
      <c r="T1" s="45"/>
      <c r="U1" s="45"/>
      <c r="V1" s="45"/>
      <c r="W1" s="44" t="s">
        <v>4</v>
      </c>
      <c r="X1" s="45" t="s">
        <v>5</v>
      </c>
      <c r="Y1" s="45"/>
      <c r="Z1" s="45"/>
      <c r="AA1" s="45" t="s">
        <v>6</v>
      </c>
      <c r="AB1" s="45"/>
      <c r="AC1" s="45" t="s">
        <v>7</v>
      </c>
      <c r="AD1" s="45"/>
      <c r="AE1" s="45"/>
      <c r="AF1" s="44" t="s">
        <v>8</v>
      </c>
      <c r="AG1" s="44" t="s">
        <v>53</v>
      </c>
      <c r="AH1" s="44" t="s">
        <v>48</v>
      </c>
      <c r="AI1" s="44" t="s">
        <v>49</v>
      </c>
      <c r="AJ1" s="44" t="s">
        <v>54</v>
      </c>
      <c r="AK1" s="44" t="s">
        <v>55</v>
      </c>
      <c r="AL1" s="44" t="s">
        <v>50</v>
      </c>
      <c r="AM1" s="44" t="s">
        <v>51</v>
      </c>
    </row>
    <row r="2" spans="1:39" s="50" customFormat="1" ht="15.6" x14ac:dyDescent="0.3">
      <c r="A2" s="47"/>
      <c r="B2" s="48"/>
      <c r="C2" s="48"/>
      <c r="D2" s="48"/>
      <c r="E2" s="49" t="s">
        <v>11</v>
      </c>
      <c r="F2" s="49"/>
      <c r="G2" s="49" t="s">
        <v>12</v>
      </c>
      <c r="H2" s="49"/>
      <c r="I2" s="49" t="s">
        <v>20</v>
      </c>
      <c r="J2" s="49"/>
      <c r="K2" s="49" t="s">
        <v>21</v>
      </c>
      <c r="L2" s="49"/>
      <c r="M2" s="49" t="s">
        <v>27</v>
      </c>
      <c r="N2" s="49"/>
      <c r="O2" s="49" t="s">
        <v>28</v>
      </c>
      <c r="P2" s="49"/>
      <c r="Q2" s="49" t="s">
        <v>29</v>
      </c>
      <c r="R2" s="49"/>
      <c r="S2" s="48"/>
      <c r="T2" s="48"/>
      <c r="U2" s="48"/>
      <c r="V2" s="48"/>
      <c r="W2" s="48" t="s">
        <v>36</v>
      </c>
      <c r="X2" s="49" t="s">
        <v>12</v>
      </c>
      <c r="Y2" s="49"/>
      <c r="Z2" s="49"/>
      <c r="AA2" s="48" t="s">
        <v>11</v>
      </c>
      <c r="AB2" s="48" t="s">
        <v>12</v>
      </c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</row>
    <row r="3" spans="1:39" s="54" customFormat="1" ht="15.6" x14ac:dyDescent="0.3">
      <c r="A3" s="51"/>
      <c r="B3" s="52"/>
      <c r="C3" s="52"/>
      <c r="D3" s="52"/>
      <c r="E3" s="52" t="s">
        <v>9</v>
      </c>
      <c r="F3" s="52" t="s">
        <v>10</v>
      </c>
      <c r="G3" s="52" t="s">
        <v>9</v>
      </c>
      <c r="H3" s="52" t="s">
        <v>10</v>
      </c>
      <c r="I3" s="52" t="s">
        <v>9</v>
      </c>
      <c r="J3" s="52" t="s">
        <v>10</v>
      </c>
      <c r="K3" s="52" t="s">
        <v>9</v>
      </c>
      <c r="L3" s="52" t="s">
        <v>10</v>
      </c>
      <c r="M3" s="52" t="s">
        <v>9</v>
      </c>
      <c r="N3" s="52" t="s">
        <v>10</v>
      </c>
      <c r="O3" s="52" t="s">
        <v>9</v>
      </c>
      <c r="P3" s="52" t="s">
        <v>10</v>
      </c>
      <c r="Q3" s="52" t="s">
        <v>9</v>
      </c>
      <c r="R3" s="52" t="s">
        <v>10</v>
      </c>
      <c r="S3" s="52" t="s">
        <v>33</v>
      </c>
      <c r="T3" s="52" t="s">
        <v>34</v>
      </c>
      <c r="U3" s="52" t="s">
        <v>23</v>
      </c>
      <c r="V3" s="52" t="s">
        <v>29</v>
      </c>
      <c r="W3" s="52"/>
      <c r="X3" s="53"/>
      <c r="Y3" s="53"/>
      <c r="Z3" s="53"/>
      <c r="AA3" s="52"/>
      <c r="AB3" s="52"/>
      <c r="AC3" s="52" t="s">
        <v>44</v>
      </c>
      <c r="AD3" s="52" t="s">
        <v>45</v>
      </c>
      <c r="AE3" s="52" t="s">
        <v>46</v>
      </c>
      <c r="AF3" s="52"/>
      <c r="AG3" s="52"/>
      <c r="AH3" s="52"/>
      <c r="AI3" s="52"/>
      <c r="AJ3" s="52"/>
      <c r="AK3" s="52"/>
      <c r="AL3" s="52"/>
      <c r="AM3" s="52"/>
    </row>
    <row r="4" spans="1:39" x14ac:dyDescent="0.3">
      <c r="A4" s="9">
        <v>0</v>
      </c>
      <c r="B4" s="11">
        <v>150000000</v>
      </c>
      <c r="C4" s="12">
        <v>1000000000</v>
      </c>
      <c r="D4" s="12"/>
      <c r="E4" s="13">
        <v>45000000</v>
      </c>
      <c r="F4" s="13">
        <v>30000000</v>
      </c>
      <c r="G4" s="13">
        <v>45000000</v>
      </c>
      <c r="H4" s="13">
        <v>30000000</v>
      </c>
      <c r="I4" s="13">
        <f>G4*$K$18</f>
        <v>4500000000</v>
      </c>
      <c r="J4" s="13">
        <f>H4*$K$18</f>
        <v>3000000000</v>
      </c>
      <c r="K4" s="13">
        <f>I4</f>
        <v>4500000000</v>
      </c>
      <c r="L4" s="13">
        <f>H4</f>
        <v>30000000</v>
      </c>
      <c r="M4" s="14">
        <f>G4*$K$19</f>
        <v>1620000000</v>
      </c>
      <c r="N4" s="14">
        <f>H4*$L$19</f>
        <v>1440000000</v>
      </c>
      <c r="O4" s="14">
        <f>M4</f>
        <v>1620000000</v>
      </c>
      <c r="P4" s="14">
        <f>N4</f>
        <v>1440000000</v>
      </c>
      <c r="Q4" s="15">
        <f>K4+O4</f>
        <v>6120000000</v>
      </c>
      <c r="R4" s="15">
        <f>L4+P4</f>
        <v>1470000000</v>
      </c>
      <c r="S4" s="13">
        <f>P18</f>
        <v>5000000</v>
      </c>
      <c r="T4" s="13">
        <f>S4*$P$19</f>
        <v>250000000</v>
      </c>
      <c r="U4" s="13">
        <f>S4*$P$20</f>
        <v>144000000</v>
      </c>
      <c r="V4" s="15">
        <f>T4+U4</f>
        <v>394000000</v>
      </c>
      <c r="W4" s="15">
        <v>600000000</v>
      </c>
      <c r="X4" s="16">
        <v>40000000</v>
      </c>
      <c r="Y4" s="16"/>
      <c r="Z4" s="16"/>
      <c r="AA4" s="13">
        <v>500000000</v>
      </c>
      <c r="AB4" s="17">
        <f>AA4*1.15</f>
        <v>575000000</v>
      </c>
      <c r="AC4" s="17">
        <f>AH4*$AC$18</f>
        <v>239000000</v>
      </c>
      <c r="AD4" s="17">
        <f>AH4*$AD$18</f>
        <v>478000000</v>
      </c>
      <c r="AE4" s="17">
        <f>AH4*$AE$18</f>
        <v>286800000</v>
      </c>
      <c r="AF4" s="9">
        <v>300000000</v>
      </c>
      <c r="AG4" s="18">
        <f>$AG$22</f>
        <v>346261176.60459024</v>
      </c>
      <c r="AH4" s="17">
        <f>K4+L4+T4</f>
        <v>4780000000</v>
      </c>
      <c r="AI4" s="17">
        <f>AH4+AC4+$AI$25</f>
        <v>27019125000</v>
      </c>
      <c r="AJ4" s="19">
        <f>B4+C4+Q4+R4+U4+W4+X4+AB4+AD4+AE4-AF4</f>
        <v>10563800000</v>
      </c>
      <c r="AK4" s="19">
        <f t="shared" ref="AK4:AK14" si="0">AJ4+AG4</f>
        <v>10910061176.604589</v>
      </c>
      <c r="AL4" s="17">
        <f>AI4-AK4</f>
        <v>16109063823.395411</v>
      </c>
      <c r="AM4" s="17">
        <f>AL4*(1-$AM$18)</f>
        <v>14498157441.05587</v>
      </c>
    </row>
    <row r="5" spans="1:39" x14ac:dyDescent="0.3">
      <c r="A5" s="9">
        <f>A4+1</f>
        <v>1</v>
      </c>
      <c r="C5" s="19">
        <f>C4-80000000</f>
        <v>920000000</v>
      </c>
      <c r="D5" s="20">
        <f>C5-C4</f>
        <v>-80000000</v>
      </c>
      <c r="E5" s="13">
        <f>E4*(1.05)</f>
        <v>47250000</v>
      </c>
      <c r="F5" s="13">
        <f>F4*(1.08)</f>
        <v>32400000.000000004</v>
      </c>
      <c r="G5" s="17">
        <f>G4*1.05</f>
        <v>47250000</v>
      </c>
      <c r="H5" s="17">
        <f>H4*1.1</f>
        <v>33000000.000000004</v>
      </c>
      <c r="I5" s="13">
        <f t="shared" ref="I5:I14" si="1">G5*$K$18</f>
        <v>4725000000</v>
      </c>
      <c r="J5" s="13">
        <f t="shared" ref="J5:J14" si="2">H5*$K$18</f>
        <v>3300000000.0000005</v>
      </c>
      <c r="K5" s="17">
        <f>I5+I5*$K$20</f>
        <v>4795875000</v>
      </c>
      <c r="L5" s="17">
        <f>J5+J5*$K$20</f>
        <v>3349500000.0000005</v>
      </c>
      <c r="M5" s="14">
        <f>M4*1.015</f>
        <v>1644299999.9999998</v>
      </c>
      <c r="N5" s="21">
        <f>N4*1.015</f>
        <v>1461599999.9999998</v>
      </c>
      <c r="O5" s="21">
        <f>M5+M5*$K$20</f>
        <v>1668964499.9999998</v>
      </c>
      <c r="P5" s="21">
        <f>N5+N5*$K$20</f>
        <v>1483523999.9999998</v>
      </c>
      <c r="Q5" s="15">
        <f>K5+O5</f>
        <v>6464839500</v>
      </c>
      <c r="R5" s="15">
        <f t="shared" ref="R5:R14" si="3">L5+P5</f>
        <v>4833024000</v>
      </c>
      <c r="S5" s="13">
        <f>S4+S4*$P$21</f>
        <v>5400000</v>
      </c>
      <c r="T5" s="13">
        <f t="shared" ref="T5:T14" si="4">S5*$P$19</f>
        <v>270000000</v>
      </c>
      <c r="U5" s="13">
        <f t="shared" ref="U5:U14" si="5">S5*$P$20</f>
        <v>155519999.99999997</v>
      </c>
      <c r="V5" s="15">
        <f t="shared" ref="V5:V14" si="6">T5+U5</f>
        <v>425520000</v>
      </c>
      <c r="W5" s="22">
        <f>W4+W4*$K$20</f>
        <v>609000000</v>
      </c>
      <c r="X5" s="23">
        <f>X4*1.1</f>
        <v>44000000</v>
      </c>
      <c r="Y5" s="23"/>
      <c r="Z5" s="23"/>
      <c r="AA5" s="17">
        <f>AA4*1.05</f>
        <v>525000000</v>
      </c>
      <c r="AB5" s="17">
        <f t="shared" ref="AB5:AB14" si="7">AA5*1.15</f>
        <v>603750000</v>
      </c>
      <c r="AC5" s="17">
        <f>AH5*$AC$18</f>
        <v>420768750</v>
      </c>
      <c r="AD5" s="17">
        <f>AH5*$AD$18</f>
        <v>841537500</v>
      </c>
      <c r="AE5" s="17">
        <f>AH5*$AE$18</f>
        <v>504922500</v>
      </c>
      <c r="AF5" s="9">
        <f>AF4*1.03</f>
        <v>309000000</v>
      </c>
      <c r="AG5" s="18">
        <f t="shared" ref="AG5:AG14" si="8">$AG$22</f>
        <v>346261176.60459024</v>
      </c>
      <c r="AH5" s="17">
        <f>K5+L5+T5</f>
        <v>8415375000</v>
      </c>
      <c r="AI5" s="17">
        <f t="shared" ref="AI5:AI14" si="9">AH5+AC5+$AI$25</f>
        <v>30836268750</v>
      </c>
      <c r="AJ5" s="19">
        <f t="shared" ref="AJ5:AJ14" si="10">B5+C5+Q5+R5+U5+W5+X5+AB5+AD5+AE5-AF5</f>
        <v>14667593500</v>
      </c>
      <c r="AK5" s="19">
        <f t="shared" si="0"/>
        <v>15013854676.604589</v>
      </c>
      <c r="AL5" s="17">
        <f t="shared" ref="AL5:AL14" si="11">AI5-AK5</f>
        <v>15822414073.395411</v>
      </c>
      <c r="AM5" s="17">
        <f t="shared" ref="AM5:AM14" si="12">AL5*(1-$AM$18)</f>
        <v>14240172666.05587</v>
      </c>
    </row>
    <row r="6" spans="1:39" x14ac:dyDescent="0.3">
      <c r="A6" s="9">
        <f t="shared" ref="A6:A14" si="13">A5+1</f>
        <v>2</v>
      </c>
      <c r="C6" s="19">
        <f t="shared" ref="C6:C13" si="14">C5-80000000</f>
        <v>840000000</v>
      </c>
      <c r="D6" s="20">
        <f t="shared" ref="D6:D14" si="15">C6-C5</f>
        <v>-80000000</v>
      </c>
      <c r="E6" s="13">
        <f t="shared" ref="E6:E14" si="16">E5*(1.05)</f>
        <v>49612500</v>
      </c>
      <c r="F6" s="13">
        <f t="shared" ref="F6:F14" si="17">F5*(1.08)</f>
        <v>34992000.000000007</v>
      </c>
      <c r="G6" s="17">
        <f t="shared" ref="G6:G14" si="18">G5*1.05</f>
        <v>49612500</v>
      </c>
      <c r="H6" s="17">
        <f t="shared" ref="H6:H14" si="19">H5*1.1</f>
        <v>36300000.000000007</v>
      </c>
      <c r="I6" s="13">
        <f t="shared" si="1"/>
        <v>4961250000</v>
      </c>
      <c r="J6" s="13">
        <f t="shared" si="2"/>
        <v>3630000000.000001</v>
      </c>
      <c r="K6" s="17">
        <f t="shared" ref="K6:K14" si="20">I6+I6*$K$20</f>
        <v>5035668750</v>
      </c>
      <c r="L6" s="17">
        <f t="shared" ref="L6:L14" si="21">J6+J6*$K$20</f>
        <v>3684450000.000001</v>
      </c>
      <c r="M6" s="14">
        <f t="shared" ref="M6:M14" si="22">M5*1.015</f>
        <v>1668964499.9999995</v>
      </c>
      <c r="N6" s="21">
        <f t="shared" ref="N6:N14" si="23">N5*1.015</f>
        <v>1483523999.9999995</v>
      </c>
      <c r="O6" s="21">
        <f t="shared" ref="O6:P14" si="24">M6+M6*$K$20</f>
        <v>1693998967.4999995</v>
      </c>
      <c r="P6" s="21">
        <f t="shared" si="24"/>
        <v>1505776859.9999995</v>
      </c>
      <c r="Q6" s="15">
        <f t="shared" ref="Q6:Q13" si="25">K6+O6</f>
        <v>6729667717.5</v>
      </c>
      <c r="R6" s="15">
        <f t="shared" si="3"/>
        <v>5190226860</v>
      </c>
      <c r="S6" s="13">
        <f t="shared" ref="S6:S14" si="26">S5+S5*$P$21</f>
        <v>5832000</v>
      </c>
      <c r="T6" s="13">
        <f t="shared" si="4"/>
        <v>291600000</v>
      </c>
      <c r="U6" s="13">
        <f t="shared" si="5"/>
        <v>167961599.99999997</v>
      </c>
      <c r="V6" s="15">
        <f t="shared" si="6"/>
        <v>459561600</v>
      </c>
      <c r="W6" s="22">
        <f t="shared" ref="W6:W14" si="27">W5+W5*$K$20</f>
        <v>618135000</v>
      </c>
      <c r="X6" s="23">
        <f t="shared" ref="X6:X14" si="28">X5*1.1</f>
        <v>48400000.000000007</v>
      </c>
      <c r="Y6" s="23"/>
      <c r="Z6" s="23"/>
      <c r="AA6" s="17">
        <f t="shared" ref="AA6:AA14" si="29">AA5*1.05</f>
        <v>551250000</v>
      </c>
      <c r="AB6" s="17">
        <f t="shared" si="7"/>
        <v>633937500</v>
      </c>
      <c r="AC6" s="17">
        <f>AH6*$AC$18</f>
        <v>450585937.5</v>
      </c>
      <c r="AD6" s="17">
        <f>AH6*$AD$18</f>
        <v>901171875</v>
      </c>
      <c r="AE6" s="17">
        <f>AH6*$AE$18</f>
        <v>540703125</v>
      </c>
      <c r="AF6" s="9">
        <f t="shared" ref="AF6:AF14" si="30">AF5*1.03</f>
        <v>318270000</v>
      </c>
      <c r="AG6" s="18">
        <f t="shared" si="8"/>
        <v>346261176.60459024</v>
      </c>
      <c r="AH6" s="17">
        <f>K6+L6+T6</f>
        <v>9011718750</v>
      </c>
      <c r="AI6" s="17">
        <f t="shared" si="9"/>
        <v>31462429687.5</v>
      </c>
      <c r="AJ6" s="19">
        <f t="shared" si="10"/>
        <v>15351933677.5</v>
      </c>
      <c r="AK6" s="19">
        <f t="shared" si="0"/>
        <v>15698194854.104589</v>
      </c>
      <c r="AL6" s="17">
        <f t="shared" si="11"/>
        <v>15764234833.395411</v>
      </c>
      <c r="AM6" s="17">
        <f t="shared" si="12"/>
        <v>14187811350.05587</v>
      </c>
    </row>
    <row r="7" spans="1:39" x14ac:dyDescent="0.3">
      <c r="A7" s="9">
        <f t="shared" si="13"/>
        <v>3</v>
      </c>
      <c r="C7" s="19">
        <f t="shared" si="14"/>
        <v>760000000</v>
      </c>
      <c r="D7" s="20">
        <f t="shared" si="15"/>
        <v>-80000000</v>
      </c>
      <c r="E7" s="13">
        <f t="shared" si="16"/>
        <v>52093125</v>
      </c>
      <c r="F7" s="13">
        <f t="shared" si="17"/>
        <v>37791360.000000007</v>
      </c>
      <c r="G7" s="17">
        <f t="shared" si="18"/>
        <v>52093125</v>
      </c>
      <c r="H7" s="17">
        <f t="shared" si="19"/>
        <v>39930000.000000015</v>
      </c>
      <c r="I7" s="13">
        <f t="shared" si="1"/>
        <v>5209312500</v>
      </c>
      <c r="J7" s="13">
        <f t="shared" si="2"/>
        <v>3993000000.0000014</v>
      </c>
      <c r="K7" s="17">
        <f t="shared" si="20"/>
        <v>5287452187.5</v>
      </c>
      <c r="L7" s="17">
        <f t="shared" si="21"/>
        <v>4052895000.0000014</v>
      </c>
      <c r="M7" s="14">
        <f t="shared" si="22"/>
        <v>1693998967.4999993</v>
      </c>
      <c r="N7" s="21">
        <f t="shared" si="23"/>
        <v>1505776859.9999993</v>
      </c>
      <c r="O7" s="21">
        <f t="shared" si="24"/>
        <v>1719408952.0124993</v>
      </c>
      <c r="P7" s="21">
        <f t="shared" si="24"/>
        <v>1528363512.8999994</v>
      </c>
      <c r="Q7" s="15">
        <f t="shared" si="25"/>
        <v>7006861139.5124989</v>
      </c>
      <c r="R7" s="15">
        <f t="shared" si="3"/>
        <v>5581258512.9000006</v>
      </c>
      <c r="S7" s="13">
        <f t="shared" si="26"/>
        <v>6298560</v>
      </c>
      <c r="T7" s="13">
        <f t="shared" si="4"/>
        <v>314928000</v>
      </c>
      <c r="U7" s="13">
        <f t="shared" si="5"/>
        <v>181398527.99999997</v>
      </c>
      <c r="V7" s="15">
        <f t="shared" si="6"/>
        <v>496326528</v>
      </c>
      <c r="W7" s="22">
        <f t="shared" si="27"/>
        <v>627407025</v>
      </c>
      <c r="X7" s="23">
        <f t="shared" si="28"/>
        <v>53240000.000000015</v>
      </c>
      <c r="Y7" s="23"/>
      <c r="Z7" s="23"/>
      <c r="AA7" s="17">
        <f t="shared" si="29"/>
        <v>578812500</v>
      </c>
      <c r="AB7" s="17">
        <f t="shared" si="7"/>
        <v>665634375</v>
      </c>
      <c r="AC7" s="17">
        <f>AH7*$AC$18</f>
        <v>482763759.37500012</v>
      </c>
      <c r="AD7" s="17">
        <f>AH7*$AD$18</f>
        <v>965527518.75000024</v>
      </c>
      <c r="AE7" s="17">
        <f>AH7*$AE$18</f>
        <v>579316511.25000012</v>
      </c>
      <c r="AF7" s="9">
        <f t="shared" si="30"/>
        <v>327818100</v>
      </c>
      <c r="AG7" s="18">
        <f t="shared" si="8"/>
        <v>346261176.60459024</v>
      </c>
      <c r="AH7" s="17">
        <f>K7+L7+T7</f>
        <v>9655275187.5000019</v>
      </c>
      <c r="AI7" s="17">
        <f t="shared" si="9"/>
        <v>32138163946.875</v>
      </c>
      <c r="AJ7" s="19">
        <f t="shared" si="10"/>
        <v>16092825510.412498</v>
      </c>
      <c r="AK7" s="19">
        <f t="shared" si="0"/>
        <v>16439086687.017088</v>
      </c>
      <c r="AL7" s="17">
        <f t="shared" si="11"/>
        <v>15699077259.857912</v>
      </c>
      <c r="AM7" s="17">
        <f t="shared" si="12"/>
        <v>14129169533.872122</v>
      </c>
    </row>
    <row r="8" spans="1:39" x14ac:dyDescent="0.3">
      <c r="A8" s="9">
        <f t="shared" si="13"/>
        <v>4</v>
      </c>
      <c r="C8" s="19">
        <f t="shared" si="14"/>
        <v>680000000</v>
      </c>
      <c r="D8" s="20">
        <f t="shared" si="15"/>
        <v>-80000000</v>
      </c>
      <c r="E8" s="13">
        <f t="shared" si="16"/>
        <v>54697781.25</v>
      </c>
      <c r="F8" s="13">
        <f t="shared" si="17"/>
        <v>40814668.800000012</v>
      </c>
      <c r="G8" s="17">
        <f t="shared" si="18"/>
        <v>54697781.25</v>
      </c>
      <c r="H8" s="17">
        <f t="shared" si="19"/>
        <v>43923000.000000022</v>
      </c>
      <c r="I8" s="13">
        <f t="shared" si="1"/>
        <v>5469778125</v>
      </c>
      <c r="J8" s="13">
        <f t="shared" si="2"/>
        <v>4392300000.0000019</v>
      </c>
      <c r="K8" s="17">
        <f t="shared" si="20"/>
        <v>5551824796.875</v>
      </c>
      <c r="L8" s="17">
        <f t="shared" si="21"/>
        <v>4458184500.0000019</v>
      </c>
      <c r="M8" s="14">
        <f t="shared" si="22"/>
        <v>1719408952.0124991</v>
      </c>
      <c r="N8" s="21">
        <f t="shared" si="23"/>
        <v>1528363512.8999991</v>
      </c>
      <c r="O8" s="21">
        <f t="shared" si="24"/>
        <v>1745200086.2926865</v>
      </c>
      <c r="P8" s="21">
        <f t="shared" si="24"/>
        <v>1551288965.5934992</v>
      </c>
      <c r="Q8" s="15">
        <f t="shared" si="25"/>
        <v>7297024883.1676865</v>
      </c>
      <c r="R8" s="15">
        <f t="shared" si="3"/>
        <v>6009473465.5935011</v>
      </c>
      <c r="S8" s="13">
        <f t="shared" si="26"/>
        <v>6802444.7999999998</v>
      </c>
      <c r="T8" s="13">
        <f t="shared" si="4"/>
        <v>340122240</v>
      </c>
      <c r="U8" s="13">
        <f t="shared" si="5"/>
        <v>195910410.23999998</v>
      </c>
      <c r="V8" s="15">
        <f t="shared" si="6"/>
        <v>536032650.24000001</v>
      </c>
      <c r="W8" s="22">
        <f t="shared" si="27"/>
        <v>636818130.375</v>
      </c>
      <c r="X8" s="23">
        <f t="shared" si="28"/>
        <v>58564000.000000022</v>
      </c>
      <c r="Y8" s="23"/>
      <c r="Z8" s="23"/>
      <c r="AA8" s="17">
        <f t="shared" si="29"/>
        <v>607753125</v>
      </c>
      <c r="AB8" s="17">
        <f t="shared" si="7"/>
        <v>698916093.75</v>
      </c>
      <c r="AC8" s="17">
        <f>AH8*$AC$18</f>
        <v>517506576.84375012</v>
      </c>
      <c r="AD8" s="17">
        <f>AH8*$AD$18</f>
        <v>1035013153.6875002</v>
      </c>
      <c r="AE8" s="17">
        <f>AH8*$AE$18</f>
        <v>621007892.2125001</v>
      </c>
      <c r="AF8" s="9">
        <f t="shared" si="30"/>
        <v>337652643</v>
      </c>
      <c r="AG8" s="18">
        <f t="shared" si="8"/>
        <v>346261176.60459024</v>
      </c>
      <c r="AH8" s="17">
        <f>K8+L8+T8</f>
        <v>10350131536.875002</v>
      </c>
      <c r="AI8" s="17">
        <f t="shared" si="9"/>
        <v>32867763113.71875</v>
      </c>
      <c r="AJ8" s="19">
        <f t="shared" si="10"/>
        <v>16895075386.026188</v>
      </c>
      <c r="AK8" s="19">
        <f t="shared" si="0"/>
        <v>17241336562.630779</v>
      </c>
      <c r="AL8" s="17">
        <f t="shared" si="11"/>
        <v>15626426551.087971</v>
      </c>
      <c r="AM8" s="17">
        <f t="shared" si="12"/>
        <v>14063783895.979174</v>
      </c>
    </row>
    <row r="9" spans="1:39" x14ac:dyDescent="0.3">
      <c r="A9" s="9">
        <f t="shared" si="13"/>
        <v>5</v>
      </c>
      <c r="C9" s="19">
        <f t="shared" si="14"/>
        <v>600000000</v>
      </c>
      <c r="D9" s="20">
        <f t="shared" si="15"/>
        <v>-80000000</v>
      </c>
      <c r="E9" s="13">
        <f t="shared" si="16"/>
        <v>57432670.3125</v>
      </c>
      <c r="F9" s="13">
        <f t="shared" si="17"/>
        <v>44079842.304000013</v>
      </c>
      <c r="G9" s="17">
        <f t="shared" si="18"/>
        <v>57432670.3125</v>
      </c>
      <c r="H9" s="17">
        <f t="shared" si="19"/>
        <v>48315300.00000003</v>
      </c>
      <c r="I9" s="13">
        <f t="shared" si="1"/>
        <v>5743267031.25</v>
      </c>
      <c r="J9" s="13">
        <f t="shared" si="2"/>
        <v>4831530000.0000029</v>
      </c>
      <c r="K9" s="17">
        <f t="shared" si="20"/>
        <v>5829416036.71875</v>
      </c>
      <c r="L9" s="17">
        <f t="shared" si="21"/>
        <v>4904002950.0000029</v>
      </c>
      <c r="M9" s="14">
        <f t="shared" si="22"/>
        <v>1745200086.2926865</v>
      </c>
      <c r="N9" s="21">
        <f t="shared" si="23"/>
        <v>1551288965.5934989</v>
      </c>
      <c r="O9" s="21">
        <f t="shared" si="24"/>
        <v>1771378087.5870767</v>
      </c>
      <c r="P9" s="21">
        <f t="shared" si="24"/>
        <v>1574558300.0774014</v>
      </c>
      <c r="Q9" s="15">
        <f t="shared" si="25"/>
        <v>7600794124.3058262</v>
      </c>
      <c r="R9" s="15">
        <f t="shared" si="3"/>
        <v>6478561250.077404</v>
      </c>
      <c r="S9" s="13">
        <f t="shared" si="26"/>
        <v>7346640.3839999996</v>
      </c>
      <c r="T9" s="13">
        <f t="shared" si="4"/>
        <v>367332019.19999999</v>
      </c>
      <c r="U9" s="13">
        <f t="shared" si="5"/>
        <v>211583243.05919996</v>
      </c>
      <c r="V9" s="15">
        <f t="shared" si="6"/>
        <v>578915262.25919998</v>
      </c>
      <c r="W9" s="22">
        <f t="shared" si="27"/>
        <v>646370402.33062506</v>
      </c>
      <c r="X9" s="23">
        <f t="shared" si="28"/>
        <v>64420400.00000003</v>
      </c>
      <c r="Y9" s="23"/>
      <c r="Z9" s="23"/>
      <c r="AA9" s="17">
        <f t="shared" si="29"/>
        <v>638140781.25</v>
      </c>
      <c r="AB9" s="17">
        <f t="shared" si="7"/>
        <v>733861898.4375</v>
      </c>
      <c r="AC9" s="17">
        <f>AH9*$AC$18</f>
        <v>555037550.29593778</v>
      </c>
      <c r="AD9" s="17">
        <f>AH9*$AD$18</f>
        <v>1110075100.5918756</v>
      </c>
      <c r="AE9" s="17">
        <f>AH9*$AE$18</f>
        <v>666045060.35512531</v>
      </c>
      <c r="AF9" s="9">
        <f t="shared" si="30"/>
        <v>347782222.29000002</v>
      </c>
      <c r="AG9" s="18">
        <f t="shared" si="8"/>
        <v>346261176.60459024</v>
      </c>
      <c r="AH9" s="17">
        <f>K9+L9+T9</f>
        <v>11100751005.918755</v>
      </c>
      <c r="AI9" s="17">
        <f t="shared" si="9"/>
        <v>33655913556.214691</v>
      </c>
      <c r="AJ9" s="19">
        <f t="shared" si="10"/>
        <v>17763929256.867558</v>
      </c>
      <c r="AK9" s="19">
        <f t="shared" si="0"/>
        <v>18110190433.472149</v>
      </c>
      <c r="AL9" s="17">
        <f t="shared" si="11"/>
        <v>15545723122.742542</v>
      </c>
      <c r="AM9" s="17">
        <f t="shared" si="12"/>
        <v>13991150810.468288</v>
      </c>
    </row>
    <row r="10" spans="1:39" x14ac:dyDescent="0.3">
      <c r="A10" s="9">
        <f t="shared" si="13"/>
        <v>6</v>
      </c>
      <c r="B10" s="55"/>
      <c r="C10" s="19">
        <f t="shared" si="14"/>
        <v>520000000</v>
      </c>
      <c r="D10" s="20">
        <f t="shared" si="15"/>
        <v>-80000000</v>
      </c>
      <c r="E10" s="13">
        <f t="shared" si="16"/>
        <v>60304303.828125</v>
      </c>
      <c r="F10" s="13">
        <f t="shared" si="17"/>
        <v>47606229.688320018</v>
      </c>
      <c r="G10" s="17">
        <f t="shared" si="18"/>
        <v>60304303.828125</v>
      </c>
      <c r="H10" s="17">
        <f t="shared" si="19"/>
        <v>53146830.000000037</v>
      </c>
      <c r="I10" s="13">
        <f t="shared" si="1"/>
        <v>6030430382.8125</v>
      </c>
      <c r="J10" s="13">
        <f t="shared" si="2"/>
        <v>5314683000.0000038</v>
      </c>
      <c r="K10" s="17">
        <f t="shared" si="20"/>
        <v>6120886838.5546875</v>
      </c>
      <c r="L10" s="17">
        <f t="shared" si="21"/>
        <v>5394403245.0000038</v>
      </c>
      <c r="M10" s="14">
        <f t="shared" si="22"/>
        <v>1771378087.5870767</v>
      </c>
      <c r="N10" s="21">
        <f t="shared" si="23"/>
        <v>1574558300.0774012</v>
      </c>
      <c r="O10" s="21">
        <f t="shared" si="24"/>
        <v>1797948758.9008827</v>
      </c>
      <c r="P10" s="21">
        <f t="shared" si="24"/>
        <v>1598176674.5785623</v>
      </c>
      <c r="Q10" s="15">
        <f t="shared" si="25"/>
        <v>7918835597.4555702</v>
      </c>
      <c r="R10" s="15">
        <f t="shared" si="3"/>
        <v>6992579919.5785656</v>
      </c>
      <c r="S10" s="13">
        <f t="shared" si="26"/>
        <v>7934371.61472</v>
      </c>
      <c r="T10" s="13">
        <f t="shared" si="4"/>
        <v>396718580.736</v>
      </c>
      <c r="U10" s="13">
        <f t="shared" si="5"/>
        <v>228509902.50393596</v>
      </c>
      <c r="V10" s="15">
        <f t="shared" si="6"/>
        <v>625228483.23993599</v>
      </c>
      <c r="W10" s="22">
        <f t="shared" si="27"/>
        <v>656065958.36558437</v>
      </c>
      <c r="X10" s="23">
        <f t="shared" si="28"/>
        <v>70862440.000000045</v>
      </c>
      <c r="Y10" s="23"/>
      <c r="Z10" s="23"/>
      <c r="AA10" s="17">
        <f t="shared" si="29"/>
        <v>670047820.3125</v>
      </c>
      <c r="AB10" s="17">
        <f t="shared" si="7"/>
        <v>770554993.359375</v>
      </c>
      <c r="AC10" s="17">
        <f>AH10*$AC$18</f>
        <v>595600433.21453464</v>
      </c>
      <c r="AD10" s="17">
        <f>AH10*$AD$18</f>
        <v>1191200866.4290693</v>
      </c>
      <c r="AE10" s="17">
        <f>AH10*$AE$18</f>
        <v>714720519.85744143</v>
      </c>
      <c r="AF10" s="9">
        <f t="shared" si="30"/>
        <v>358215688.95870006</v>
      </c>
      <c r="AG10" s="18">
        <f t="shared" si="8"/>
        <v>346261176.60459024</v>
      </c>
      <c r="AH10" s="17">
        <f>K10+L10+T10</f>
        <v>11912008664.290691</v>
      </c>
      <c r="AI10" s="17">
        <f t="shared" si="9"/>
        <v>34507734097.505226</v>
      </c>
      <c r="AJ10" s="19">
        <f t="shared" si="10"/>
        <v>18705114508.590843</v>
      </c>
      <c r="AK10" s="19">
        <f t="shared" si="0"/>
        <v>19051375685.195435</v>
      </c>
      <c r="AL10" s="17">
        <f t="shared" si="11"/>
        <v>15456358412.309792</v>
      </c>
      <c r="AM10" s="17">
        <f t="shared" si="12"/>
        <v>13910722571.078814</v>
      </c>
    </row>
    <row r="11" spans="1:39" x14ac:dyDescent="0.3">
      <c r="A11" s="9">
        <f t="shared" si="13"/>
        <v>7</v>
      </c>
      <c r="C11" s="19">
        <f t="shared" si="14"/>
        <v>440000000</v>
      </c>
      <c r="D11" s="20">
        <f t="shared" si="15"/>
        <v>-80000000</v>
      </c>
      <c r="E11" s="13">
        <f t="shared" si="16"/>
        <v>63319519.01953125</v>
      </c>
      <c r="F11" s="13">
        <f t="shared" si="17"/>
        <v>51414728.063385621</v>
      </c>
      <c r="G11" s="17">
        <f t="shared" si="18"/>
        <v>63319519.01953125</v>
      </c>
      <c r="H11" s="17">
        <f t="shared" si="19"/>
        <v>58461513.000000045</v>
      </c>
      <c r="I11" s="13">
        <f t="shared" si="1"/>
        <v>6331951901.953125</v>
      </c>
      <c r="J11" s="13">
        <f t="shared" si="2"/>
        <v>5846151300.0000048</v>
      </c>
      <c r="K11" s="17">
        <f t="shared" si="20"/>
        <v>6426931180.4824219</v>
      </c>
      <c r="L11" s="17">
        <f t="shared" si="21"/>
        <v>5933843569.5000048</v>
      </c>
      <c r="M11" s="14">
        <f t="shared" si="22"/>
        <v>1797948758.9008827</v>
      </c>
      <c r="N11" s="21">
        <f t="shared" si="23"/>
        <v>1598176674.578562</v>
      </c>
      <c r="O11" s="21">
        <f t="shared" si="24"/>
        <v>1824917990.2843959</v>
      </c>
      <c r="P11" s="21">
        <f t="shared" si="24"/>
        <v>1622149324.6972404</v>
      </c>
      <c r="Q11" s="15">
        <f t="shared" si="25"/>
        <v>8251849170.766818</v>
      </c>
      <c r="R11" s="15">
        <f t="shared" si="3"/>
        <v>7555992894.1972446</v>
      </c>
      <c r="S11" s="13">
        <f t="shared" si="26"/>
        <v>8569121.3438975997</v>
      </c>
      <c r="T11" s="13">
        <f t="shared" si="4"/>
        <v>428456067.19488001</v>
      </c>
      <c r="U11" s="13">
        <f t="shared" si="5"/>
        <v>246790694.70425084</v>
      </c>
      <c r="V11" s="15">
        <f t="shared" si="6"/>
        <v>675246761.89913082</v>
      </c>
      <c r="W11" s="22">
        <f t="shared" si="27"/>
        <v>665906947.74106812</v>
      </c>
      <c r="X11" s="23">
        <f t="shared" si="28"/>
        <v>77948684.00000006</v>
      </c>
      <c r="Y11" s="23"/>
      <c r="Z11" s="23"/>
      <c r="AA11" s="17">
        <f t="shared" si="29"/>
        <v>703550211.328125</v>
      </c>
      <c r="AB11" s="17">
        <f t="shared" si="7"/>
        <v>809082743.02734363</v>
      </c>
      <c r="AC11" s="17">
        <f>AH11*$AC$18</f>
        <v>639461540.85886526</v>
      </c>
      <c r="AD11" s="17">
        <f>AH11*$AD$18</f>
        <v>1278923081.7177305</v>
      </c>
      <c r="AE11" s="17">
        <f>AH11*$AE$18</f>
        <v>767353849.03063834</v>
      </c>
      <c r="AF11" s="9">
        <f t="shared" si="30"/>
        <v>368962159.62746108</v>
      </c>
      <c r="AG11" s="18">
        <f t="shared" si="8"/>
        <v>346261176.60459024</v>
      </c>
      <c r="AH11" s="17">
        <f>K11+L11+T11</f>
        <v>12789230817.177305</v>
      </c>
      <c r="AI11" s="17">
        <f t="shared" si="9"/>
        <v>35428817358.036171</v>
      </c>
      <c r="AJ11" s="19">
        <f t="shared" si="10"/>
        <v>19724885905.557636</v>
      </c>
      <c r="AK11" s="19">
        <f t="shared" si="0"/>
        <v>20071147082.162228</v>
      </c>
      <c r="AL11" s="17">
        <f t="shared" si="11"/>
        <v>15357670275.873943</v>
      </c>
      <c r="AM11" s="17">
        <f t="shared" si="12"/>
        <v>13821903248.286549</v>
      </c>
    </row>
    <row r="12" spans="1:39" x14ac:dyDescent="0.3">
      <c r="A12" s="9">
        <f t="shared" si="13"/>
        <v>8</v>
      </c>
      <c r="C12" s="19">
        <f t="shared" si="14"/>
        <v>360000000</v>
      </c>
      <c r="D12" s="20">
        <f t="shared" si="15"/>
        <v>-80000000</v>
      </c>
      <c r="E12" s="13">
        <f t="shared" si="16"/>
        <v>66485494.970507815</v>
      </c>
      <c r="F12" s="13">
        <f t="shared" si="17"/>
        <v>55527906.308456473</v>
      </c>
      <c r="G12" s="17">
        <f t="shared" si="18"/>
        <v>66485494.970507815</v>
      </c>
      <c r="H12" s="17">
        <f t="shared" si="19"/>
        <v>64307664.300000057</v>
      </c>
      <c r="I12" s="13">
        <f t="shared" si="1"/>
        <v>6648549497.0507813</v>
      </c>
      <c r="J12" s="13">
        <f t="shared" si="2"/>
        <v>6430766430.0000057</v>
      </c>
      <c r="K12" s="17">
        <f t="shared" si="20"/>
        <v>6748277739.5065432</v>
      </c>
      <c r="L12" s="17">
        <f t="shared" si="21"/>
        <v>6527227926.4500055</v>
      </c>
      <c r="M12" s="14">
        <f t="shared" si="22"/>
        <v>1824917990.2843957</v>
      </c>
      <c r="N12" s="21">
        <f t="shared" si="23"/>
        <v>1622149324.6972404</v>
      </c>
      <c r="O12" s="21">
        <f t="shared" si="24"/>
        <v>1852291760.1386616</v>
      </c>
      <c r="P12" s="21">
        <f t="shared" si="24"/>
        <v>1646481564.567699</v>
      </c>
      <c r="Q12" s="15">
        <f t="shared" si="25"/>
        <v>8600569499.6452045</v>
      </c>
      <c r="R12" s="15">
        <f t="shared" si="3"/>
        <v>8173709491.017704</v>
      </c>
      <c r="S12" s="13">
        <f t="shared" si="26"/>
        <v>9254651.0514094085</v>
      </c>
      <c r="T12" s="13">
        <f t="shared" si="4"/>
        <v>462732552.57047045</v>
      </c>
      <c r="U12" s="13">
        <f t="shared" si="5"/>
        <v>266533950.28059095</v>
      </c>
      <c r="V12" s="15">
        <f t="shared" si="6"/>
        <v>729266502.85106134</v>
      </c>
      <c r="W12" s="22">
        <f t="shared" si="27"/>
        <v>675895551.9571842</v>
      </c>
      <c r="X12" s="23">
        <f t="shared" si="28"/>
        <v>85743552.400000066</v>
      </c>
      <c r="Y12" s="23"/>
      <c r="Z12" s="23"/>
      <c r="AA12" s="17">
        <f t="shared" si="29"/>
        <v>738727721.89453125</v>
      </c>
      <c r="AB12" s="17">
        <f t="shared" si="7"/>
        <v>849536880.17871082</v>
      </c>
      <c r="AC12" s="17">
        <f>AH12*$AC$18</f>
        <v>686911910.92635107</v>
      </c>
      <c r="AD12" s="17">
        <f>AH12*$AD$18</f>
        <v>1373823821.8527021</v>
      </c>
      <c r="AE12" s="17">
        <f>AH12*$AE$18</f>
        <v>824294293.11162114</v>
      </c>
      <c r="AF12" s="9">
        <f t="shared" si="30"/>
        <v>380031024.41628492</v>
      </c>
      <c r="AG12" s="18">
        <f t="shared" si="8"/>
        <v>346261176.60459024</v>
      </c>
      <c r="AH12" s="17">
        <f>K12+L12+T12</f>
        <v>13738238218.52702</v>
      </c>
      <c r="AI12" s="17">
        <f t="shared" si="9"/>
        <v>36425275129.453369</v>
      </c>
      <c r="AJ12" s="19">
        <f t="shared" si="10"/>
        <v>20830076016.027435</v>
      </c>
      <c r="AK12" s="19">
        <f t="shared" si="0"/>
        <v>21176337192.632027</v>
      </c>
      <c r="AL12" s="17">
        <f t="shared" si="11"/>
        <v>15248937936.821342</v>
      </c>
      <c r="AM12" s="17">
        <f t="shared" si="12"/>
        <v>13724044143.139208</v>
      </c>
    </row>
    <row r="13" spans="1:39" x14ac:dyDescent="0.3">
      <c r="A13" s="9">
        <f t="shared" si="13"/>
        <v>9</v>
      </c>
      <c r="C13" s="19">
        <f t="shared" si="14"/>
        <v>280000000</v>
      </c>
      <c r="D13" s="20">
        <f t="shared" si="15"/>
        <v>-80000000</v>
      </c>
      <c r="E13" s="13">
        <f t="shared" si="16"/>
        <v>69809769.719033211</v>
      </c>
      <c r="F13" s="13">
        <f t="shared" si="17"/>
        <v>59970138.813132994</v>
      </c>
      <c r="G13" s="17">
        <f t="shared" si="18"/>
        <v>69809769.719033211</v>
      </c>
      <c r="H13" s="17">
        <f t="shared" si="19"/>
        <v>70738430.730000064</v>
      </c>
      <c r="I13" s="13">
        <f t="shared" si="1"/>
        <v>6980976971.9033213</v>
      </c>
      <c r="J13" s="13">
        <f t="shared" si="2"/>
        <v>7073843073.0000067</v>
      </c>
      <c r="K13" s="17">
        <f t="shared" si="20"/>
        <v>7085691626.4818707</v>
      </c>
      <c r="L13" s="17">
        <f t="shared" si="21"/>
        <v>7179950719.0950069</v>
      </c>
      <c r="M13" s="14">
        <f t="shared" si="22"/>
        <v>1852291760.1386614</v>
      </c>
      <c r="N13" s="21">
        <f t="shared" si="23"/>
        <v>1646481564.5676987</v>
      </c>
      <c r="O13" s="21">
        <f t="shared" si="24"/>
        <v>1880076136.5407412</v>
      </c>
      <c r="P13" s="21">
        <f t="shared" si="24"/>
        <v>1671178788.0362141</v>
      </c>
      <c r="Q13" s="15">
        <f t="shared" si="25"/>
        <v>8965767763.0226116</v>
      </c>
      <c r="R13" s="15">
        <f t="shared" si="3"/>
        <v>8851129507.1312218</v>
      </c>
      <c r="S13" s="13">
        <f t="shared" si="26"/>
        <v>9995023.1355221607</v>
      </c>
      <c r="T13" s="13">
        <f t="shared" si="4"/>
        <v>499751156.77610803</v>
      </c>
      <c r="U13" s="13">
        <f t="shared" si="5"/>
        <v>287856666.30303818</v>
      </c>
      <c r="V13" s="15">
        <f t="shared" si="6"/>
        <v>787607823.07914615</v>
      </c>
      <c r="W13" s="22">
        <f t="shared" si="27"/>
        <v>686033985.23654199</v>
      </c>
      <c r="X13" s="23">
        <f t="shared" si="28"/>
        <v>94317907.640000075</v>
      </c>
      <c r="Y13" s="23"/>
      <c r="Z13" s="23"/>
      <c r="AA13" s="17">
        <f t="shared" si="29"/>
        <v>775664107.98925781</v>
      </c>
      <c r="AB13" s="17">
        <f t="shared" si="7"/>
        <v>892013724.18764639</v>
      </c>
      <c r="AC13" s="17">
        <f>AH13*$AC$18</f>
        <v>738269675.11764932</v>
      </c>
      <c r="AD13" s="17">
        <f>AH13*$AD$18</f>
        <v>1476539350.2352986</v>
      </c>
      <c r="AE13" s="17">
        <f>AH13*$AE$18</f>
        <v>885923610.14117908</v>
      </c>
      <c r="AF13" s="9">
        <f t="shared" si="30"/>
        <v>391431955.14877349</v>
      </c>
      <c r="AG13" s="18">
        <f t="shared" si="8"/>
        <v>346261176.60459024</v>
      </c>
      <c r="AH13" s="17">
        <f>K13+L13+T13</f>
        <v>14765393502.352985</v>
      </c>
      <c r="AI13" s="17">
        <f t="shared" si="9"/>
        <v>37503788177.470634</v>
      </c>
      <c r="AJ13" s="19">
        <f t="shared" si="10"/>
        <v>22028150558.74876</v>
      </c>
      <c r="AK13" s="19">
        <f t="shared" si="0"/>
        <v>22374411735.353352</v>
      </c>
      <c r="AL13" s="17">
        <f t="shared" si="11"/>
        <v>15129376442.117283</v>
      </c>
      <c r="AM13" s="17">
        <f t="shared" si="12"/>
        <v>13616438797.905556</v>
      </c>
    </row>
    <row r="14" spans="1:39" x14ac:dyDescent="0.3">
      <c r="A14" s="9">
        <f t="shared" si="13"/>
        <v>10</v>
      </c>
      <c r="C14" s="19">
        <v>200000000</v>
      </c>
      <c r="D14" s="20">
        <f t="shared" si="15"/>
        <v>-80000000</v>
      </c>
      <c r="E14" s="13">
        <f t="shared" si="16"/>
        <v>73300258.204984874</v>
      </c>
      <c r="F14" s="13">
        <f t="shared" si="17"/>
        <v>64767749.91818364</v>
      </c>
      <c r="G14" s="17">
        <f t="shared" si="18"/>
        <v>73300258.204984874</v>
      </c>
      <c r="H14" s="17">
        <f t="shared" si="19"/>
        <v>77812273.803000078</v>
      </c>
      <c r="I14" s="13">
        <f t="shared" si="1"/>
        <v>7330025820.4984875</v>
      </c>
      <c r="J14" s="13">
        <f t="shared" si="2"/>
        <v>7781227380.3000078</v>
      </c>
      <c r="K14" s="17">
        <f t="shared" si="20"/>
        <v>7439976207.8059645</v>
      </c>
      <c r="L14" s="17">
        <f t="shared" si="21"/>
        <v>7897945791.004508</v>
      </c>
      <c r="M14" s="14">
        <f t="shared" si="22"/>
        <v>1880076136.5407412</v>
      </c>
      <c r="N14" s="21">
        <f t="shared" si="23"/>
        <v>1671178788.0362141</v>
      </c>
      <c r="O14" s="21">
        <f t="shared" si="24"/>
        <v>1908277278.5888524</v>
      </c>
      <c r="P14" s="21">
        <f t="shared" si="24"/>
        <v>1696246469.8567574</v>
      </c>
      <c r="Q14" s="15">
        <f>K14+O14</f>
        <v>9348253486.3948174</v>
      </c>
      <c r="R14" s="15">
        <f t="shared" si="3"/>
        <v>9594192260.8612652</v>
      </c>
      <c r="S14" s="13">
        <f t="shared" si="26"/>
        <v>10794624.986363934</v>
      </c>
      <c r="T14" s="13">
        <f t="shared" si="4"/>
        <v>539731249.31819677</v>
      </c>
      <c r="U14" s="13">
        <f t="shared" si="5"/>
        <v>310885199.60728127</v>
      </c>
      <c r="V14" s="15">
        <f t="shared" si="6"/>
        <v>850616448.92547798</v>
      </c>
      <c r="W14" s="22">
        <f t="shared" si="27"/>
        <v>696324495.01509011</v>
      </c>
      <c r="X14" s="23">
        <f t="shared" si="28"/>
        <v>103749698.40400009</v>
      </c>
      <c r="Y14" s="23"/>
      <c r="Z14" s="23"/>
      <c r="AA14" s="17">
        <f t="shared" si="29"/>
        <v>814447313.38872075</v>
      </c>
      <c r="AB14" s="17">
        <f t="shared" si="7"/>
        <v>936614410.3970288</v>
      </c>
      <c r="AC14" s="17">
        <f>AH14*$AC$18</f>
        <v>793882662.40643358</v>
      </c>
      <c r="AD14" s="17">
        <f>AH14*$AD$18</f>
        <v>1587765324.8128672</v>
      </c>
      <c r="AE14" s="17">
        <f>AH14*$AE$18</f>
        <v>952659194.88772011</v>
      </c>
      <c r="AF14" s="9">
        <f t="shared" si="30"/>
        <v>403174913.80323672</v>
      </c>
      <c r="AG14" s="18">
        <f t="shared" si="8"/>
        <v>346261176.60459024</v>
      </c>
      <c r="AH14" s="17">
        <f>K14+L14+T14</f>
        <v>15877653248.12867</v>
      </c>
      <c r="AI14" s="17">
        <f t="shared" si="9"/>
        <v>38671660910.535103</v>
      </c>
      <c r="AJ14" s="19">
        <f t="shared" si="10"/>
        <v>23327269156.576828</v>
      </c>
      <c r="AK14" s="19">
        <f t="shared" si="0"/>
        <v>23673530333.181419</v>
      </c>
      <c r="AL14" s="17">
        <f t="shared" si="11"/>
        <v>14998130577.353683</v>
      </c>
      <c r="AM14" s="17">
        <f t="shared" si="12"/>
        <v>13498317519.618315</v>
      </c>
    </row>
    <row r="16" spans="1:39" x14ac:dyDescent="0.3">
      <c r="W16" s="38" t="s">
        <v>41</v>
      </c>
      <c r="X16" s="9" t="s">
        <v>43</v>
      </c>
      <c r="Y16" s="24">
        <v>0.1</v>
      </c>
    </row>
    <row r="17" spans="2:39" ht="43.2" x14ac:dyDescent="0.3">
      <c r="H17" s="25"/>
      <c r="I17" s="26"/>
      <c r="J17" s="26"/>
      <c r="K17" s="26" t="s">
        <v>24</v>
      </c>
      <c r="L17" s="27" t="s">
        <v>10</v>
      </c>
      <c r="N17" s="10" t="s">
        <v>31</v>
      </c>
      <c r="O17" s="10"/>
      <c r="P17" s="10"/>
      <c r="W17" s="39">
        <v>600000000</v>
      </c>
      <c r="AA17" s="9" t="s">
        <v>37</v>
      </c>
      <c r="AB17" s="9" t="s">
        <v>38</v>
      </c>
      <c r="AC17" s="28" t="s">
        <v>60</v>
      </c>
      <c r="AD17" s="24" t="s">
        <v>45</v>
      </c>
      <c r="AE17" s="28" t="s">
        <v>47</v>
      </c>
      <c r="AG17" s="38" t="s">
        <v>39</v>
      </c>
      <c r="AM17" s="9" t="s">
        <v>52</v>
      </c>
    </row>
    <row r="18" spans="2:39" x14ac:dyDescent="0.3">
      <c r="H18" s="29" t="s">
        <v>19</v>
      </c>
      <c r="I18" s="30"/>
      <c r="J18" s="30"/>
      <c r="K18" s="30">
        <v>100</v>
      </c>
      <c r="L18" s="31">
        <v>100</v>
      </c>
      <c r="N18" s="9" t="s">
        <v>30</v>
      </c>
      <c r="P18" s="13">
        <v>5000000</v>
      </c>
      <c r="W18" s="39" t="s">
        <v>42</v>
      </c>
      <c r="AA18" s="24">
        <v>0.05</v>
      </c>
      <c r="AB18" s="24">
        <v>0.15</v>
      </c>
      <c r="AC18" s="24">
        <v>0.05</v>
      </c>
      <c r="AD18" s="24">
        <v>0.1</v>
      </c>
      <c r="AE18" s="24">
        <v>0.06</v>
      </c>
      <c r="AG18" s="39">
        <v>2432000000</v>
      </c>
      <c r="AM18" s="24">
        <v>0.1</v>
      </c>
    </row>
    <row r="19" spans="2:39" x14ac:dyDescent="0.3">
      <c r="H19" s="29" t="s">
        <v>23</v>
      </c>
      <c r="I19" s="30"/>
      <c r="J19" s="30"/>
      <c r="K19" s="30">
        <v>36</v>
      </c>
      <c r="L19" s="31">
        <v>48</v>
      </c>
      <c r="N19" s="9" t="s">
        <v>19</v>
      </c>
      <c r="P19" s="9">
        <f>K18/2</f>
        <v>50</v>
      </c>
      <c r="W19" s="40">
        <v>1.4999999999999999E-2</v>
      </c>
      <c r="AG19" s="39" t="s">
        <v>40</v>
      </c>
    </row>
    <row r="20" spans="2:39" x14ac:dyDescent="0.3">
      <c r="B20" s="9" t="s">
        <v>13</v>
      </c>
      <c r="C20" s="32" t="s">
        <v>14</v>
      </c>
      <c r="D20" s="10"/>
      <c r="E20" s="10"/>
      <c r="F20" s="10"/>
      <c r="H20" s="29" t="s">
        <v>15</v>
      </c>
      <c r="I20" s="30"/>
      <c r="J20" s="30"/>
      <c r="K20" s="33">
        <v>1.4999999999999999E-2</v>
      </c>
      <c r="L20" s="31"/>
      <c r="N20" s="9" t="s">
        <v>23</v>
      </c>
      <c r="P20" s="9">
        <f>60%*L19</f>
        <v>28.799999999999997</v>
      </c>
      <c r="AG20" s="41">
        <v>7.0000000000000007E-2</v>
      </c>
      <c r="AI20" s="9" t="s">
        <v>57</v>
      </c>
    </row>
    <row r="21" spans="2:39" x14ac:dyDescent="0.3">
      <c r="C21" s="10"/>
      <c r="D21" s="10"/>
      <c r="E21" s="10"/>
      <c r="F21" s="10"/>
      <c r="H21" s="29" t="s">
        <v>16</v>
      </c>
      <c r="I21" s="30"/>
      <c r="J21" s="30"/>
      <c r="K21" s="33">
        <v>0.02</v>
      </c>
      <c r="L21" s="31"/>
      <c r="N21" s="9" t="s">
        <v>32</v>
      </c>
      <c r="P21" s="24">
        <v>0.08</v>
      </c>
      <c r="AG21" s="39" t="s">
        <v>56</v>
      </c>
      <c r="AI21" s="9">
        <v>87.5</v>
      </c>
    </row>
    <row r="22" spans="2:39" x14ac:dyDescent="0.3">
      <c r="C22" s="10"/>
      <c r="D22" s="10"/>
      <c r="E22" s="10"/>
      <c r="F22" s="10"/>
      <c r="H22" s="34" t="s">
        <v>17</v>
      </c>
      <c r="I22" s="35"/>
      <c r="J22" s="35"/>
      <c r="K22" s="36">
        <v>0.1</v>
      </c>
      <c r="L22" s="37"/>
      <c r="AG22" s="42">
        <f>AG18/7.0236</f>
        <v>346261176.60459024</v>
      </c>
      <c r="AI22" s="9" t="s">
        <v>58</v>
      </c>
    </row>
    <row r="23" spans="2:39" x14ac:dyDescent="0.3">
      <c r="C23" s="10"/>
      <c r="D23" s="10"/>
      <c r="E23" s="10"/>
      <c r="F23" s="10"/>
      <c r="AI23" s="9">
        <v>251430000</v>
      </c>
    </row>
    <row r="24" spans="2:39" x14ac:dyDescent="0.3">
      <c r="AI24" s="9" t="s">
        <v>59</v>
      </c>
    </row>
    <row r="25" spans="2:39" x14ac:dyDescent="0.3">
      <c r="AI25" s="9">
        <f>AI23*AI21</f>
        <v>22000125000</v>
      </c>
    </row>
  </sheetData>
  <mergeCells count="28">
    <mergeCell ref="X3:Z3"/>
    <mergeCell ref="X1:Z1"/>
    <mergeCell ref="X2:Z2"/>
    <mergeCell ref="X4:Z4"/>
    <mergeCell ref="X5:Z5"/>
    <mergeCell ref="X6:Z6"/>
    <mergeCell ref="X7:Z7"/>
    <mergeCell ref="X8:Z8"/>
    <mergeCell ref="X10:Z10"/>
    <mergeCell ref="X9:Z9"/>
    <mergeCell ref="X11:Z11"/>
    <mergeCell ref="X14:Z14"/>
    <mergeCell ref="X13:Z13"/>
    <mergeCell ref="X12:Z12"/>
    <mergeCell ref="AC1:AE1"/>
    <mergeCell ref="O2:P2"/>
    <mergeCell ref="I1:R1"/>
    <mergeCell ref="N17:P17"/>
    <mergeCell ref="C20:F23"/>
    <mergeCell ref="K2:L2"/>
    <mergeCell ref="I2:J2"/>
    <mergeCell ref="M2:N2"/>
    <mergeCell ref="E1:H1"/>
    <mergeCell ref="E2:F2"/>
    <mergeCell ref="G2:H2"/>
    <mergeCell ref="AA1:AB1"/>
    <mergeCell ref="S1:V1"/>
    <mergeCell ref="Q2:R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EC309-BC38-4D2A-AB6A-06BD0D5E9DCA}">
  <dimension ref="A1:F8"/>
  <sheetViews>
    <sheetView workbookViewId="0">
      <selection activeCell="A8" sqref="A8"/>
    </sheetView>
  </sheetViews>
  <sheetFormatPr defaultRowHeight="14.4" x14ac:dyDescent="0.3"/>
  <cols>
    <col min="6" max="6" width="14.88671875" bestFit="1" customWidth="1"/>
  </cols>
  <sheetData>
    <row r="1" spans="1:6" x14ac:dyDescent="0.3">
      <c r="A1" t="s">
        <v>61</v>
      </c>
      <c r="F1" s="60">
        <v>200000000</v>
      </c>
    </row>
    <row r="2" spans="1:6" x14ac:dyDescent="0.3">
      <c r="A2" s="57" t="s">
        <v>62</v>
      </c>
      <c r="B2" s="57"/>
      <c r="C2" s="57"/>
      <c r="D2" s="58"/>
      <c r="E2" s="59"/>
      <c r="F2" s="61">
        <v>696324495</v>
      </c>
    </row>
    <row r="3" spans="1:6" x14ac:dyDescent="0.3">
      <c r="A3" s="58" t="s">
        <v>63</v>
      </c>
      <c r="B3" s="58"/>
      <c r="C3" s="58"/>
      <c r="D3" s="58"/>
      <c r="E3" s="59"/>
      <c r="F3" s="62">
        <v>0.11</v>
      </c>
    </row>
    <row r="4" spans="1:6" x14ac:dyDescent="0.3">
      <c r="A4" s="58" t="s">
        <v>64</v>
      </c>
      <c r="B4" s="58"/>
      <c r="C4" s="58"/>
      <c r="D4" s="58"/>
      <c r="E4" s="59"/>
      <c r="F4" s="58">
        <f>F2+F1</f>
        <v>896324495</v>
      </c>
    </row>
    <row r="5" spans="1:6" x14ac:dyDescent="0.3">
      <c r="A5" s="58" t="s">
        <v>102</v>
      </c>
      <c r="B5" s="58"/>
      <c r="C5" s="58"/>
      <c r="D5" s="58"/>
      <c r="E5" s="59"/>
      <c r="F5" s="58">
        <f>F4*(1-F3)^10</f>
        <v>279489393.69458383</v>
      </c>
    </row>
    <row r="6" spans="1:6" x14ac:dyDescent="0.3">
      <c r="A6" s="58"/>
      <c r="B6" s="58"/>
      <c r="C6" s="58"/>
      <c r="D6" s="58"/>
      <c r="E6" s="59"/>
      <c r="F6" s="58"/>
    </row>
    <row r="7" spans="1:6" x14ac:dyDescent="0.3">
      <c r="A7" s="58"/>
      <c r="B7" s="58"/>
      <c r="C7" s="58"/>
      <c r="D7" s="58"/>
      <c r="E7" s="59"/>
      <c r="F7" s="58"/>
    </row>
    <row r="8" spans="1:6" x14ac:dyDescent="0.3">
      <c r="A8" s="58"/>
      <c r="B8" s="58"/>
      <c r="C8" s="58"/>
      <c r="D8" s="58"/>
      <c r="E8" s="59"/>
      <c r="F8" s="62"/>
    </row>
  </sheetData>
  <mergeCells count="1"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8D72E-EB2B-44C6-BE8E-E05BA879C7AB}">
  <dimension ref="A1:AC39"/>
  <sheetViews>
    <sheetView tabSelected="1" topLeftCell="A7" zoomScale="50" zoomScaleNormal="50" workbookViewId="0">
      <selection activeCell="I6" sqref="I6"/>
    </sheetView>
  </sheetViews>
  <sheetFormatPr defaultRowHeight="14.4" x14ac:dyDescent="0.3"/>
  <cols>
    <col min="2" max="2" width="17.6640625" bestFit="1" customWidth="1"/>
    <col min="3" max="3" width="18.88671875" customWidth="1"/>
    <col min="4" max="4" width="16.109375" customWidth="1"/>
    <col min="5" max="5" width="19.33203125" customWidth="1"/>
    <col min="6" max="6" width="18.5546875" customWidth="1"/>
    <col min="7" max="7" width="33.88671875" customWidth="1"/>
    <col min="8" max="9" width="17.6640625" bestFit="1" customWidth="1"/>
    <col min="10" max="10" width="19.5546875" customWidth="1"/>
    <col min="11" max="11" width="16.77734375" customWidth="1"/>
    <col min="12" max="12" width="11" bestFit="1" customWidth="1"/>
    <col min="13" max="13" width="20.33203125" customWidth="1"/>
    <col min="14" max="14" width="17.21875" bestFit="1" customWidth="1"/>
    <col min="15" max="15" width="10" bestFit="1" customWidth="1"/>
    <col min="17" max="17" width="10" bestFit="1" customWidth="1"/>
    <col min="18" max="18" width="12" bestFit="1" customWidth="1"/>
    <col min="20" max="21" width="15.6640625" bestFit="1" customWidth="1"/>
    <col min="22" max="22" width="15.6640625" customWidth="1"/>
    <col min="23" max="23" width="17.5546875" bestFit="1" customWidth="1"/>
    <col min="24" max="24" width="17.5546875" customWidth="1"/>
    <col min="25" max="25" width="17.5546875" bestFit="1" customWidth="1"/>
    <col min="26" max="26" width="15.6640625" customWidth="1"/>
    <col min="27" max="27" width="15.6640625" bestFit="1" customWidth="1"/>
    <col min="28" max="28" width="16.44140625" bestFit="1" customWidth="1"/>
    <col min="29" max="29" width="12" bestFit="1" customWidth="1"/>
  </cols>
  <sheetData>
    <row r="1" spans="1:29" ht="13.2" customHeight="1" x14ac:dyDescent="0.3">
      <c r="A1" t="s">
        <v>105</v>
      </c>
    </row>
    <row r="2" spans="1:29" x14ac:dyDescent="0.3">
      <c r="A2" s="6" t="s">
        <v>65</v>
      </c>
      <c r="B2" s="6"/>
      <c r="C2" s="6"/>
      <c r="F2" s="56"/>
    </row>
    <row r="3" spans="1:29" x14ac:dyDescent="0.3">
      <c r="A3" t="s">
        <v>107</v>
      </c>
      <c r="F3" s="63"/>
    </row>
    <row r="4" spans="1:29" ht="57.6" x14ac:dyDescent="0.3">
      <c r="F4" s="5"/>
      <c r="J4" t="s">
        <v>66</v>
      </c>
      <c r="K4">
        <f>36*(1+I7)^10</f>
        <v>41.779469700905345</v>
      </c>
      <c r="L4" s="7" t="s">
        <v>106</v>
      </c>
      <c r="M4" s="5">
        <v>0.05</v>
      </c>
      <c r="N4" s="7"/>
    </row>
    <row r="5" spans="1:29" ht="43.2" x14ac:dyDescent="0.3">
      <c r="J5" s="7" t="s">
        <v>67</v>
      </c>
      <c r="K5">
        <f>48*(1+I7)^10</f>
        <v>55.705959601207127</v>
      </c>
      <c r="L5" s="7" t="s">
        <v>68</v>
      </c>
      <c r="M5" s="5">
        <v>0.1</v>
      </c>
    </row>
    <row r="6" spans="1:29" ht="57.6" x14ac:dyDescent="0.3">
      <c r="A6" t="s">
        <v>69</v>
      </c>
      <c r="J6" s="7" t="s">
        <v>70</v>
      </c>
      <c r="K6">
        <v>28.8</v>
      </c>
      <c r="L6" s="7" t="s">
        <v>71</v>
      </c>
      <c r="M6">
        <v>50</v>
      </c>
    </row>
    <row r="7" spans="1:29" x14ac:dyDescent="0.3">
      <c r="A7" t="s">
        <v>72</v>
      </c>
      <c r="F7" s="5">
        <v>0.1</v>
      </c>
      <c r="G7" t="s">
        <v>73</v>
      </c>
      <c r="I7" s="4">
        <v>1.4999999999999999E-2</v>
      </c>
      <c r="J7" t="s">
        <v>74</v>
      </c>
      <c r="K7" s="5">
        <v>0.11</v>
      </c>
    </row>
    <row r="8" spans="1:29" x14ac:dyDescent="0.3">
      <c r="A8" t="s">
        <v>75</v>
      </c>
      <c r="F8" s="5">
        <v>7.0000000000000007E-2</v>
      </c>
    </row>
    <row r="9" spans="1:29" x14ac:dyDescent="0.3">
      <c r="A9" t="s">
        <v>76</v>
      </c>
      <c r="F9" s="5">
        <v>7.0000000000000007E-2</v>
      </c>
    </row>
    <row r="10" spans="1:29" x14ac:dyDescent="0.3">
      <c r="A10" t="s">
        <v>77</v>
      </c>
      <c r="F10" s="5">
        <v>0.08</v>
      </c>
    </row>
    <row r="11" spans="1:29" x14ac:dyDescent="0.3">
      <c r="A11" t="s">
        <v>78</v>
      </c>
      <c r="F11" s="5"/>
    </row>
    <row r="12" spans="1:29" x14ac:dyDescent="0.3">
      <c r="F12" s="5"/>
    </row>
    <row r="13" spans="1:29" s="67" customFormat="1" ht="72" x14ac:dyDescent="0.3">
      <c r="B13" s="68" t="s">
        <v>79</v>
      </c>
      <c r="C13" s="68" t="s">
        <v>80</v>
      </c>
      <c r="D13" s="68" t="s">
        <v>81</v>
      </c>
      <c r="E13" s="68" t="s">
        <v>82</v>
      </c>
      <c r="F13" s="68" t="s">
        <v>83</v>
      </c>
      <c r="G13" s="68" t="s">
        <v>84</v>
      </c>
      <c r="H13" s="68" t="s">
        <v>85</v>
      </c>
      <c r="I13" s="69" t="s">
        <v>86</v>
      </c>
      <c r="J13" s="70" t="s">
        <v>87</v>
      </c>
      <c r="K13" s="70" t="s">
        <v>88</v>
      </c>
      <c r="L13" s="68" t="s">
        <v>89</v>
      </c>
      <c r="M13" s="68" t="s">
        <v>90</v>
      </c>
      <c r="N13" s="70" t="s">
        <v>91</v>
      </c>
      <c r="O13" s="70" t="s">
        <v>92</v>
      </c>
      <c r="P13" s="68" t="s">
        <v>93</v>
      </c>
      <c r="Q13" s="70" t="s">
        <v>94</v>
      </c>
      <c r="R13" s="68" t="s">
        <v>95</v>
      </c>
      <c r="T13" s="68" t="s">
        <v>96</v>
      </c>
      <c r="U13" s="68" t="s">
        <v>97</v>
      </c>
      <c r="V13" s="68"/>
      <c r="W13" s="70" t="s">
        <v>98</v>
      </c>
      <c r="X13" s="70"/>
      <c r="Y13" s="68" t="s">
        <v>99</v>
      </c>
      <c r="Z13" s="68"/>
      <c r="AA13" s="68" t="s">
        <v>100</v>
      </c>
      <c r="AB13" s="68" t="s">
        <v>101</v>
      </c>
    </row>
    <row r="14" spans="1:29" x14ac:dyDescent="0.3">
      <c r="A14">
        <v>1</v>
      </c>
      <c r="B14">
        <v>48866838</v>
      </c>
      <c r="C14">
        <f>B14*100</f>
        <v>4886683800</v>
      </c>
      <c r="D14">
        <f>C14*(1+$F$8)</f>
        <v>5228751666</v>
      </c>
      <c r="E14">
        <f>D14*(1+$I$7)</f>
        <v>5307182940.9899998</v>
      </c>
      <c r="F14">
        <v>1167418411</v>
      </c>
      <c r="G14" s="63">
        <f>F14*100</f>
        <v>116741841100</v>
      </c>
      <c r="H14" s="63">
        <f>G14*(1+$F$8)</f>
        <v>124913769977</v>
      </c>
      <c r="I14" s="64">
        <f>H14*(1+$I$7)</f>
        <v>126787476526.65498</v>
      </c>
      <c r="J14" s="65">
        <f>B14*K4*(1+F8)</f>
        <v>2184544718.0320535</v>
      </c>
      <c r="K14" s="8">
        <f>F14*K5*(1+F9)</f>
        <v>69584414239.732422</v>
      </c>
      <c r="L14">
        <v>999502314</v>
      </c>
      <c r="M14" s="63">
        <f>L14*$M$6</f>
        <v>49975115700</v>
      </c>
      <c r="N14" s="66">
        <f>L14*$K$6</f>
        <v>28785666643.200001</v>
      </c>
      <c r="O14" s="8">
        <v>500000000</v>
      </c>
      <c r="P14">
        <v>30000000</v>
      </c>
      <c r="Q14" s="8">
        <v>100000000</v>
      </c>
      <c r="R14">
        <f>T14*$M$4</f>
        <v>9103488758.3822498</v>
      </c>
      <c r="T14" s="63">
        <f>E14+I14+M14</f>
        <v>182069775167.64499</v>
      </c>
      <c r="U14" s="63">
        <f>T14+R14</f>
        <v>191173263926.02725</v>
      </c>
      <c r="V14" s="63"/>
      <c r="W14" s="66">
        <f>J14+K14+N14+O14+Q14</f>
        <v>101154625600.96448</v>
      </c>
      <c r="X14" s="66">
        <f>W14-P14</f>
        <v>101124625600.96448</v>
      </c>
      <c r="Y14" s="63">
        <f>U14-X14</f>
        <v>90048638325.062775</v>
      </c>
      <c r="Z14" s="63"/>
      <c r="AA14" s="63">
        <f>Y14*(1-$M$5)</f>
        <v>81043774492.556503</v>
      </c>
      <c r="AB14" s="63">
        <f>AA14*(1-$K$7)^A14</f>
        <v>72128959298.37529</v>
      </c>
      <c r="AC14">
        <f>AA14*(1-$B$39)^A14</f>
        <v>4.4988332222082598E-5</v>
      </c>
    </row>
    <row r="15" spans="1:29" x14ac:dyDescent="0.3">
      <c r="A15">
        <v>2</v>
      </c>
      <c r="B15">
        <f>B14*(1+$F$7)</f>
        <v>53753521.800000004</v>
      </c>
      <c r="C15">
        <f t="shared" ref="C15:C33" si="0">B15*100</f>
        <v>5375352180</v>
      </c>
      <c r="D15">
        <f t="shared" ref="D15:D33" si="1">C15*(1+$F$8)</f>
        <v>5751626832.6000004</v>
      </c>
      <c r="E15">
        <f t="shared" ref="E15:E33" si="2">D15*(1+$I$7)</f>
        <v>5837901235.0889997</v>
      </c>
      <c r="F15">
        <f>F14*(1+$F$8)</f>
        <v>1249137699.77</v>
      </c>
      <c r="G15" s="63">
        <f t="shared" ref="G15:G33" si="3">F15*100</f>
        <v>124913769977</v>
      </c>
      <c r="H15" s="63">
        <f t="shared" ref="H15:H33" si="4">G15*(1+$F$8)</f>
        <v>133657733875.39001</v>
      </c>
      <c r="I15" s="64">
        <f t="shared" ref="I15:I33" si="5">H15*(1+$I$7)</f>
        <v>135662599883.52086</v>
      </c>
      <c r="J15" s="65">
        <f>J14*(1+$F$9)</f>
        <v>2337462848.2942972</v>
      </c>
      <c r="K15" s="66">
        <f>K14*(1+$F$9)</f>
        <v>74455323236.513702</v>
      </c>
      <c r="L15">
        <f>L14*(1+$F$10)</f>
        <v>1079462499.1200001</v>
      </c>
      <c r="M15" s="63">
        <f>L15*$M$6</f>
        <v>53973124956.000008</v>
      </c>
      <c r="N15" s="66">
        <f t="shared" ref="N15:N33" si="6">L15*$K$6</f>
        <v>31088519974.656006</v>
      </c>
      <c r="O15" s="8">
        <f>O14*(1+$I$7)</f>
        <v>507499999.99999994</v>
      </c>
      <c r="P15">
        <v>30000000</v>
      </c>
      <c r="Q15" s="8">
        <f>Q14*(1+$I$7)</f>
        <v>101499999.99999999</v>
      </c>
      <c r="R15">
        <f>T15*$M$4</f>
        <v>9773681303.7304935</v>
      </c>
      <c r="T15" s="63">
        <f t="shared" ref="T15:T33" si="7">E15+I15+M15</f>
        <v>195473626074.60986</v>
      </c>
      <c r="U15" s="63">
        <f t="shared" ref="U15:U33" si="8">T15+R15</f>
        <v>205247307378.34036</v>
      </c>
      <c r="V15" s="63"/>
      <c r="W15" s="66">
        <f t="shared" ref="W15:W33" si="9">J15+K15+N15+O15+Q15</f>
        <v>108490306059.464</v>
      </c>
      <c r="X15" s="66">
        <f t="shared" ref="X15:X33" si="10">W15-P15</f>
        <v>108460306059.464</v>
      </c>
      <c r="Y15" s="63">
        <f t="shared" ref="Y15:Y33" si="11">U15-X15</f>
        <v>96787001318.876358</v>
      </c>
      <c r="Z15" s="63"/>
      <c r="AA15" s="63">
        <f>Y15*(1-$M$5)</f>
        <v>87108301186.988724</v>
      </c>
      <c r="AB15" s="63">
        <f t="shared" ref="AB15:AB33" si="12">AA15*(1-$K$7)^A15</f>
        <v>68998485370.213776</v>
      </c>
      <c r="AC15">
        <f t="shared" ref="AC15:AC33" si="13">AA15*(1-$B$39)^A15</f>
        <v>2.6842317705715804E-20</v>
      </c>
    </row>
    <row r="16" spans="1:29" x14ac:dyDescent="0.3">
      <c r="A16">
        <v>3</v>
      </c>
      <c r="B16">
        <f t="shared" ref="B16:B33" si="14">B15*(1+$F$7)</f>
        <v>59128873.980000012</v>
      </c>
      <c r="C16">
        <f t="shared" si="0"/>
        <v>5912887398.000001</v>
      </c>
      <c r="D16">
        <f t="shared" si="1"/>
        <v>6326789515.8600016</v>
      </c>
      <c r="E16">
        <f t="shared" si="2"/>
        <v>6421691358.5979013</v>
      </c>
      <c r="F16">
        <f t="shared" ref="F16:F33" si="15">F15*(1+$F$8)</f>
        <v>1336577338.7539001</v>
      </c>
      <c r="G16" s="63">
        <f t="shared" si="3"/>
        <v>133657733875.39</v>
      </c>
      <c r="H16" s="63">
        <f t="shared" si="4"/>
        <v>143013775246.6673</v>
      </c>
      <c r="I16" s="64">
        <f t="shared" si="5"/>
        <v>145158981875.36728</v>
      </c>
      <c r="J16" s="65">
        <f t="shared" ref="J16:K31" si="16">J15*(1+$F$9)</f>
        <v>2501085247.6748981</v>
      </c>
      <c r="K16" s="66">
        <f t="shared" si="16"/>
        <v>79667195863.069672</v>
      </c>
      <c r="L16">
        <f t="shared" ref="L16:L33" si="17">L15*(1+$F$10)</f>
        <v>1165819499.0496001</v>
      </c>
      <c r="M16" s="63">
        <f>L16*$M$6</f>
        <v>58290974952.480003</v>
      </c>
      <c r="N16" s="66">
        <f t="shared" si="6"/>
        <v>33575601572.628483</v>
      </c>
      <c r="O16" s="8">
        <f t="shared" ref="O16:O33" si="18">O15*(1+$I$7)</f>
        <v>515112499.99999988</v>
      </c>
      <c r="P16">
        <v>30000000</v>
      </c>
      <c r="Q16" s="8">
        <f t="shared" ref="Q16:Q33" si="19">Q15*(1+$I$7)</f>
        <v>103022499.99999997</v>
      </c>
      <c r="R16">
        <f>T16*$M$4</f>
        <v>10493582409.32226</v>
      </c>
      <c r="T16" s="63">
        <f t="shared" si="7"/>
        <v>209871648186.44519</v>
      </c>
      <c r="U16" s="63">
        <f t="shared" si="8"/>
        <v>220365230595.76746</v>
      </c>
      <c r="V16" s="63"/>
      <c r="W16" s="66">
        <f t="shared" si="9"/>
        <v>116362017683.37305</v>
      </c>
      <c r="X16" s="66">
        <f t="shared" si="10"/>
        <v>116332017683.37305</v>
      </c>
      <c r="Y16" s="63">
        <f t="shared" si="11"/>
        <v>104033212912.39441</v>
      </c>
      <c r="Z16" s="63"/>
      <c r="AA16" s="63">
        <f>Y16*(1-$M$5)</f>
        <v>93629891621.154968</v>
      </c>
      <c r="AB16" s="63">
        <f t="shared" si="12"/>
        <v>66006171066.274002</v>
      </c>
      <c r="AC16">
        <f t="shared" si="13"/>
        <v>1.6016042888625917E-35</v>
      </c>
    </row>
    <row r="17" spans="1:29" x14ac:dyDescent="0.3">
      <c r="A17">
        <v>4</v>
      </c>
      <c r="B17">
        <f t="shared" si="14"/>
        <v>65041761.378000021</v>
      </c>
      <c r="C17">
        <f t="shared" si="0"/>
        <v>6504176137.8000021</v>
      </c>
      <c r="D17">
        <f t="shared" si="1"/>
        <v>6959468467.446003</v>
      </c>
      <c r="E17">
        <f t="shared" si="2"/>
        <v>7063860494.4576921</v>
      </c>
      <c r="F17">
        <f t="shared" si="15"/>
        <v>1430137752.4666731</v>
      </c>
      <c r="G17" s="63">
        <f t="shared" si="3"/>
        <v>143013775246.66733</v>
      </c>
      <c r="H17" s="63">
        <f t="shared" si="4"/>
        <v>153024739513.93405</v>
      </c>
      <c r="I17" s="64">
        <f t="shared" si="5"/>
        <v>155320110606.64304</v>
      </c>
      <c r="J17" s="65">
        <f t="shared" si="16"/>
        <v>2676161215.0121412</v>
      </c>
      <c r="K17" s="66">
        <f t="shared" si="16"/>
        <v>85243899573.484558</v>
      </c>
      <c r="L17">
        <f t="shared" si="17"/>
        <v>1259085058.9735682</v>
      </c>
      <c r="M17" s="63">
        <f>L17*$M$6</f>
        <v>62954252948.678413</v>
      </c>
      <c r="N17" s="66">
        <f t="shared" si="6"/>
        <v>36261649698.438766</v>
      </c>
      <c r="O17" s="8">
        <f t="shared" si="18"/>
        <v>522839187.49999982</v>
      </c>
      <c r="P17">
        <v>30000000</v>
      </c>
      <c r="Q17" s="8">
        <f t="shared" si="19"/>
        <v>104567837.49999996</v>
      </c>
      <c r="R17">
        <f>T17*$M$4</f>
        <v>11266911202.488958</v>
      </c>
      <c r="T17" s="63">
        <f t="shared" si="7"/>
        <v>225338224049.77914</v>
      </c>
      <c r="U17" s="63">
        <f t="shared" si="8"/>
        <v>236605135252.2681</v>
      </c>
      <c r="V17" s="63"/>
      <c r="W17" s="66">
        <f t="shared" si="9"/>
        <v>124809117511.93547</v>
      </c>
      <c r="X17" s="66">
        <f t="shared" si="10"/>
        <v>124779117511.93547</v>
      </c>
      <c r="Y17" s="63">
        <f t="shared" si="11"/>
        <v>111826017740.33263</v>
      </c>
      <c r="Z17" s="63"/>
      <c r="AA17" s="63">
        <f>Y17*(1-$M$5)</f>
        <v>100643415966.29936</v>
      </c>
      <c r="AB17" s="63">
        <f t="shared" si="12"/>
        <v>63145934596.208031</v>
      </c>
      <c r="AC17">
        <f t="shared" si="13"/>
        <v>9.5566637447267897E-51</v>
      </c>
    </row>
    <row r="18" spans="1:29" x14ac:dyDescent="0.3">
      <c r="A18">
        <v>5</v>
      </c>
      <c r="B18">
        <f t="shared" si="14"/>
        <v>71545937.515800029</v>
      </c>
      <c r="C18">
        <f t="shared" si="0"/>
        <v>7154593751.5800028</v>
      </c>
      <c r="D18">
        <f t="shared" si="1"/>
        <v>7655415314.1906033</v>
      </c>
      <c r="E18">
        <f t="shared" si="2"/>
        <v>7770246543.9034615</v>
      </c>
      <c r="F18">
        <f t="shared" si="15"/>
        <v>1530247395.1393404</v>
      </c>
      <c r="G18" s="63">
        <f t="shared" si="3"/>
        <v>153024739513.93405</v>
      </c>
      <c r="H18" s="63">
        <f t="shared" si="4"/>
        <v>163736471279.90945</v>
      </c>
      <c r="I18" s="64">
        <f t="shared" si="5"/>
        <v>166192518349.10809</v>
      </c>
      <c r="J18" s="65">
        <f t="shared" si="16"/>
        <v>2863492500.0629911</v>
      </c>
      <c r="K18" s="66">
        <f t="shared" si="16"/>
        <v>91210972543.628479</v>
      </c>
      <c r="L18">
        <f t="shared" si="17"/>
        <v>1359811863.6914537</v>
      </c>
      <c r="M18" s="63">
        <f>L18*$M$6</f>
        <v>67990593184.572685</v>
      </c>
      <c r="N18" s="66">
        <f t="shared" si="6"/>
        <v>39162581674.313866</v>
      </c>
      <c r="O18" s="8">
        <f t="shared" si="18"/>
        <v>530681775.31249976</v>
      </c>
      <c r="P18">
        <v>30000000</v>
      </c>
      <c r="Q18" s="8">
        <f t="shared" si="19"/>
        <v>106136355.06249994</v>
      </c>
      <c r="R18">
        <f>T18*$M$4</f>
        <v>12097667903.879213</v>
      </c>
      <c r="T18" s="63">
        <f t="shared" si="7"/>
        <v>241953358077.58426</v>
      </c>
      <c r="U18" s="63">
        <f t="shared" si="8"/>
        <v>254051025981.46347</v>
      </c>
      <c r="V18" s="63"/>
      <c r="W18" s="66">
        <f t="shared" si="9"/>
        <v>133873864848.38034</v>
      </c>
      <c r="X18" s="66">
        <f t="shared" si="10"/>
        <v>133843864848.38034</v>
      </c>
      <c r="Y18" s="63">
        <f t="shared" si="11"/>
        <v>120207161133.08313</v>
      </c>
      <c r="Z18" s="63"/>
      <c r="AA18" s="63">
        <f>Y18*(1-$M$5)</f>
        <v>108186445019.77483</v>
      </c>
      <c r="AB18" s="63">
        <f t="shared" si="12"/>
        <v>60411954056.639267</v>
      </c>
      <c r="AC18">
        <f t="shared" si="13"/>
        <v>5.7026145908644609E-66</v>
      </c>
    </row>
    <row r="19" spans="1:29" x14ac:dyDescent="0.3">
      <c r="A19">
        <v>6</v>
      </c>
      <c r="B19">
        <f t="shared" si="14"/>
        <v>78700531.267380044</v>
      </c>
      <c r="C19">
        <f t="shared" si="0"/>
        <v>7870053126.7380047</v>
      </c>
      <c r="D19">
        <f t="shared" si="1"/>
        <v>8420956845.6096659</v>
      </c>
      <c r="E19">
        <f t="shared" si="2"/>
        <v>8547271198.2938099</v>
      </c>
      <c r="F19">
        <f t="shared" si="15"/>
        <v>1637364712.7990944</v>
      </c>
      <c r="G19" s="63">
        <f t="shared" si="3"/>
        <v>163736471279.90945</v>
      </c>
      <c r="H19" s="63">
        <f t="shared" si="4"/>
        <v>175198024269.50311</v>
      </c>
      <c r="I19" s="64">
        <f t="shared" si="5"/>
        <v>177825994633.54565</v>
      </c>
      <c r="J19" s="65">
        <f t="shared" si="16"/>
        <v>3063936975.0674009</v>
      </c>
      <c r="K19" s="66">
        <f t="shared" si="16"/>
        <v>97595740621.68248</v>
      </c>
      <c r="L19">
        <f t="shared" si="17"/>
        <v>1468596812.7867701</v>
      </c>
      <c r="M19" s="63">
        <f>L19*$M$6</f>
        <v>73429840639.338501</v>
      </c>
      <c r="N19" s="66">
        <f t="shared" si="6"/>
        <v>42295588208.25898</v>
      </c>
      <c r="O19" s="8">
        <f t="shared" si="18"/>
        <v>538642001.94218719</v>
      </c>
      <c r="P19">
        <v>30000000</v>
      </c>
      <c r="Q19" s="8">
        <f t="shared" si="19"/>
        <v>107728400.38843744</v>
      </c>
      <c r="R19">
        <f>T19*$M$4</f>
        <v>12990155323.558899</v>
      </c>
      <c r="T19" s="63">
        <f t="shared" si="7"/>
        <v>259803106471.17798</v>
      </c>
      <c r="U19" s="63">
        <f t="shared" si="8"/>
        <v>272793261794.73688</v>
      </c>
      <c r="V19" s="63"/>
      <c r="W19" s="66">
        <f t="shared" si="9"/>
        <v>143601636207.33948</v>
      </c>
      <c r="X19" s="66">
        <f t="shared" si="10"/>
        <v>143571636207.33948</v>
      </c>
      <c r="Y19" s="63">
        <f t="shared" si="11"/>
        <v>129221625587.3974</v>
      </c>
      <c r="Z19" s="63"/>
      <c r="AA19" s="63">
        <f>Y19*(1-$M$5)</f>
        <v>116299463028.65767</v>
      </c>
      <c r="AB19" s="63">
        <f t="shared" si="12"/>
        <v>57798657274.053391</v>
      </c>
      <c r="AC19">
        <f t="shared" si="13"/>
        <v>3.4029777882791631E-81</v>
      </c>
    </row>
    <row r="20" spans="1:29" x14ac:dyDescent="0.3">
      <c r="A20">
        <v>7</v>
      </c>
      <c r="B20">
        <f t="shared" si="14"/>
        <v>86570584.394118056</v>
      </c>
      <c r="C20">
        <f t="shared" si="0"/>
        <v>8657058439.4118061</v>
      </c>
      <c r="D20">
        <f t="shared" si="1"/>
        <v>9263052530.1706333</v>
      </c>
      <c r="E20">
        <f t="shared" si="2"/>
        <v>9401998318.1231918</v>
      </c>
      <c r="F20">
        <f t="shared" si="15"/>
        <v>1751980242.6950312</v>
      </c>
      <c r="G20" s="63">
        <f t="shared" si="3"/>
        <v>175198024269.50311</v>
      </c>
      <c r="H20" s="63">
        <f t="shared" si="4"/>
        <v>187461885968.36835</v>
      </c>
      <c r="I20" s="64">
        <f t="shared" si="5"/>
        <v>190273814257.89386</v>
      </c>
      <c r="J20" s="65">
        <f t="shared" si="16"/>
        <v>3278412563.3221192</v>
      </c>
      <c r="K20" s="66">
        <f t="shared" si="16"/>
        <v>104427442465.20026</v>
      </c>
      <c r="L20">
        <f t="shared" si="17"/>
        <v>1586084557.8097119</v>
      </c>
      <c r="M20" s="63">
        <f>L20*$M$6</f>
        <v>79304227890.485596</v>
      </c>
      <c r="N20" s="66">
        <f t="shared" si="6"/>
        <v>45679235264.919708</v>
      </c>
      <c r="O20" s="8">
        <f t="shared" si="18"/>
        <v>546721631.97131991</v>
      </c>
      <c r="P20">
        <v>30000000</v>
      </c>
      <c r="Q20" s="8">
        <f t="shared" si="19"/>
        <v>109344326.39426398</v>
      </c>
      <c r="R20">
        <f>T20*$M$4</f>
        <v>13949002023.325134</v>
      </c>
      <c r="T20" s="63">
        <f t="shared" si="7"/>
        <v>278980040466.50269</v>
      </c>
      <c r="U20" s="63">
        <f t="shared" si="8"/>
        <v>292929042489.82782</v>
      </c>
      <c r="V20" s="63"/>
      <c r="W20" s="66">
        <f t="shared" si="9"/>
        <v>154041156251.80765</v>
      </c>
      <c r="X20" s="66">
        <f t="shared" si="10"/>
        <v>154011156251.80765</v>
      </c>
      <c r="Y20" s="63">
        <f t="shared" si="11"/>
        <v>138917886238.02017</v>
      </c>
      <c r="Z20" s="63"/>
      <c r="AA20" s="63">
        <f>Y20*(1-$M$5)</f>
        <v>125026097614.21815</v>
      </c>
      <c r="AB20" s="63">
        <f t="shared" si="12"/>
        <v>55300711942.55584</v>
      </c>
      <c r="AC20">
        <f t="shared" si="13"/>
        <v>2.0307773689051811E-96</v>
      </c>
    </row>
    <row r="21" spans="1:29" x14ac:dyDescent="0.3">
      <c r="A21">
        <v>8</v>
      </c>
      <c r="B21">
        <f t="shared" si="14"/>
        <v>95227642.833529875</v>
      </c>
      <c r="C21">
        <f t="shared" si="0"/>
        <v>9522764283.3529873</v>
      </c>
      <c r="D21">
        <f t="shared" si="1"/>
        <v>10189357783.187696</v>
      </c>
      <c r="E21">
        <f t="shared" si="2"/>
        <v>10342198149.935511</v>
      </c>
      <c r="F21">
        <f t="shared" si="15"/>
        <v>1874618859.6836834</v>
      </c>
      <c r="G21" s="63">
        <f t="shared" si="3"/>
        <v>187461885968.36835</v>
      </c>
      <c r="H21" s="63">
        <f t="shared" si="4"/>
        <v>200584217986.15414</v>
      </c>
      <c r="I21" s="64">
        <f t="shared" si="5"/>
        <v>203592981255.94644</v>
      </c>
      <c r="J21" s="65">
        <f t="shared" si="16"/>
        <v>3507901442.7546678</v>
      </c>
      <c r="K21" s="66">
        <f t="shared" si="16"/>
        <v>111737363437.76428</v>
      </c>
      <c r="L21">
        <f t="shared" si="17"/>
        <v>1712971322.434489</v>
      </c>
      <c r="M21" s="63">
        <f>L21*$M$6</f>
        <v>85648566121.724457</v>
      </c>
      <c r="N21" s="66">
        <f t="shared" si="6"/>
        <v>49333574086.113281</v>
      </c>
      <c r="O21" s="8">
        <f t="shared" si="18"/>
        <v>554922456.45088971</v>
      </c>
      <c r="P21">
        <v>30000000</v>
      </c>
      <c r="Q21" s="8">
        <f t="shared" si="19"/>
        <v>110984491.29017793</v>
      </c>
      <c r="R21">
        <f>T21*$M$4</f>
        <v>14979187276.380323</v>
      </c>
      <c r="T21" s="63">
        <f t="shared" si="7"/>
        <v>299583745527.60645</v>
      </c>
      <c r="U21" s="63">
        <f t="shared" si="8"/>
        <v>314562932803.98676</v>
      </c>
      <c r="V21" s="63"/>
      <c r="W21" s="66">
        <f t="shared" si="9"/>
        <v>165244745914.37332</v>
      </c>
      <c r="X21" s="66">
        <f t="shared" si="10"/>
        <v>165214745914.37332</v>
      </c>
      <c r="Y21" s="63">
        <f t="shared" si="11"/>
        <v>149348186889.61343</v>
      </c>
      <c r="Z21" s="63"/>
      <c r="AA21" s="63">
        <f>Y21*(1-$M$5)</f>
        <v>134413368200.6521</v>
      </c>
      <c r="AB21" s="63">
        <f t="shared" si="12"/>
        <v>52913016059.539925</v>
      </c>
      <c r="AC21">
        <f t="shared" si="13"/>
        <v>1.2119489790441231E-111</v>
      </c>
    </row>
    <row r="22" spans="1:29" x14ac:dyDescent="0.3">
      <c r="A22">
        <v>9</v>
      </c>
      <c r="B22">
        <f t="shared" si="14"/>
        <v>104750407.11688288</v>
      </c>
      <c r="C22">
        <f t="shared" si="0"/>
        <v>10475040711.688288</v>
      </c>
      <c r="D22">
        <f t="shared" si="1"/>
        <v>11208293561.506468</v>
      </c>
      <c r="E22">
        <f t="shared" si="2"/>
        <v>11376417964.929064</v>
      </c>
      <c r="F22">
        <f t="shared" si="15"/>
        <v>2005842179.8615413</v>
      </c>
      <c r="G22" s="63">
        <f t="shared" si="3"/>
        <v>200584217986.15411</v>
      </c>
      <c r="H22" s="63">
        <f t="shared" si="4"/>
        <v>214625113245.18491</v>
      </c>
      <c r="I22" s="64">
        <f t="shared" si="5"/>
        <v>217844489943.86267</v>
      </c>
      <c r="J22" s="65">
        <f t="shared" si="16"/>
        <v>3753454543.7474947</v>
      </c>
      <c r="K22" s="66">
        <f t="shared" si="16"/>
        <v>119558978878.40779</v>
      </c>
      <c r="L22">
        <f t="shared" si="17"/>
        <v>1850009028.2292483</v>
      </c>
      <c r="M22" s="63">
        <f>L22*$M$6</f>
        <v>92500451411.462418</v>
      </c>
      <c r="N22" s="66">
        <f t="shared" si="6"/>
        <v>53280260013.00235</v>
      </c>
      <c r="O22" s="8">
        <f t="shared" si="18"/>
        <v>563246293.29765296</v>
      </c>
      <c r="P22">
        <v>30000000</v>
      </c>
      <c r="Q22" s="8">
        <f t="shared" si="19"/>
        <v>112649258.65953058</v>
      </c>
      <c r="R22">
        <f>T22*$M$4</f>
        <v>16086067966.012709</v>
      </c>
      <c r="T22" s="63">
        <f t="shared" si="7"/>
        <v>321721359320.25415</v>
      </c>
      <c r="U22" s="63">
        <f t="shared" si="8"/>
        <v>337807427286.26685</v>
      </c>
      <c r="V22" s="63"/>
      <c r="W22" s="66">
        <f t="shared" si="9"/>
        <v>177268588987.11481</v>
      </c>
      <c r="X22" s="66">
        <f t="shared" si="10"/>
        <v>177238588987.11481</v>
      </c>
      <c r="Y22" s="63">
        <f t="shared" si="11"/>
        <v>160568838299.15204</v>
      </c>
      <c r="Z22" s="63"/>
      <c r="AA22" s="63">
        <f>Y22*(1-$M$5)</f>
        <v>144511954469.23685</v>
      </c>
      <c r="AB22" s="63">
        <f t="shared" si="12"/>
        <v>50630688660.58168</v>
      </c>
      <c r="AC22">
        <f t="shared" si="13"/>
        <v>7.2331235273682267E-127</v>
      </c>
    </row>
    <row r="23" spans="1:29" x14ac:dyDescent="0.3">
      <c r="A23">
        <v>10</v>
      </c>
      <c r="B23">
        <f t="shared" si="14"/>
        <v>115225447.82857117</v>
      </c>
      <c r="C23">
        <f t="shared" si="0"/>
        <v>11522544782.857117</v>
      </c>
      <c r="D23">
        <f t="shared" si="1"/>
        <v>12329122917.657116</v>
      </c>
      <c r="E23">
        <f t="shared" si="2"/>
        <v>12514059761.421972</v>
      </c>
      <c r="F23">
        <f t="shared" si="15"/>
        <v>2146251132.4518492</v>
      </c>
      <c r="G23" s="63">
        <f t="shared" si="3"/>
        <v>214625113245.18494</v>
      </c>
      <c r="H23" s="63">
        <f t="shared" si="4"/>
        <v>229648871172.3479</v>
      </c>
      <c r="I23" s="64">
        <f t="shared" si="5"/>
        <v>233093604239.93311</v>
      </c>
      <c r="J23" s="65">
        <f t="shared" si="16"/>
        <v>4016196361.8098197</v>
      </c>
      <c r="K23" s="66">
        <f t="shared" si="16"/>
        <v>127928107399.89635</v>
      </c>
      <c r="L23">
        <f t="shared" si="17"/>
        <v>1998009750.4875882</v>
      </c>
      <c r="M23" s="63">
        <f>L23*$M$6</f>
        <v>99900487524.37941</v>
      </c>
      <c r="N23" s="66">
        <f t="shared" si="6"/>
        <v>57542680814.042542</v>
      </c>
      <c r="O23" s="8">
        <f t="shared" si="18"/>
        <v>571694987.69711769</v>
      </c>
      <c r="P23">
        <v>30000000</v>
      </c>
      <c r="Q23" s="8">
        <f t="shared" si="19"/>
        <v>114338997.53942353</v>
      </c>
      <c r="R23">
        <f>T23*$M$4</f>
        <v>17275407576.286724</v>
      </c>
      <c r="T23" s="63">
        <f t="shared" si="7"/>
        <v>345508151525.7345</v>
      </c>
      <c r="U23" s="63">
        <f t="shared" si="8"/>
        <v>362783559102.02124</v>
      </c>
      <c r="V23" s="63"/>
      <c r="W23" s="66">
        <f t="shared" si="9"/>
        <v>190173018560.98526</v>
      </c>
      <c r="X23" s="66">
        <f t="shared" si="10"/>
        <v>190143018560.98526</v>
      </c>
      <c r="Y23" s="63">
        <f t="shared" si="11"/>
        <v>172640540541.03598</v>
      </c>
      <c r="Z23" s="63"/>
      <c r="AA23" s="63">
        <f>Y23*(1-$M$5)</f>
        <v>155376486486.93237</v>
      </c>
      <c r="AB23" s="63">
        <f t="shared" si="12"/>
        <v>48449060853.377022</v>
      </c>
      <c r="AC23">
        <f t="shared" si="13"/>
        <v>4.3170555600384856E-142</v>
      </c>
    </row>
    <row r="24" spans="1:29" x14ac:dyDescent="0.3">
      <c r="A24">
        <v>11</v>
      </c>
      <c r="B24">
        <f t="shared" si="14"/>
        <v>126747992.61142829</v>
      </c>
      <c r="C24">
        <f t="shared" si="0"/>
        <v>12674799261.14283</v>
      </c>
      <c r="D24">
        <f t="shared" si="1"/>
        <v>13562035209.422829</v>
      </c>
      <c r="E24">
        <f t="shared" si="2"/>
        <v>13765465737.564169</v>
      </c>
      <c r="F24">
        <f t="shared" si="15"/>
        <v>2296488711.7234788</v>
      </c>
      <c r="G24" s="63">
        <f t="shared" si="3"/>
        <v>229648871172.34787</v>
      </c>
      <c r="H24" s="63">
        <f t="shared" si="4"/>
        <v>245724292154.41223</v>
      </c>
      <c r="I24" s="64">
        <f t="shared" si="5"/>
        <v>249410156536.72839</v>
      </c>
      <c r="J24" s="65">
        <f t="shared" si="16"/>
        <v>4297330107.136507</v>
      </c>
      <c r="K24" s="66">
        <f t="shared" si="16"/>
        <v>136883074917.8891</v>
      </c>
      <c r="L24">
        <f t="shared" si="17"/>
        <v>2157850530.5265956</v>
      </c>
      <c r="M24" s="63">
        <f>L24*$M$6</f>
        <v>107892526526.32977</v>
      </c>
      <c r="N24" s="66">
        <f t="shared" si="6"/>
        <v>62146095279.165955</v>
      </c>
      <c r="O24" s="8">
        <f t="shared" si="18"/>
        <v>580270412.51257443</v>
      </c>
      <c r="P24">
        <v>30000000</v>
      </c>
      <c r="Q24" s="8">
        <f t="shared" si="19"/>
        <v>116054082.50251487</v>
      </c>
      <c r="R24">
        <f>T24*$M$4</f>
        <v>18553407440.031116</v>
      </c>
      <c r="T24" s="63">
        <f t="shared" si="7"/>
        <v>371068148800.62231</v>
      </c>
      <c r="U24" s="63">
        <f t="shared" si="8"/>
        <v>389621556240.65344</v>
      </c>
      <c r="V24" s="63"/>
      <c r="W24" s="66">
        <f t="shared" si="9"/>
        <v>204022824799.20663</v>
      </c>
      <c r="X24" s="66">
        <f t="shared" si="10"/>
        <v>203992824799.20663</v>
      </c>
      <c r="Y24" s="63">
        <f t="shared" si="11"/>
        <v>185628731441.44681</v>
      </c>
      <c r="Z24" s="63"/>
      <c r="AA24" s="63">
        <f>Y24*(1-$M$5)</f>
        <v>167065858297.30212</v>
      </c>
      <c r="AB24" s="63">
        <f t="shared" si="12"/>
        <v>46363667149.244453</v>
      </c>
      <c r="AC24">
        <f t="shared" si="13"/>
        <v>2.5767381164232442E-157</v>
      </c>
    </row>
    <row r="25" spans="1:29" x14ac:dyDescent="0.3">
      <c r="A25">
        <v>12</v>
      </c>
      <c r="B25">
        <f t="shared" si="14"/>
        <v>139422791.87257114</v>
      </c>
      <c r="C25">
        <f t="shared" si="0"/>
        <v>13942279187.257114</v>
      </c>
      <c r="D25">
        <f t="shared" si="1"/>
        <v>14918238730.365114</v>
      </c>
      <c r="E25">
        <f t="shared" si="2"/>
        <v>15142012311.320589</v>
      </c>
      <c r="F25">
        <f t="shared" si="15"/>
        <v>2457242921.5441222</v>
      </c>
      <c r="G25" s="63">
        <f t="shared" si="3"/>
        <v>245724292154.41223</v>
      </c>
      <c r="H25" s="63">
        <f t="shared" si="4"/>
        <v>262924992605.2211</v>
      </c>
      <c r="I25" s="64">
        <f t="shared" si="5"/>
        <v>266868867494.29938</v>
      </c>
      <c r="J25" s="65">
        <f t="shared" si="16"/>
        <v>4598143214.6360626</v>
      </c>
      <c r="K25" s="66">
        <f t="shared" si="16"/>
        <v>146464890162.14136</v>
      </c>
      <c r="L25">
        <f t="shared" si="17"/>
        <v>2330478572.9687233</v>
      </c>
      <c r="M25" s="63">
        <f>L25*$M$6</f>
        <v>116523928648.43616</v>
      </c>
      <c r="N25" s="66">
        <f t="shared" si="6"/>
        <v>67117782901.499229</v>
      </c>
      <c r="O25" s="8">
        <f t="shared" si="18"/>
        <v>588974468.70026302</v>
      </c>
      <c r="P25">
        <v>30000000</v>
      </c>
      <c r="Q25" s="8">
        <f t="shared" si="19"/>
        <v>117794893.74005258</v>
      </c>
      <c r="R25">
        <f>T25*$M$4</f>
        <v>19926740422.702808</v>
      </c>
      <c r="T25" s="63">
        <f t="shared" si="7"/>
        <v>398534808454.05615</v>
      </c>
      <c r="U25" s="63">
        <f t="shared" si="8"/>
        <v>418461548876.75897</v>
      </c>
      <c r="V25" s="63"/>
      <c r="W25" s="66">
        <f t="shared" si="9"/>
        <v>218887585640.71695</v>
      </c>
      <c r="X25" s="66">
        <f t="shared" si="10"/>
        <v>218857585640.71695</v>
      </c>
      <c r="Y25" s="63">
        <f t="shared" si="11"/>
        <v>199603963236.04202</v>
      </c>
      <c r="Z25" s="63"/>
      <c r="AA25" s="63">
        <f>Y25*(1-$M$5)</f>
        <v>179643566912.43784</v>
      </c>
      <c r="AB25" s="63">
        <f t="shared" si="12"/>
        <v>44370237089.606216</v>
      </c>
      <c r="AC25">
        <f t="shared" si="13"/>
        <v>1.538064255655851E-172</v>
      </c>
    </row>
    <row r="26" spans="1:29" x14ac:dyDescent="0.3">
      <c r="A26">
        <v>13</v>
      </c>
      <c r="B26">
        <f t="shared" si="14"/>
        <v>153365071.05982828</v>
      </c>
      <c r="C26">
        <f t="shared" si="0"/>
        <v>15336507105.982828</v>
      </c>
      <c r="D26">
        <f t="shared" si="1"/>
        <v>16410062603.401627</v>
      </c>
      <c r="E26">
        <f t="shared" si="2"/>
        <v>16656213542.45265</v>
      </c>
      <c r="F26">
        <f t="shared" si="15"/>
        <v>2629249926.0522108</v>
      </c>
      <c r="G26" s="63">
        <f t="shared" si="3"/>
        <v>262924992605.22107</v>
      </c>
      <c r="H26" s="63">
        <f t="shared" si="4"/>
        <v>281329742087.58655</v>
      </c>
      <c r="I26" s="64">
        <f t="shared" si="5"/>
        <v>285549688218.90033</v>
      </c>
      <c r="J26" s="65">
        <f t="shared" si="16"/>
        <v>4920013239.6605873</v>
      </c>
      <c r="K26" s="66">
        <f t="shared" si="16"/>
        <v>156717432473.49127</v>
      </c>
      <c r="L26">
        <f t="shared" si="17"/>
        <v>2516916858.8062215</v>
      </c>
      <c r="M26" s="63">
        <f>L26*$M$6</f>
        <v>125845842940.31108</v>
      </c>
      <c r="N26" s="66">
        <f t="shared" si="6"/>
        <v>72487205533.619186</v>
      </c>
      <c r="O26" s="8">
        <f t="shared" si="18"/>
        <v>597809085.73076689</v>
      </c>
      <c r="P26">
        <v>30000000</v>
      </c>
      <c r="Q26" s="8">
        <f t="shared" si="19"/>
        <v>119561817.14615336</v>
      </c>
      <c r="R26">
        <f>T26*$M$4</f>
        <v>21402587235.083206</v>
      </c>
      <c r="T26" s="63">
        <f t="shared" si="7"/>
        <v>428051744701.66406</v>
      </c>
      <c r="U26" s="63">
        <f t="shared" si="8"/>
        <v>449454331936.74725</v>
      </c>
      <c r="V26" s="63"/>
      <c r="W26" s="66">
        <f t="shared" si="9"/>
        <v>234842022149.64798</v>
      </c>
      <c r="X26" s="66">
        <f t="shared" si="10"/>
        <v>234812022149.64798</v>
      </c>
      <c r="Y26" s="63">
        <f t="shared" si="11"/>
        <v>214642309787.09927</v>
      </c>
      <c r="Z26" s="63"/>
      <c r="AA26" s="63">
        <f>Y26*(1-$M$5)</f>
        <v>193178078808.38934</v>
      </c>
      <c r="AB26" s="63">
        <f t="shared" si="12"/>
        <v>42464687163.91304</v>
      </c>
      <c r="AC26">
        <f t="shared" si="13"/>
        <v>9.181230410393268E-188</v>
      </c>
    </row>
    <row r="27" spans="1:29" x14ac:dyDescent="0.3">
      <c r="A27">
        <v>14</v>
      </c>
      <c r="B27">
        <f t="shared" si="14"/>
        <v>168701578.16581112</v>
      </c>
      <c r="C27">
        <f t="shared" si="0"/>
        <v>16870157816.581112</v>
      </c>
      <c r="D27">
        <f t="shared" si="1"/>
        <v>18051068863.741791</v>
      </c>
      <c r="E27">
        <f t="shared" si="2"/>
        <v>18321834896.697914</v>
      </c>
      <c r="F27">
        <f t="shared" si="15"/>
        <v>2813297420.8758659</v>
      </c>
      <c r="G27" s="63">
        <f t="shared" si="3"/>
        <v>281329742087.58661</v>
      </c>
      <c r="H27" s="63">
        <f t="shared" si="4"/>
        <v>301022824033.71771</v>
      </c>
      <c r="I27" s="64">
        <f t="shared" si="5"/>
        <v>305538166394.22345</v>
      </c>
      <c r="J27" s="65">
        <f t="shared" si="16"/>
        <v>5264414166.4368286</v>
      </c>
      <c r="K27" s="66">
        <f t="shared" si="16"/>
        <v>167687652746.63568</v>
      </c>
      <c r="L27">
        <f t="shared" si="17"/>
        <v>2718270207.5107193</v>
      </c>
      <c r="M27" s="63">
        <f>L27*$M$6</f>
        <v>135913510375.53596</v>
      </c>
      <c r="N27" s="66">
        <f t="shared" si="6"/>
        <v>78286181976.308716</v>
      </c>
      <c r="O27" s="8">
        <f t="shared" si="18"/>
        <v>606776222.01672828</v>
      </c>
      <c r="P27">
        <v>30000000</v>
      </c>
      <c r="Q27" s="8">
        <f t="shared" si="19"/>
        <v>121355244.40334564</v>
      </c>
      <c r="R27">
        <f>T27*$M$4</f>
        <v>22988675583.322868</v>
      </c>
      <c r="T27" s="63">
        <f t="shared" si="7"/>
        <v>459773511666.45734</v>
      </c>
      <c r="U27" s="63">
        <f t="shared" si="8"/>
        <v>482762187249.78021</v>
      </c>
      <c r="V27" s="63"/>
      <c r="W27" s="66">
        <f t="shared" si="9"/>
        <v>251966380355.8013</v>
      </c>
      <c r="X27" s="66">
        <f t="shared" si="10"/>
        <v>251936380355.8013</v>
      </c>
      <c r="Y27" s="63">
        <f t="shared" si="11"/>
        <v>230825806893.97891</v>
      </c>
      <c r="Z27" s="63"/>
      <c r="AA27" s="63">
        <f>Y27*(1-$M$5)</f>
        <v>207743226204.58102</v>
      </c>
      <c r="AB27" s="63">
        <f t="shared" si="12"/>
        <v>40643113014.677292</v>
      </c>
      <c r="AC27">
        <f t="shared" si="13"/>
        <v>5.480878185921643E-203</v>
      </c>
    </row>
    <row r="28" spans="1:29" x14ac:dyDescent="0.3">
      <c r="A28">
        <v>15</v>
      </c>
      <c r="B28">
        <f t="shared" si="14"/>
        <v>185571735.98239225</v>
      </c>
      <c r="C28">
        <f t="shared" si="0"/>
        <v>18557173598.239223</v>
      </c>
      <c r="D28">
        <f t="shared" si="1"/>
        <v>19856175750.115971</v>
      </c>
      <c r="E28">
        <f t="shared" si="2"/>
        <v>20154018386.36771</v>
      </c>
      <c r="F28">
        <f t="shared" si="15"/>
        <v>3010228240.3371768</v>
      </c>
      <c r="G28" s="63">
        <f t="shared" si="3"/>
        <v>301022824033.71765</v>
      </c>
      <c r="H28" s="63">
        <f t="shared" si="4"/>
        <v>322094421716.07788</v>
      </c>
      <c r="I28" s="64">
        <f t="shared" si="5"/>
        <v>326925838041.81903</v>
      </c>
      <c r="J28" s="65">
        <f t="shared" si="16"/>
        <v>5632923158.0874071</v>
      </c>
      <c r="K28" s="66">
        <f t="shared" si="16"/>
        <v>179425788438.90018</v>
      </c>
      <c r="L28">
        <f t="shared" si="17"/>
        <v>2935731824.111577</v>
      </c>
      <c r="M28" s="63">
        <f>L28*$M$6</f>
        <v>146786591205.57886</v>
      </c>
      <c r="N28" s="66">
        <f t="shared" si="6"/>
        <v>84549076534.413422</v>
      </c>
      <c r="O28" s="8">
        <f t="shared" si="18"/>
        <v>615877865.34697914</v>
      </c>
      <c r="P28">
        <v>30000000</v>
      </c>
      <c r="Q28" s="8">
        <f t="shared" si="19"/>
        <v>123175573.06939581</v>
      </c>
      <c r="R28">
        <f>T28*$M$4</f>
        <v>24693322381.688282</v>
      </c>
      <c r="T28" s="63">
        <f t="shared" si="7"/>
        <v>493866447633.76563</v>
      </c>
      <c r="U28" s="63">
        <f t="shared" si="8"/>
        <v>518559770015.45392</v>
      </c>
      <c r="V28" s="63"/>
      <c r="W28" s="66">
        <f t="shared" si="9"/>
        <v>270346841569.81738</v>
      </c>
      <c r="X28" s="66">
        <f t="shared" si="10"/>
        <v>270316841569.81738</v>
      </c>
      <c r="Y28" s="63">
        <f t="shared" si="11"/>
        <v>248242928445.63654</v>
      </c>
      <c r="Z28" s="63"/>
      <c r="AA28" s="63">
        <f>Y28*(1-$M$5)</f>
        <v>223418635601.07288</v>
      </c>
      <c r="AB28" s="63">
        <f t="shared" si="12"/>
        <v>38901781924.603928</v>
      </c>
      <c r="AC28">
        <f t="shared" si="13"/>
        <v>3.2720724216390429E-218</v>
      </c>
    </row>
    <row r="29" spans="1:29" x14ac:dyDescent="0.3">
      <c r="A29">
        <v>16</v>
      </c>
      <c r="B29">
        <f t="shared" si="14"/>
        <v>204128909.58063149</v>
      </c>
      <c r="C29">
        <f t="shared" si="0"/>
        <v>20412890958.063148</v>
      </c>
      <c r="D29">
        <f t="shared" si="1"/>
        <v>21841793325.127571</v>
      </c>
      <c r="E29">
        <f t="shared" si="2"/>
        <v>22169420225.004482</v>
      </c>
      <c r="F29">
        <f t="shared" si="15"/>
        <v>3220944217.1607795</v>
      </c>
      <c r="G29" s="63">
        <f t="shared" si="3"/>
        <v>322094421716.07794</v>
      </c>
      <c r="H29" s="63">
        <f t="shared" si="4"/>
        <v>344641031236.20343</v>
      </c>
      <c r="I29" s="64">
        <f t="shared" si="5"/>
        <v>349810646704.74646</v>
      </c>
      <c r="J29" s="65">
        <f t="shared" si="16"/>
        <v>6027227779.1535263</v>
      </c>
      <c r="K29" s="66">
        <f t="shared" si="16"/>
        <v>191985593629.6232</v>
      </c>
      <c r="L29">
        <f t="shared" si="17"/>
        <v>3170590370.0405035</v>
      </c>
      <c r="M29" s="63">
        <f>L29*$M$6</f>
        <v>158529518502.02518</v>
      </c>
      <c r="N29" s="66">
        <f t="shared" si="6"/>
        <v>91313002657.166504</v>
      </c>
      <c r="O29" s="8">
        <f t="shared" si="18"/>
        <v>625116033.32718372</v>
      </c>
      <c r="P29">
        <v>30000000</v>
      </c>
      <c r="Q29" s="8">
        <f t="shared" si="19"/>
        <v>125023206.66543673</v>
      </c>
      <c r="R29">
        <f>T29*$M$4</f>
        <v>26525479271.588806</v>
      </c>
      <c r="T29" s="63">
        <f t="shared" si="7"/>
        <v>530509585431.77612</v>
      </c>
      <c r="U29" s="63">
        <f t="shared" si="8"/>
        <v>557035064703.36499</v>
      </c>
      <c r="V29" s="63"/>
      <c r="W29" s="66">
        <f t="shared" si="9"/>
        <v>290075963305.93591</v>
      </c>
      <c r="X29" s="66">
        <f t="shared" si="10"/>
        <v>290045963305.93591</v>
      </c>
      <c r="Y29" s="63">
        <f t="shared" si="11"/>
        <v>266989101397.42908</v>
      </c>
      <c r="Z29" s="63"/>
      <c r="AA29" s="63">
        <f>Y29*(1-$M$5)</f>
        <v>240290191257.68619</v>
      </c>
      <c r="AB29" s="63">
        <f t="shared" si="12"/>
        <v>37237125580.252441</v>
      </c>
      <c r="AC29">
        <f t="shared" si="13"/>
        <v>1.9535286704232819E-233</v>
      </c>
    </row>
    <row r="30" spans="1:29" x14ac:dyDescent="0.3">
      <c r="A30">
        <v>17</v>
      </c>
      <c r="B30">
        <f t="shared" si="14"/>
        <v>224541800.53869465</v>
      </c>
      <c r="C30">
        <f t="shared" si="0"/>
        <v>22454180053.869465</v>
      </c>
      <c r="D30">
        <f t="shared" si="1"/>
        <v>24025972657.640327</v>
      </c>
      <c r="E30">
        <f t="shared" si="2"/>
        <v>24386362247.504929</v>
      </c>
      <c r="F30">
        <f t="shared" si="15"/>
        <v>3446410312.3620343</v>
      </c>
      <c r="G30" s="63">
        <f t="shared" si="3"/>
        <v>344641031236.20343</v>
      </c>
      <c r="H30" s="63">
        <f t="shared" si="4"/>
        <v>368765903422.73767</v>
      </c>
      <c r="I30" s="64">
        <f t="shared" si="5"/>
        <v>374297391974.07867</v>
      </c>
      <c r="J30" s="65">
        <f t="shared" si="16"/>
        <v>6449133723.6942739</v>
      </c>
      <c r="K30" s="66">
        <f t="shared" si="16"/>
        <v>205424585183.69684</v>
      </c>
      <c r="L30">
        <f t="shared" si="17"/>
        <v>3424237599.643744</v>
      </c>
      <c r="M30" s="63">
        <f>L30*$M$6</f>
        <v>171211879982.18719</v>
      </c>
      <c r="N30" s="66">
        <f t="shared" si="6"/>
        <v>98618042869.739822</v>
      </c>
      <c r="O30" s="8">
        <f t="shared" si="18"/>
        <v>634492773.82709146</v>
      </c>
      <c r="P30">
        <v>30000000</v>
      </c>
      <c r="Q30" s="8">
        <f t="shared" si="19"/>
        <v>126898554.76541826</v>
      </c>
      <c r="R30">
        <f>T30*$M$4</f>
        <v>28494781710.188538</v>
      </c>
      <c r="T30" s="63">
        <f t="shared" si="7"/>
        <v>569895634203.77075</v>
      </c>
      <c r="U30" s="63">
        <f t="shared" si="8"/>
        <v>598390415913.95923</v>
      </c>
      <c r="V30" s="63"/>
      <c r="W30" s="66">
        <f t="shared" si="9"/>
        <v>311253153105.72345</v>
      </c>
      <c r="X30" s="66">
        <f t="shared" si="10"/>
        <v>311223153105.72345</v>
      </c>
      <c r="Y30" s="63">
        <f t="shared" si="11"/>
        <v>287167262808.23578</v>
      </c>
      <c r="Z30" s="63"/>
      <c r="AA30" s="63">
        <f>Y30*(1-$M$5)</f>
        <v>258450536527.4122</v>
      </c>
      <c r="AB30" s="63">
        <f t="shared" si="12"/>
        <v>35645733106.202492</v>
      </c>
      <c r="AC30">
        <f t="shared" si="13"/>
        <v>1.1663836374463304E-248</v>
      </c>
    </row>
    <row r="31" spans="1:29" x14ac:dyDescent="0.3">
      <c r="A31">
        <v>18</v>
      </c>
      <c r="B31">
        <f t="shared" si="14"/>
        <v>246995980.59256414</v>
      </c>
      <c r="C31">
        <f t="shared" si="0"/>
        <v>24699598059.256413</v>
      </c>
      <c r="D31">
        <f t="shared" si="1"/>
        <v>26428569923.404362</v>
      </c>
      <c r="E31">
        <f t="shared" si="2"/>
        <v>26824998472.255424</v>
      </c>
      <c r="F31">
        <f t="shared" si="15"/>
        <v>3687659034.2273769</v>
      </c>
      <c r="G31" s="63">
        <f t="shared" si="3"/>
        <v>368765903422.73767</v>
      </c>
      <c r="H31" s="63">
        <f t="shared" si="4"/>
        <v>394579516662.32935</v>
      </c>
      <c r="I31" s="64">
        <f t="shared" si="5"/>
        <v>400498209412.26422</v>
      </c>
      <c r="J31" s="65">
        <f t="shared" si="16"/>
        <v>6900573084.3528738</v>
      </c>
      <c r="K31" s="66">
        <f t="shared" si="16"/>
        <v>219804306146.55563</v>
      </c>
      <c r="L31">
        <f t="shared" si="17"/>
        <v>3698176607.6152439</v>
      </c>
      <c r="M31" s="63">
        <f>L31*$M$6</f>
        <v>184908830380.76221</v>
      </c>
      <c r="N31" s="66">
        <f t="shared" si="6"/>
        <v>106507486299.31903</v>
      </c>
      <c r="O31" s="8">
        <f t="shared" si="18"/>
        <v>644010165.43449771</v>
      </c>
      <c r="P31">
        <v>30000000</v>
      </c>
      <c r="Q31" s="8">
        <f t="shared" si="19"/>
        <v>128802033.08689952</v>
      </c>
      <c r="R31">
        <f>T31*$M$4</f>
        <v>30611601913.264095</v>
      </c>
      <c r="T31" s="63">
        <f t="shared" si="7"/>
        <v>612232038265.28186</v>
      </c>
      <c r="U31" s="63">
        <f t="shared" si="8"/>
        <v>642843640178.5459</v>
      </c>
      <c r="V31" s="63"/>
      <c r="W31" s="66">
        <f t="shared" si="9"/>
        <v>333985177728.74896</v>
      </c>
      <c r="X31" s="66">
        <f t="shared" si="10"/>
        <v>333955177728.74896</v>
      </c>
      <c r="Y31" s="63">
        <f t="shared" si="11"/>
        <v>308888462449.79694</v>
      </c>
      <c r="Z31" s="63"/>
      <c r="AA31" s="63">
        <f>Y31*(1-$M$5)</f>
        <v>277999616204.81726</v>
      </c>
      <c r="AB31" s="63">
        <f t="shared" si="12"/>
        <v>34124344363.329338</v>
      </c>
      <c r="AC31">
        <f t="shared" si="13"/>
        <v>6.9644754361541554E-264</v>
      </c>
    </row>
    <row r="32" spans="1:29" x14ac:dyDescent="0.3">
      <c r="A32">
        <v>19</v>
      </c>
      <c r="B32">
        <f t="shared" si="14"/>
        <v>271695578.6518206</v>
      </c>
      <c r="C32">
        <f t="shared" si="0"/>
        <v>27169557865.18206</v>
      </c>
      <c r="D32">
        <f t="shared" si="1"/>
        <v>29071426915.744804</v>
      </c>
      <c r="E32">
        <f t="shared" si="2"/>
        <v>29507498319.480972</v>
      </c>
      <c r="F32">
        <f t="shared" si="15"/>
        <v>3945795166.6232934</v>
      </c>
      <c r="G32" s="63">
        <f t="shared" si="3"/>
        <v>394579516662.32935</v>
      </c>
      <c r="H32" s="63">
        <f t="shared" si="4"/>
        <v>422200082828.69244</v>
      </c>
      <c r="I32" s="64">
        <f t="shared" si="5"/>
        <v>428533084071.1228</v>
      </c>
      <c r="J32" s="65">
        <f t="shared" ref="J32:K33" si="20">J31*(1+$F$9)</f>
        <v>7383613200.257575</v>
      </c>
      <c r="K32" s="66">
        <f t="shared" si="20"/>
        <v>235190607576.81454</v>
      </c>
      <c r="L32">
        <f t="shared" si="17"/>
        <v>3994030736.2244635</v>
      </c>
      <c r="M32" s="63">
        <f>L32*$M$6</f>
        <v>199701536811.22318</v>
      </c>
      <c r="N32" s="66">
        <f t="shared" si="6"/>
        <v>115028085203.26456</v>
      </c>
      <c r="O32" s="8">
        <f t="shared" si="18"/>
        <v>653670317.91601515</v>
      </c>
      <c r="P32">
        <v>30000000</v>
      </c>
      <c r="Q32" s="8">
        <f t="shared" si="19"/>
        <v>130734063.583203</v>
      </c>
      <c r="R32">
        <f>T32*$M$4</f>
        <v>32887105960.091347</v>
      </c>
      <c r="T32" s="63">
        <f t="shared" si="7"/>
        <v>657742119201.8269</v>
      </c>
      <c r="U32" s="63">
        <f t="shared" si="8"/>
        <v>690629225161.91821</v>
      </c>
      <c r="V32" s="63"/>
      <c r="W32" s="66">
        <f t="shared" si="9"/>
        <v>358386710361.83588</v>
      </c>
      <c r="X32" s="66">
        <f t="shared" si="10"/>
        <v>358356710361.83588</v>
      </c>
      <c r="Y32" s="63">
        <f t="shared" si="11"/>
        <v>332272514800.08234</v>
      </c>
      <c r="Z32" s="63"/>
      <c r="AA32" s="63">
        <f>Y32*(1-$M$5)</f>
        <v>299045263320.0741</v>
      </c>
      <c r="AB32" s="63">
        <f t="shared" si="12"/>
        <v>32669843504.5037</v>
      </c>
      <c r="AC32">
        <f t="shared" si="13"/>
        <v>4.158736237024371E-279</v>
      </c>
    </row>
    <row r="33" spans="1:29" x14ac:dyDescent="0.3">
      <c r="A33">
        <v>20</v>
      </c>
      <c r="B33">
        <f t="shared" si="14"/>
        <v>298865136.5170027</v>
      </c>
      <c r="C33">
        <f t="shared" si="0"/>
        <v>29886513651.700272</v>
      </c>
      <c r="D33">
        <f t="shared" si="1"/>
        <v>31978569607.319294</v>
      </c>
      <c r="E33">
        <f t="shared" si="2"/>
        <v>32458248151.429081</v>
      </c>
      <c r="F33">
        <f t="shared" si="15"/>
        <v>4222000828.2869244</v>
      </c>
      <c r="G33" s="63">
        <f t="shared" si="3"/>
        <v>422200082828.69244</v>
      </c>
      <c r="H33" s="63">
        <f t="shared" si="4"/>
        <v>451754088626.70093</v>
      </c>
      <c r="I33" s="64">
        <f t="shared" si="5"/>
        <v>458530399956.10138</v>
      </c>
      <c r="J33" s="65">
        <f t="shared" si="20"/>
        <v>7900466124.2756062</v>
      </c>
      <c r="K33" s="66">
        <f t="shared" si="20"/>
        <v>251653950107.19159</v>
      </c>
      <c r="L33">
        <f t="shared" si="17"/>
        <v>4313553195.1224213</v>
      </c>
      <c r="M33" s="63">
        <f>L33*$M$6</f>
        <v>215677659756.12106</v>
      </c>
      <c r="N33" s="66">
        <f t="shared" si="6"/>
        <v>124230332019.52574</v>
      </c>
      <c r="O33" s="8">
        <f t="shared" si="18"/>
        <v>663475372.68475533</v>
      </c>
      <c r="P33">
        <v>30000000</v>
      </c>
      <c r="Q33" s="8">
        <f t="shared" si="19"/>
        <v>132695074.53695104</v>
      </c>
      <c r="R33">
        <f>T33*$M$4</f>
        <v>35333315393.182579</v>
      </c>
      <c r="T33" s="63">
        <f t="shared" si="7"/>
        <v>706666307863.65149</v>
      </c>
      <c r="U33" s="63">
        <f t="shared" si="8"/>
        <v>741999623256.83411</v>
      </c>
      <c r="V33" s="63"/>
      <c r="W33" s="66">
        <f t="shared" si="9"/>
        <v>384580918698.2146</v>
      </c>
      <c r="X33" s="66">
        <f t="shared" si="10"/>
        <v>384550918698.2146</v>
      </c>
      <c r="Y33" s="63">
        <f t="shared" si="11"/>
        <v>357448704558.61951</v>
      </c>
      <c r="Z33" s="63"/>
      <c r="AA33" s="63">
        <f>Y33*(1-$M$5)</f>
        <v>321703834102.75757</v>
      </c>
      <c r="AB33" s="63">
        <f t="shared" si="12"/>
        <v>31279252780.811584</v>
      </c>
      <c r="AC33">
        <f t="shared" si="13"/>
        <v>2.4834814463372525E-294</v>
      </c>
    </row>
    <row r="34" spans="1:29" x14ac:dyDescent="0.3">
      <c r="AA34" s="63"/>
    </row>
    <row r="37" spans="1:29" ht="43.2" x14ac:dyDescent="0.3">
      <c r="A37" s="7" t="s">
        <v>102</v>
      </c>
      <c r="B37" s="63">
        <f>SUM(AB14:AB33)</f>
        <v>979483424854.96265</v>
      </c>
    </row>
    <row r="38" spans="1:29" ht="43.2" x14ac:dyDescent="0.3">
      <c r="A38" s="7" t="s">
        <v>103</v>
      </c>
      <c r="B38" s="63">
        <f>SUM(AC14:AC33)</f>
        <v>4.4988332222082625E-5</v>
      </c>
    </row>
    <row r="39" spans="1:29" x14ac:dyDescent="0.3">
      <c r="A39" t="s">
        <v>104</v>
      </c>
      <c r="B39" s="5">
        <v>0.99999999999999944</v>
      </c>
    </row>
  </sheetData>
  <mergeCells count="1"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32785-AD94-4065-8C8B-44D5AAABF720}">
  <dimension ref="A1:D15"/>
  <sheetViews>
    <sheetView zoomScale="60" zoomScaleNormal="60" workbookViewId="0">
      <selection activeCell="A3" sqref="A3:D15"/>
    </sheetView>
  </sheetViews>
  <sheetFormatPr defaultRowHeight="14.4" x14ac:dyDescent="0.3"/>
  <cols>
    <col min="1" max="1" width="21.33203125" customWidth="1"/>
    <col min="2" max="2" width="18.5546875" customWidth="1"/>
    <col min="3" max="3" width="22.44140625" customWidth="1"/>
    <col min="4" max="4" width="19.6640625" customWidth="1"/>
  </cols>
  <sheetData>
    <row r="1" spans="1:4" x14ac:dyDescent="0.3">
      <c r="A1" t="s">
        <v>25</v>
      </c>
    </row>
    <row r="2" spans="1:4" x14ac:dyDescent="0.3">
      <c r="A2" t="s">
        <v>26</v>
      </c>
    </row>
    <row r="3" spans="1:4" x14ac:dyDescent="0.3">
      <c r="A3" s="6" t="s">
        <v>20</v>
      </c>
      <c r="B3" s="6"/>
      <c r="C3" s="6" t="s">
        <v>21</v>
      </c>
      <c r="D3" s="6"/>
    </row>
    <row r="4" spans="1:4" x14ac:dyDescent="0.3">
      <c r="A4" s="2" t="s">
        <v>9</v>
      </c>
      <c r="B4" s="2" t="s">
        <v>10</v>
      </c>
      <c r="C4" s="2" t="s">
        <v>9</v>
      </c>
      <c r="D4" s="2" t="s">
        <v>10</v>
      </c>
    </row>
    <row r="5" spans="1:4" x14ac:dyDescent="0.3">
      <c r="A5" s="1">
        <v>4500000000</v>
      </c>
      <c r="B5" s="1">
        <v>3000000000</v>
      </c>
      <c r="C5" s="1">
        <v>4500000000</v>
      </c>
      <c r="D5" s="1">
        <v>30000000</v>
      </c>
    </row>
    <row r="6" spans="1:4" x14ac:dyDescent="0.3">
      <c r="A6" s="1">
        <v>4725000000</v>
      </c>
      <c r="B6" s="1">
        <v>3300000000.0000005</v>
      </c>
      <c r="C6" s="3">
        <v>4795875000</v>
      </c>
      <c r="D6" s="3">
        <v>3349500000.0000005</v>
      </c>
    </row>
    <row r="7" spans="1:4" x14ac:dyDescent="0.3">
      <c r="A7" s="1">
        <v>4961250000</v>
      </c>
      <c r="B7" s="1">
        <v>3630000000.000001</v>
      </c>
      <c r="C7" s="3">
        <v>5035668750</v>
      </c>
      <c r="D7" s="3">
        <v>3684450000.000001</v>
      </c>
    </row>
    <row r="8" spans="1:4" x14ac:dyDescent="0.3">
      <c r="A8" s="1">
        <v>5209312500</v>
      </c>
      <c r="B8" s="1">
        <v>3993000000.0000014</v>
      </c>
      <c r="C8" s="3">
        <v>5287452187.5</v>
      </c>
      <c r="D8" s="3">
        <v>4052895000.0000014</v>
      </c>
    </row>
    <row r="9" spans="1:4" x14ac:dyDescent="0.3">
      <c r="A9" s="1">
        <v>5469778125</v>
      </c>
      <c r="B9" s="1">
        <v>4392300000.0000019</v>
      </c>
      <c r="C9" s="3">
        <v>5551824796.875</v>
      </c>
      <c r="D9" s="3">
        <v>4458184500.0000019</v>
      </c>
    </row>
    <row r="10" spans="1:4" x14ac:dyDescent="0.3">
      <c r="A10" s="1">
        <v>5743267031.25</v>
      </c>
      <c r="B10" s="1">
        <v>4831530000.0000029</v>
      </c>
      <c r="C10" s="3">
        <v>5829416036.71875</v>
      </c>
      <c r="D10" s="3">
        <v>4904002950.0000029</v>
      </c>
    </row>
    <row r="11" spans="1:4" x14ac:dyDescent="0.3">
      <c r="A11" s="1">
        <v>6030430382.8125</v>
      </c>
      <c r="B11" s="1">
        <v>5314683000.0000038</v>
      </c>
      <c r="C11" s="3">
        <v>6120886838.5546875</v>
      </c>
      <c r="D11" s="3">
        <v>5394403245.0000038</v>
      </c>
    </row>
    <row r="12" spans="1:4" x14ac:dyDescent="0.3">
      <c r="A12" s="1">
        <v>6331951901.953125</v>
      </c>
      <c r="B12" s="1">
        <v>5846151300.0000048</v>
      </c>
      <c r="C12" s="3">
        <v>6426931180.4824219</v>
      </c>
      <c r="D12" s="3">
        <v>5933843569.5000048</v>
      </c>
    </row>
    <row r="13" spans="1:4" x14ac:dyDescent="0.3">
      <c r="A13" s="1">
        <v>6648549497.0507813</v>
      </c>
      <c r="B13" s="1">
        <v>6430766430.0000057</v>
      </c>
      <c r="C13" s="3">
        <v>6748277739.5065432</v>
      </c>
      <c r="D13" s="3">
        <v>6527227926.4500055</v>
      </c>
    </row>
    <row r="14" spans="1:4" x14ac:dyDescent="0.3">
      <c r="A14" s="1">
        <v>6980976971.9033213</v>
      </c>
      <c r="B14" s="1">
        <v>7073843073.0000067</v>
      </c>
      <c r="C14" s="3">
        <v>7085691626.4818707</v>
      </c>
      <c r="D14" s="3">
        <v>7179950719.0950069</v>
      </c>
    </row>
    <row r="15" spans="1:4" x14ac:dyDescent="0.3">
      <c r="A15" s="1">
        <v>7330025820.4984875</v>
      </c>
      <c r="B15" s="1">
        <v>7781227380.3000078</v>
      </c>
      <c r="C15" s="3">
        <v>7439976207.8059645</v>
      </c>
      <c r="D15" s="3">
        <v>7897945791.004508</v>
      </c>
    </row>
  </sheetData>
  <mergeCells count="2">
    <mergeCell ref="A3:B3"/>
    <mergeCell ref="C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q1</vt:lpstr>
      <vt:lpstr>q2</vt:lpstr>
      <vt:lpstr>q3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Khushi</dc:creator>
  <cp:lastModifiedBy>Khushi</cp:lastModifiedBy>
  <dcterms:created xsi:type="dcterms:W3CDTF">2022-02-17T15:29:29Z</dcterms:created>
  <dcterms:modified xsi:type="dcterms:W3CDTF">2022-02-20T18:35:38Z</dcterms:modified>
</cp:coreProperties>
</file>