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ocuments\"/>
    </mc:Choice>
  </mc:AlternateContent>
  <xr:revisionPtr revIDLastSave="0" documentId="13_ncr:1_{DBB4123F-69FC-483A-9D2D-0A36B4A2426E}" xr6:coauthVersionLast="47" xr6:coauthVersionMax="47" xr10:uidLastSave="{00000000-0000-0000-0000-000000000000}"/>
  <bookViews>
    <workbookView xWindow="-110" yWindow="-110" windowWidth="19420" windowHeight="10300" tabRatio="831" activeTab="1" xr2:uid="{B3AFFC3B-738D-45E9-B2CC-0F105DDE3E9D}"/>
  </bookViews>
  <sheets>
    <sheet name="Jeet(36)" sheetId="8" r:id="rId1"/>
    <sheet name="Devanshu(37)" sheetId="10" r:id="rId2"/>
    <sheet name="Devanshu(37)2" sheetId="11" r:id="rId3"/>
    <sheet name="Drishti(38)" sheetId="6" r:id="rId4"/>
    <sheet name="Drishti(38)2" sheetId="7" r:id="rId5"/>
    <sheet name="Mitali(39)" sheetId="3" r:id="rId6"/>
    <sheet name="Mitali(39)2" sheetId="4" r:id="rId7"/>
    <sheet name="Mitali(39)3" sheetId="5" r:id="rId8"/>
    <sheet name="Avani(40)" sheetId="1" r:id="rId9"/>
    <sheet name="Avani(40)2" sheetId="2" r:id="rId10"/>
  </sheets>
  <externalReferences>
    <externalReference r:id="rId11"/>
    <externalReference r:id="rId12"/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6" i="10" l="1"/>
  <c r="M16" i="10"/>
  <c r="J16" i="10"/>
  <c r="H16" i="10"/>
  <c r="F16" i="10"/>
  <c r="O15" i="10"/>
  <c r="M15" i="10"/>
  <c r="J15" i="10"/>
  <c r="H15" i="10"/>
  <c r="F15" i="10"/>
  <c r="O14" i="10"/>
  <c r="M14" i="10"/>
  <c r="J14" i="10"/>
  <c r="H14" i="10"/>
  <c r="F14" i="10"/>
  <c r="O13" i="10"/>
  <c r="M13" i="10"/>
  <c r="J13" i="10"/>
  <c r="H13" i="10"/>
  <c r="F13" i="10"/>
  <c r="O12" i="10"/>
  <c r="M12" i="10"/>
  <c r="J12" i="10"/>
  <c r="H12" i="10"/>
  <c r="F12" i="10"/>
  <c r="O11" i="10"/>
  <c r="M11" i="10"/>
  <c r="J11" i="10"/>
  <c r="H11" i="10"/>
  <c r="F11" i="10"/>
  <c r="O10" i="10"/>
  <c r="M10" i="10"/>
  <c r="J10" i="10"/>
  <c r="H10" i="10"/>
  <c r="F10" i="10"/>
  <c r="O9" i="10"/>
  <c r="M9" i="10"/>
  <c r="J9" i="10"/>
  <c r="H9" i="10"/>
  <c r="F9" i="10"/>
  <c r="O8" i="10"/>
  <c r="M8" i="10"/>
  <c r="J8" i="10"/>
  <c r="H8" i="10"/>
  <c r="F8" i="10"/>
  <c r="O7" i="10"/>
  <c r="M7" i="10"/>
  <c r="J7" i="10"/>
  <c r="H7" i="10"/>
  <c r="F7" i="10"/>
  <c r="L16" i="6"/>
  <c r="K16" i="6"/>
  <c r="J16" i="6"/>
  <c r="F16" i="6"/>
  <c r="E16" i="6"/>
  <c r="D16" i="6"/>
  <c r="C16" i="6"/>
  <c r="B16" i="6"/>
  <c r="L15" i="6"/>
  <c r="K15" i="6"/>
  <c r="J15" i="6"/>
  <c r="F15" i="6"/>
  <c r="E15" i="6"/>
  <c r="D15" i="6"/>
  <c r="C15" i="6"/>
  <c r="B15" i="6"/>
  <c r="L14" i="6"/>
  <c r="K14" i="6"/>
  <c r="J14" i="6"/>
  <c r="F14" i="6"/>
  <c r="E14" i="6"/>
  <c r="D14" i="6"/>
  <c r="C14" i="6"/>
  <c r="B14" i="6"/>
  <c r="L13" i="6"/>
  <c r="K13" i="6"/>
  <c r="J13" i="6"/>
  <c r="F13" i="6"/>
  <c r="E13" i="6"/>
  <c r="D13" i="6"/>
  <c r="C13" i="6"/>
  <c r="B13" i="6"/>
  <c r="L12" i="6"/>
  <c r="K12" i="6"/>
  <c r="J12" i="6"/>
  <c r="F12" i="6"/>
  <c r="E12" i="6"/>
  <c r="D12" i="6"/>
  <c r="C12" i="6"/>
  <c r="B12" i="6"/>
  <c r="L11" i="6"/>
  <c r="K11" i="6"/>
  <c r="J11" i="6"/>
  <c r="F11" i="6"/>
  <c r="E11" i="6"/>
  <c r="D11" i="6"/>
  <c r="C11" i="6"/>
  <c r="B11" i="6"/>
  <c r="L10" i="6"/>
  <c r="K10" i="6"/>
  <c r="J10" i="6"/>
  <c r="F10" i="6"/>
  <c r="E10" i="6"/>
  <c r="D10" i="6"/>
  <c r="C10" i="6"/>
  <c r="B10" i="6"/>
  <c r="L9" i="6"/>
  <c r="K9" i="6"/>
  <c r="J9" i="6"/>
  <c r="F9" i="6"/>
  <c r="E9" i="6"/>
  <c r="D9" i="6"/>
  <c r="C9" i="6"/>
  <c r="B9" i="6"/>
  <c r="L8" i="6"/>
  <c r="K8" i="6"/>
  <c r="J8" i="6"/>
  <c r="F8" i="6"/>
  <c r="E8" i="6"/>
  <c r="D8" i="6"/>
  <c r="C8" i="6"/>
  <c r="B8" i="6"/>
  <c r="L7" i="6"/>
  <c r="K7" i="6"/>
  <c r="J7" i="6"/>
  <c r="F7" i="6"/>
  <c r="E7" i="6"/>
  <c r="D7" i="6"/>
  <c r="C7" i="6"/>
  <c r="B7" i="6"/>
  <c r="J32" i="5" l="1"/>
  <c r="I32" i="5"/>
  <c r="H32" i="5"/>
  <c r="G32" i="5"/>
  <c r="F32" i="5"/>
  <c r="E32" i="5"/>
  <c r="D32" i="5"/>
  <c r="C32" i="5"/>
  <c r="B32" i="5"/>
  <c r="K31" i="5"/>
  <c r="J31" i="5"/>
  <c r="I31" i="5"/>
  <c r="F31" i="5"/>
  <c r="E31" i="5"/>
  <c r="D31" i="5"/>
  <c r="C31" i="5"/>
  <c r="B31" i="5"/>
  <c r="J30" i="5"/>
  <c r="I30" i="5"/>
  <c r="F30" i="5"/>
  <c r="E30" i="5"/>
  <c r="D30" i="5"/>
  <c r="C30" i="5"/>
  <c r="B30" i="5"/>
  <c r="L29" i="5"/>
  <c r="K29" i="5"/>
  <c r="J29" i="5"/>
  <c r="I29" i="5"/>
  <c r="H29" i="5"/>
  <c r="F29" i="5"/>
  <c r="E29" i="5"/>
  <c r="D29" i="5"/>
  <c r="C29" i="5"/>
  <c r="B29" i="5"/>
  <c r="L28" i="5"/>
  <c r="J28" i="5"/>
  <c r="I28" i="5"/>
  <c r="F28" i="5"/>
  <c r="E28" i="5"/>
  <c r="D28" i="5"/>
  <c r="C28" i="5"/>
  <c r="B28" i="5"/>
  <c r="J27" i="5"/>
  <c r="I27" i="5"/>
  <c r="F27" i="5"/>
  <c r="E27" i="5"/>
  <c r="D27" i="5"/>
  <c r="C27" i="5"/>
  <c r="B27" i="5"/>
  <c r="L26" i="5"/>
  <c r="J26" i="5"/>
  <c r="I26" i="5"/>
  <c r="H26" i="5"/>
  <c r="G26" i="5"/>
  <c r="F26" i="5"/>
  <c r="E26" i="5"/>
  <c r="D26" i="5"/>
  <c r="C26" i="5"/>
  <c r="B26" i="5"/>
  <c r="J25" i="5"/>
  <c r="I25" i="5"/>
  <c r="H25" i="5"/>
  <c r="F25" i="5"/>
  <c r="E25" i="5"/>
  <c r="D25" i="5"/>
  <c r="C25" i="5"/>
  <c r="B25" i="5"/>
  <c r="J24" i="5"/>
  <c r="I24" i="5"/>
  <c r="H24" i="5"/>
  <c r="G24" i="5"/>
  <c r="F24" i="5"/>
  <c r="E24" i="5"/>
  <c r="D24" i="5"/>
  <c r="C24" i="5"/>
  <c r="B24" i="5"/>
  <c r="L23" i="5"/>
  <c r="K23" i="5"/>
  <c r="J23" i="5"/>
  <c r="I23" i="5"/>
  <c r="H23" i="5"/>
  <c r="F23" i="5"/>
  <c r="E23" i="5"/>
  <c r="D23" i="5"/>
  <c r="C23" i="5"/>
  <c r="B23" i="5"/>
  <c r="L22" i="5"/>
  <c r="J22" i="5"/>
  <c r="I22" i="5"/>
  <c r="F22" i="5"/>
  <c r="E22" i="5"/>
  <c r="D22" i="5"/>
  <c r="C22" i="5"/>
  <c r="B22" i="5"/>
  <c r="M21" i="5"/>
  <c r="J21" i="5"/>
  <c r="I21" i="5"/>
  <c r="H21" i="5"/>
  <c r="F21" i="5"/>
  <c r="E21" i="5"/>
  <c r="D21" i="5"/>
  <c r="C21" i="5"/>
  <c r="B21" i="5"/>
  <c r="T14" i="5"/>
  <c r="M32" i="5" s="1"/>
  <c r="S14" i="5"/>
  <c r="L32" i="5" s="1"/>
  <c r="K14" i="5"/>
  <c r="S13" i="5"/>
  <c r="K13" i="5"/>
  <c r="H31" i="5" s="1"/>
  <c r="S12" i="5"/>
  <c r="K30" i="5" s="1"/>
  <c r="K12" i="5"/>
  <c r="T12" i="5" s="1"/>
  <c r="M30" i="5" s="1"/>
  <c r="T11" i="5"/>
  <c r="M29" i="5" s="1"/>
  <c r="S11" i="5"/>
  <c r="K11" i="5"/>
  <c r="G29" i="5" s="1"/>
  <c r="S10" i="5"/>
  <c r="K28" i="5" s="1"/>
  <c r="K10" i="5"/>
  <c r="T10" i="5" s="1"/>
  <c r="M28" i="5" s="1"/>
  <c r="S9" i="5"/>
  <c r="K27" i="5" s="1"/>
  <c r="K9" i="5"/>
  <c r="G27" i="5" s="1"/>
  <c r="S8" i="5"/>
  <c r="K26" i="5" s="1"/>
  <c r="K8" i="5"/>
  <c r="T8" i="5" s="1"/>
  <c r="M26" i="5" s="1"/>
  <c r="S7" i="5"/>
  <c r="K25" i="5" s="1"/>
  <c r="K7" i="5"/>
  <c r="G25" i="5" s="1"/>
  <c r="T6" i="5"/>
  <c r="M24" i="5" s="1"/>
  <c r="S6" i="5"/>
  <c r="K24" i="5" s="1"/>
  <c r="K6" i="5"/>
  <c r="S5" i="5"/>
  <c r="K5" i="5"/>
  <c r="G23" i="5" s="1"/>
  <c r="S4" i="5"/>
  <c r="K22" i="5" s="1"/>
  <c r="K4" i="5"/>
  <c r="H22" i="5" s="1"/>
  <c r="S3" i="5"/>
  <c r="L21" i="5" s="1"/>
  <c r="K3" i="5"/>
  <c r="G21" i="5" s="1"/>
  <c r="L25" i="5" l="1"/>
  <c r="L27" i="5"/>
  <c r="H28" i="5"/>
  <c r="H30" i="5"/>
  <c r="H27" i="5"/>
  <c r="G22" i="5"/>
  <c r="G28" i="5"/>
  <c r="G30" i="5"/>
  <c r="T7" i="5"/>
  <c r="M25" i="5" s="1"/>
  <c r="K32" i="5"/>
  <c r="T5" i="5"/>
  <c r="M23" i="5" s="1"/>
  <c r="T13" i="5"/>
  <c r="M31" i="5" s="1"/>
  <c r="G31" i="5"/>
  <c r="L24" i="5"/>
  <c r="T9" i="5"/>
  <c r="M27" i="5" s="1"/>
  <c r="T4" i="5"/>
  <c r="M22" i="5" s="1"/>
  <c r="K21" i="5"/>
  <c r="L15" i="1" l="1"/>
  <c r="K15" i="1"/>
  <c r="J15" i="1"/>
  <c r="I15" i="1"/>
  <c r="G15" i="1"/>
  <c r="F15" i="1"/>
  <c r="E15" i="1"/>
  <c r="D15" i="1"/>
  <c r="C15" i="1"/>
  <c r="B15" i="1"/>
  <c r="L14" i="1"/>
  <c r="I14" i="1"/>
  <c r="G14" i="1"/>
  <c r="F14" i="1"/>
  <c r="E14" i="1"/>
  <c r="D14" i="1"/>
  <c r="C14" i="1"/>
  <c r="B14" i="1"/>
  <c r="L13" i="1"/>
  <c r="I13" i="1"/>
  <c r="G13" i="1"/>
  <c r="F13" i="1"/>
  <c r="E13" i="1"/>
  <c r="D13" i="1"/>
  <c r="C13" i="1"/>
  <c r="B13" i="1"/>
  <c r="L12" i="1"/>
  <c r="K12" i="1"/>
  <c r="J12" i="1"/>
  <c r="I12" i="1"/>
  <c r="G12" i="1"/>
  <c r="F12" i="1"/>
  <c r="E12" i="1"/>
  <c r="D12" i="1"/>
  <c r="C12" i="1"/>
  <c r="B12" i="1"/>
  <c r="L11" i="1"/>
  <c r="K11" i="1"/>
  <c r="J11" i="1"/>
  <c r="I11" i="1"/>
  <c r="G11" i="1"/>
  <c r="F11" i="1"/>
  <c r="E11" i="1"/>
  <c r="D11" i="1"/>
  <c r="C11" i="1"/>
  <c r="B11" i="1"/>
  <c r="L10" i="1"/>
  <c r="K10" i="1"/>
  <c r="J10" i="1"/>
  <c r="I10" i="1"/>
  <c r="G10" i="1"/>
  <c r="F10" i="1"/>
  <c r="E10" i="1"/>
  <c r="D10" i="1"/>
  <c r="C10" i="1"/>
  <c r="B10" i="1"/>
  <c r="L9" i="1"/>
  <c r="K9" i="1"/>
  <c r="J9" i="1"/>
  <c r="I9" i="1"/>
  <c r="G9" i="1"/>
  <c r="F9" i="1"/>
  <c r="E9" i="1"/>
  <c r="D9" i="1"/>
  <c r="C9" i="1"/>
  <c r="B9" i="1"/>
  <c r="L8" i="1"/>
  <c r="K8" i="1"/>
  <c r="J8" i="1"/>
  <c r="I8" i="1"/>
  <c r="G8" i="1"/>
  <c r="F8" i="1"/>
  <c r="E8" i="1"/>
  <c r="D8" i="1"/>
  <c r="C8" i="1"/>
  <c r="B8" i="1"/>
  <c r="L7" i="1"/>
  <c r="K7" i="1"/>
  <c r="J7" i="1"/>
  <c r="I7" i="1"/>
  <c r="G7" i="1"/>
  <c r="F7" i="1"/>
  <c r="E7" i="1"/>
  <c r="D7" i="1"/>
  <c r="C7" i="1"/>
  <c r="B7" i="1"/>
  <c r="L6" i="1"/>
  <c r="K6" i="1"/>
  <c r="J6" i="1"/>
  <c r="I6" i="1"/>
  <c r="G6" i="1"/>
  <c r="F6" i="1"/>
  <c r="E6" i="1"/>
  <c r="D6" i="1"/>
  <c r="C6" i="1"/>
  <c r="B6" i="1"/>
  <c r="L5" i="1"/>
  <c r="K5" i="1"/>
  <c r="J5" i="1"/>
  <c r="I5" i="1"/>
  <c r="G5" i="1"/>
  <c r="F5" i="1"/>
  <c r="E5" i="1"/>
  <c r="D5" i="1"/>
  <c r="C5" i="1"/>
  <c r="B5" i="1"/>
</calcChain>
</file>

<file path=xl/sharedStrings.xml><?xml version="1.0" encoding="utf-8"?>
<sst xmlns="http://schemas.openxmlformats.org/spreadsheetml/2006/main" count="340" uniqueCount="238">
  <si>
    <t>BAJAJ ELECTRICAL COMPANY</t>
  </si>
  <si>
    <t>Year</t>
  </si>
  <si>
    <t>Liquidity Ratio</t>
  </si>
  <si>
    <t>Profitability Ratio</t>
  </si>
  <si>
    <t>Gearing Ratio</t>
  </si>
  <si>
    <t>Investors Ratio</t>
  </si>
  <si>
    <t>Dupont Analysis</t>
  </si>
  <si>
    <t>Current Ratio</t>
  </si>
  <si>
    <t>Quick Ratio</t>
  </si>
  <si>
    <t>ROCE</t>
  </si>
  <si>
    <t>Profit Margin</t>
  </si>
  <si>
    <t>Asset Utilization Ratio</t>
  </si>
  <si>
    <t>Asset Gearing</t>
  </si>
  <si>
    <t>EPS(Basic)</t>
  </si>
  <si>
    <t>P/E Ratio</t>
  </si>
  <si>
    <t>Dividend</t>
  </si>
  <si>
    <t>Dividend Yield</t>
  </si>
  <si>
    <t>Share Price(Rs)</t>
  </si>
  <si>
    <t>-</t>
  </si>
  <si>
    <t>Net Income</t>
  </si>
  <si>
    <t>Revenue</t>
  </si>
  <si>
    <t>Total Assets</t>
  </si>
  <si>
    <t>Shareholder Equity</t>
  </si>
  <si>
    <t>LIQUIDITY RATIOS:</t>
  </si>
  <si>
    <t>Current Ratio= Current Asset/Current Liability</t>
  </si>
  <si>
    <t>Quick Ratio= Current Asset - Inventories/Current Liability</t>
  </si>
  <si>
    <t>PROFITABILITY RATIOS:</t>
  </si>
  <si>
    <t>ROCE= PBIT/share cap. + reserves + long term debt</t>
  </si>
  <si>
    <t>Profit Margin= PBIT/revenue</t>
  </si>
  <si>
    <t>Asset Utilisation Ratio= revenue/share cap. + reserves + long term debt</t>
  </si>
  <si>
    <t>GEARING RATIO:</t>
  </si>
  <si>
    <t>Asset Gearing= borrowings(long term borrowings+long term liabilities)/equity</t>
  </si>
  <si>
    <t>INVESTORS RATIO</t>
  </si>
  <si>
    <t>Earnings per share (EPS) = earnings on ordinary activities/</t>
  </si>
  <si>
    <t>number of issued ordinary shares</t>
  </si>
  <si>
    <t>Price to Earnings Ratio (P/E Ratio) = Share Price/EPS</t>
  </si>
  <si>
    <t>Dividend Cover = EPS/DPS</t>
  </si>
  <si>
    <t>Dividend Yield = DPS/Share price</t>
  </si>
  <si>
    <t>DUPONT ANALYSIS:</t>
  </si>
  <si>
    <t xml:space="preserve">Net Income/Averge Shareholder's Equity = </t>
  </si>
  <si>
    <t>(Net Income/ Revenue)*</t>
  </si>
  <si>
    <t>(Revenue/Total Assets)*</t>
  </si>
  <si>
    <t>(Total Assets/Shareholder Equity)</t>
  </si>
  <si>
    <t>Biblography:moneycontrol.com</t>
  </si>
  <si>
    <t>Bharat Heavy Electricals Ltd.</t>
  </si>
  <si>
    <t>Liquidity Ratios</t>
  </si>
  <si>
    <t>Profitability Ratios</t>
  </si>
  <si>
    <t>Gearing Ratios</t>
  </si>
  <si>
    <t>Investor's Ratios</t>
  </si>
  <si>
    <t>Capital Gearing</t>
  </si>
  <si>
    <t>Shareholder's Equity Ratio</t>
  </si>
  <si>
    <t>EPS</t>
  </si>
  <si>
    <t>Dividend Cover</t>
  </si>
  <si>
    <t>(ROE)</t>
  </si>
  <si>
    <t>Formulae:</t>
  </si>
  <si>
    <t>Liquidity Ratios:</t>
  </si>
  <si>
    <t>Current Ratio = Current Assets / Current Liabilities</t>
  </si>
  <si>
    <t>Quick Ratio = Current Assets - Inventories / Current Liabilities</t>
  </si>
  <si>
    <t>Profitability Ratios:</t>
  </si>
  <si>
    <t xml:space="preserve">ROCE = PBIT/ Share Capital+ Reserves + Long Term Debt </t>
  </si>
  <si>
    <t>Profit Margin = Net Income / Sales</t>
  </si>
  <si>
    <t>Asset Utilization Ratio = Revenue / Share Capital + Reserves + Long - term Debt</t>
  </si>
  <si>
    <t>Gearing Ratios:</t>
  </si>
  <si>
    <t>Capital Gearing = Debt / Debt + Equity</t>
  </si>
  <si>
    <t>Shareholder's Equity Ratio = Equity - Intangible Assets/ Total Assets - Current Liabilities - Intangible Assets</t>
  </si>
  <si>
    <t>Investor's Ratio:</t>
  </si>
  <si>
    <t>Earnings per share (EPS) = earnings on ordinary activities/number of issued ordinary shares</t>
  </si>
  <si>
    <t>Dupont Analysis: Net Income / Average Shareholder's Equity</t>
  </si>
  <si>
    <t>Reference :</t>
  </si>
  <si>
    <t>Bharat Heavy Electricals Ltd financial results and price chart - Screener</t>
  </si>
  <si>
    <t>Current Assets</t>
  </si>
  <si>
    <t>Inventories</t>
  </si>
  <si>
    <t>Current Liabilities</t>
  </si>
  <si>
    <t>PBT</t>
  </si>
  <si>
    <t>Interest Paid</t>
  </si>
  <si>
    <t>Share Capital</t>
  </si>
  <si>
    <t>Reserves</t>
  </si>
  <si>
    <t>Long - term Debt</t>
  </si>
  <si>
    <t>Equity</t>
  </si>
  <si>
    <t>Intangible Assets</t>
  </si>
  <si>
    <t>M.P of Share</t>
  </si>
  <si>
    <t>Dividends Paid</t>
  </si>
  <si>
    <t>Net Profit</t>
  </si>
  <si>
    <t>Dividend Payout</t>
  </si>
  <si>
    <t>DPS</t>
  </si>
  <si>
    <t>Average Shareholder's Equity</t>
  </si>
  <si>
    <t>Expenses</t>
  </si>
  <si>
    <t>SIEMENS</t>
  </si>
  <si>
    <t>Yr.</t>
  </si>
  <si>
    <t xml:space="preserve">Dupont Analysis </t>
  </si>
  <si>
    <t>Current ratio</t>
  </si>
  <si>
    <t>Quick ratio</t>
  </si>
  <si>
    <t>Profit margin</t>
  </si>
  <si>
    <t>Asset utilisation ratio</t>
  </si>
  <si>
    <t>Asset gearing*</t>
  </si>
  <si>
    <t>EPS (cash)</t>
  </si>
  <si>
    <t>Dividend cover</t>
  </si>
  <si>
    <t>Dividend yield</t>
  </si>
  <si>
    <t>*No borrowings throughout</t>
  </si>
  <si>
    <t>Asset Gearing= borrowings/equity</t>
  </si>
  <si>
    <t>Net Income/Averge Shareholder's Equity</t>
  </si>
  <si>
    <t>Bibliography:</t>
  </si>
  <si>
    <t>moneycontrol.com</t>
  </si>
  <si>
    <t>siemens.com</t>
  </si>
  <si>
    <t>Effective Date</t>
  </si>
  <si>
    <t>Dividend Date</t>
  </si>
  <si>
    <t>Jun 17,2021</t>
  </si>
  <si>
    <t>Final</t>
  </si>
  <si>
    <t>ROCE(%)</t>
  </si>
  <si>
    <t>Asset Utilisation Ratio(%)</t>
  </si>
  <si>
    <t>Net Profit Margin(%)</t>
  </si>
  <si>
    <t>July 14,2020</t>
  </si>
  <si>
    <t>0.50(2021)</t>
  </si>
  <si>
    <t>June 04,2019</t>
  </si>
  <si>
    <t>0.51(2020)</t>
  </si>
  <si>
    <t>July 12,2018</t>
  </si>
  <si>
    <t>0.55(2019)</t>
  </si>
  <si>
    <t>August 10,2017</t>
  </si>
  <si>
    <t>0.58(2018)</t>
  </si>
  <si>
    <t>July 22,2016</t>
  </si>
  <si>
    <t>0.52(2017)</t>
  </si>
  <si>
    <t>July 20,2015</t>
  </si>
  <si>
    <t>0.72(2016)</t>
  </si>
  <si>
    <t>July 23,2014</t>
  </si>
  <si>
    <t>0.59(2015)</t>
  </si>
  <si>
    <t>July 26,2013</t>
  </si>
  <si>
    <t>0.46(2014)</t>
  </si>
  <si>
    <t>July 24,2012</t>
  </si>
  <si>
    <t>0.83(2013)</t>
  </si>
  <si>
    <t>1.32(2012)</t>
  </si>
  <si>
    <t>Financial Year</t>
  </si>
  <si>
    <t>Sale Growth Rate</t>
  </si>
  <si>
    <t>Share Buyback</t>
  </si>
  <si>
    <t>2011-2012</t>
  </si>
  <si>
    <t>No share buyback till date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</si>
  <si>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</si>
  <si>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</si>
  <si>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</si>
  <si>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</si>
  <si>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</si>
  <si>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</si>
  <si>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</si>
  <si>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2019-2020</t>
  </si>
  <si>
    <t>2020-2021</t>
  </si>
  <si>
    <t>NTPC LTD.</t>
  </si>
  <si>
    <t>Investors Ratios</t>
  </si>
  <si>
    <t>FINANCIAL YEAR</t>
  </si>
  <si>
    <t>DIVIDEND YEILD(%)</t>
  </si>
  <si>
    <t>DIVIDEND PAYOUT( RS)</t>
  </si>
  <si>
    <t>SALES GROWTH RATE(%)</t>
  </si>
  <si>
    <r>
      <rPr>
        <b/>
        <sz val="11"/>
        <color theme="1"/>
        <rFont val="Calibri"/>
        <family val="2"/>
        <scheme val="minor"/>
      </rPr>
      <t>FCFE ( RS IN CRORE)</t>
    </r>
    <r>
      <rPr>
        <sz val="11"/>
        <color theme="1"/>
        <rFont val="Calibri"/>
        <family val="2"/>
        <scheme val="minor"/>
      </rPr>
      <t xml:space="preserve"> </t>
    </r>
  </si>
  <si>
    <t>Net Asset Utilisation Ratio</t>
  </si>
  <si>
    <t>Net Profit Margin</t>
  </si>
  <si>
    <t>Gearing</t>
  </si>
  <si>
    <t>Income Gearing</t>
  </si>
  <si>
    <t>Interest Coverage Ratio</t>
  </si>
  <si>
    <t>Asset Coverage Ratio</t>
  </si>
  <si>
    <t>Equity Multiplier</t>
  </si>
  <si>
    <t>Price To Book value ratio</t>
  </si>
  <si>
    <t>DuPont Analysis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</si>
  <si>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</si>
  <si>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</si>
  <si>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</si>
  <si>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</si>
  <si>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</si>
  <si>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</si>
  <si>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</si>
  <si>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</si>
  <si>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</si>
  <si>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</si>
  <si>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BUYBACK DETAILS</t>
  </si>
  <si>
    <t>TPC Total Share Capital</t>
  </si>
  <si>
    <t>9894.6 Cr</t>
  </si>
  <si>
    <t>NTPC Face Value</t>
  </si>
  <si>
    <t>10 Per Equity Share</t>
  </si>
  <si>
    <r>
      <t>Buyback Offer Amount</t>
    </r>
    <r>
      <rPr>
        <sz val="11"/>
        <color rgb="FF222222"/>
        <rFont val="Calibri"/>
        <family val="2"/>
        <scheme val="minor"/>
      </rPr>
      <t xml:space="preserve">: </t>
    </r>
  </si>
  <si>
    <t xml:space="preserve"> 2275 Cr</t>
  </si>
  <si>
    <t>NTPC Buyback Offer Size (In %)</t>
  </si>
  <si>
    <t>Buyback Number of Shares</t>
  </si>
  <si>
    <t>19.78 Cr</t>
  </si>
  <si>
    <t>NTPC Buyback Price</t>
  </si>
  <si>
    <t>₹115 per unit</t>
  </si>
  <si>
    <t>Promoters and Promoter Group participation</t>
  </si>
  <si>
    <t>YES</t>
  </si>
  <si>
    <t>Buyback type</t>
  </si>
  <si>
    <t>Tender Offer</t>
  </si>
  <si>
    <t>Formulae Used</t>
  </si>
  <si>
    <t>Dividend yeild</t>
  </si>
  <si>
    <t>Annual dividend per Share/Current Share Price</t>
  </si>
  <si>
    <t>A dividend expressed as a percentage of a current share price</t>
  </si>
  <si>
    <t>Payments that a company makes to its shareholders</t>
  </si>
  <si>
    <t>(Current period sale-Prior Period Sales)/Prior PeriodSales</t>
  </si>
  <si>
    <t>Measures the rate at which a business is able to increase revenue from sales during a fixed period of time</t>
  </si>
  <si>
    <t>Buyback</t>
  </si>
  <si>
    <t>A buyback is a repurchase of outstanding shares by a company to reduce the number of shares on the market and increase the value of remaining shares.</t>
  </si>
  <si>
    <t>Free Cash Flow to Equity</t>
  </si>
  <si>
    <t>(Cash from Operation)-(Capital Operations)+(Net Debt Issued)</t>
  </si>
  <si>
    <t>Amount of cash a business generates that is available to be potentially distributed to shareholders</t>
  </si>
  <si>
    <t>Current Assets/Current Liability</t>
  </si>
  <si>
    <t>It is used to assess whether the company will be able to pay its bill over the next few months</t>
  </si>
  <si>
    <t>(Current assets - Inventories)/(Current Liability)</t>
  </si>
  <si>
    <t>It considers what would happen if all the creditor and debtor accounts were settled immediately</t>
  </si>
  <si>
    <t>EBIT/Capital Employes</t>
  </si>
  <si>
    <t>It measures the relationship between the amount invested in the business and the return generated for those investors.</t>
  </si>
  <si>
    <t>NET Profit Margin</t>
  </si>
  <si>
    <t>Net Profit/Revenue</t>
  </si>
  <si>
    <t>Meaures how much of the company's revenue actually translates into profit after covering all the expenses like tax,interest etc.</t>
  </si>
  <si>
    <t>Revenue/(Share Capital+Reserves+Long-Term Debt)</t>
  </si>
  <si>
    <t>measures fall in sales genrataed by the assets</t>
  </si>
  <si>
    <t>Debt/Equity</t>
  </si>
  <si>
    <t>A high gearing ratio is a bad sign for the safety of the investment,as most of the profit will be used in paying off the interest and the principal amount</t>
  </si>
  <si>
    <t>Interest on Borrowngs/Profit on ordinary activities before tax and interest</t>
  </si>
  <si>
    <t>It is used by lenders to decide whether to extend credit or not</t>
  </si>
  <si>
    <t>Profit on ordinary activities before interest and taxation/Annual interest payments due on that date of issue of loan stock +all prior debt stock</t>
  </si>
  <si>
    <t>Shows the slice of profit on ordinary activities before interest and tax which covers the annual payments due on each issue loan stock</t>
  </si>
  <si>
    <t>total assets less intangible assets less current liability/loan capital plus prio ranking debt</t>
  </si>
  <si>
    <t>Shows the slice of total assets less current liabilty less intangible assets which is available to cover the nominal value of stock</t>
  </si>
  <si>
    <t>Dividend Yeild</t>
  </si>
  <si>
    <t>Total assets/share holders equity</t>
  </si>
  <si>
    <t>Helps investor to know if the company invests more in equity or more in debts</t>
  </si>
  <si>
    <t>Earning Per Share</t>
  </si>
  <si>
    <t>Profit on ordinary activities before interest and taxation/Total number of ordinary shares</t>
  </si>
  <si>
    <t>help investor to know the amount the company is earning per equity share</t>
  </si>
  <si>
    <t>Price to Book Value Ratio</t>
  </si>
  <si>
    <t>Market Price per share /Book Value per Share</t>
  </si>
  <si>
    <t>Use the price to price to book value to gauge whether a stock is valued properly</t>
  </si>
  <si>
    <t>Du PONT Analysis</t>
  </si>
  <si>
    <t>(Net Profit Margin)*(Asset Turnover)*(Equity Multiplier)</t>
  </si>
  <si>
    <t>It is an extended form of return on equity and it is also known as the framework for analyzing fundamental performace.</t>
  </si>
  <si>
    <t>Refrences</t>
  </si>
  <si>
    <t>https://www.investello.com/</t>
  </si>
  <si>
    <t>https://www.moneycontrol.com/</t>
  </si>
  <si>
    <t>https://www.ntpc.co.in/</t>
  </si>
  <si>
    <t>https://corporatefinanceinstitute.com/</t>
  </si>
  <si>
    <t>https://investoracademy.in/</t>
  </si>
  <si>
    <t>NTPC Ltd financial results and price chart - Screener</t>
  </si>
  <si>
    <t>Prepared By Devanshu Jindal</t>
  </si>
  <si>
    <t>Roll No.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</si>
</sst>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0.000"/>
    <numFmt numFmtId="165" formatCode="0.0%"/>
    <numFmt numFmtId="166" formatCode="0.0000"/>
    <numFmt numFmtId="167" formatCode="_ * #,##0.00_ ;_ * \-#,##0.00_ ;_ * &quot;-&quot;??_ ;_ @_ "/>
    <numFmt numFmtId="168" formatCode="_ * #,##0_ ;_ * \-#,##0_ ;_ * &quot;-&quot;??_ ;_ @_ "/>
    <numFmt numFmtId="169" formatCode="_ * #,##0.000_ ;_ * \-#,##0.000_ ;_ * &quot;-&quot;??_ ;_ @_ "/>
    <numFmt numFmtId="170" formatCode="0.00000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Book Antiqua"/>
      <family val="1"/>
    </font>
    <font>
      <sz val="11"/>
      <color theme="1"/>
      <name val="Constantia"/>
      <family val="1"/>
    </font>
    <font>
      <sz val="11"/>
      <color theme="1"/>
      <name val="Times New Roman"/>
      <family val="1"/>
    </font>
    <font>
      <b/>
      <sz val="11"/>
      <color theme="1"/>
      <name val="Constantia"/>
      <family val="1"/>
    </font>
    <font>
      <b/>
      <sz val="11"/>
      <color rgb="FF333333"/>
      <name val="Book Antiqua"/>
      <family val="1"/>
    </font>
    <font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/>
      <sz val="11"/>
      <color theme="1"/>
      <name val="Times New Roman"/>
      <family val="1"/>
    </font>
    <font>
      <sz val="36"/>
      <color theme="6" tint="0.79998168889431442"/>
      <name val="Times New Roman"/>
      <family val="1"/>
    </font>
    <font>
      <sz val="36"/>
      <color theme="6" tint="0.79998168889431442"/>
      <name val="Calibri"/>
      <family val="2"/>
      <scheme val="minor"/>
    </font>
    <font>
      <sz val="16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20"/>
      <color theme="1"/>
      <name val="Bodoni MT"/>
      <family val="1"/>
    </font>
    <font>
      <sz val="20"/>
      <color theme="1"/>
      <name val="Baskerville Old Face"/>
      <family val="1"/>
    </font>
    <font>
      <sz val="20"/>
      <color rgb="FF000000"/>
      <name val="Baskerville Old Face"/>
      <family val="1"/>
    </font>
    <font>
      <b/>
      <u/>
      <sz val="20"/>
      <color rgb="FF000000"/>
      <name val="Baskerville Old Face"/>
      <family val="1"/>
    </font>
    <font>
      <u/>
      <sz val="20"/>
      <color theme="10"/>
      <name val="Baskerville Old Face"/>
      <family val="1"/>
    </font>
    <font>
      <sz val="48"/>
      <color theme="1"/>
      <name val="Times New Roman"/>
      <family val="1"/>
    </font>
    <font>
      <sz val="18"/>
      <color theme="1"/>
      <name val="Times New Roman"/>
      <family val="1"/>
    </font>
    <font>
      <b/>
      <u/>
      <sz val="18"/>
      <color theme="1"/>
      <name val="Times New Roman"/>
      <family val="1"/>
    </font>
    <font>
      <b/>
      <i/>
      <u/>
      <sz val="11"/>
      <color theme="1"/>
      <name val="Arial Black"/>
      <family val="2"/>
    </font>
    <font>
      <sz val="11"/>
      <color theme="1"/>
      <name val="Arial Narrow"/>
      <family val="2"/>
    </font>
    <font>
      <i/>
      <u/>
      <sz val="11"/>
      <color theme="1"/>
      <name val="Arial Black"/>
      <family val="2"/>
    </font>
    <font>
      <sz val="39"/>
      <color theme="1"/>
      <name val="Algerian"/>
      <family val="5"/>
    </font>
    <font>
      <b/>
      <u val="double"/>
      <sz val="11"/>
      <color theme="1"/>
      <name val="Calibri"/>
      <family val="2"/>
      <scheme val="minor"/>
    </font>
    <font>
      <b/>
      <sz val="11"/>
      <color rgb="FF333333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6"/>
      <color theme="1"/>
      <name val="Agency FB"/>
      <family val="2"/>
    </font>
    <font>
      <sz val="20"/>
      <color theme="1"/>
      <name val="Agency FB"/>
      <family val="2"/>
    </font>
    <font>
      <b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10151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4D515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6F8F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E46EF"/>
        <bgColor indexed="64"/>
      </patternFill>
    </fill>
    <fill>
      <patternFill patternType="solid">
        <fgColor rgb="FFA6D1F8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rgb="FFDBB4EA"/>
        <bgColor indexed="64"/>
      </patternFill>
    </fill>
    <fill>
      <patternFill patternType="solid">
        <fgColor rgb="FFADF1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D1D1D1"/>
      </top>
      <bottom style="medium">
        <color rgb="FFE0E0E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7" fillId="0" borderId="0" applyNumberFormat="0" applyFill="0" applyBorder="0" applyAlignment="0" applyProtection="0"/>
  </cellStyleXfs>
  <cellXfs count="425">
    <xf numFmtId="0" fontId="0" fillId="0" borderId="0" xfId="0"/>
    <xf numFmtId="0" fontId="6" fillId="0" borderId="0" xfId="0" applyFont="1"/>
    <xf numFmtId="0" fontId="6" fillId="3" borderId="2" xfId="0" applyFont="1" applyFill="1" applyBorder="1"/>
    <xf numFmtId="0" fontId="6" fillId="0" borderId="4" xfId="0" applyFont="1" applyBorder="1"/>
    <xf numFmtId="0" fontId="6" fillId="4" borderId="5" xfId="0" applyFont="1" applyFill="1" applyBorder="1"/>
    <xf numFmtId="0" fontId="6" fillId="4" borderId="6" xfId="0" applyFont="1" applyFill="1" applyBorder="1"/>
    <xf numFmtId="0" fontId="6" fillId="5" borderId="6" xfId="0" applyFont="1" applyFill="1" applyBorder="1"/>
    <xf numFmtId="0" fontId="6" fillId="6" borderId="6" xfId="0" applyFont="1" applyFill="1" applyBorder="1"/>
    <xf numFmtId="0" fontId="6" fillId="7" borderId="6" xfId="0" applyFont="1" applyFill="1" applyBorder="1"/>
    <xf numFmtId="0" fontId="0" fillId="8" borderId="8" xfId="0" applyFill="1" applyBorder="1"/>
    <xf numFmtId="0" fontId="7" fillId="0" borderId="4" xfId="0" applyFont="1" applyBorder="1"/>
    <xf numFmtId="2" fontId="7" fillId="0" borderId="9" xfId="0" applyNumberFormat="1" applyFont="1" applyBorder="1"/>
    <xf numFmtId="2" fontId="7" fillId="0" borderId="8" xfId="0" applyNumberFormat="1" applyFont="1" applyBorder="1"/>
    <xf numFmtId="9" fontId="7" fillId="0" borderId="8" xfId="2" applyFont="1" applyBorder="1"/>
    <xf numFmtId="0" fontId="7" fillId="0" borderId="8" xfId="0" applyFont="1" applyBorder="1"/>
    <xf numFmtId="2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2" fontId="7" fillId="0" borderId="11" xfId="0" applyNumberFormat="1" applyFont="1" applyBorder="1"/>
    <xf numFmtId="2" fontId="7" fillId="0" borderId="12" xfId="0" applyNumberFormat="1" applyFont="1" applyBorder="1"/>
    <xf numFmtId="9" fontId="7" fillId="0" borderId="12" xfId="2" applyFont="1" applyBorder="1"/>
    <xf numFmtId="0" fontId="7" fillId="0" borderId="12" xfId="0" applyFont="1" applyBorder="1"/>
    <xf numFmtId="0" fontId="8" fillId="0" borderId="0" xfId="0" applyFont="1"/>
    <xf numFmtId="0" fontId="9" fillId="0" borderId="0" xfId="0" applyFont="1"/>
    <xf numFmtId="4" fontId="9" fillId="0" borderId="0" xfId="0" applyNumberFormat="1" applyFont="1"/>
    <xf numFmtId="0" fontId="9" fillId="9" borderId="14" xfId="0" applyFont="1" applyFill="1" applyBorder="1" applyAlignment="1">
      <alignment horizontal="right" vertical="top" wrapText="1"/>
    </xf>
    <xf numFmtId="4" fontId="9" fillId="9" borderId="14" xfId="0" applyNumberFormat="1" applyFont="1" applyFill="1" applyBorder="1" applyAlignment="1">
      <alignment horizontal="right" vertical="top" wrapText="1"/>
    </xf>
    <xf numFmtId="0" fontId="12" fillId="6" borderId="15" xfId="3" applyFont="1" applyFill="1" applyBorder="1"/>
    <xf numFmtId="0" fontId="12" fillId="6" borderId="0" xfId="3" applyFont="1" applyFill="1"/>
    <xf numFmtId="0" fontId="0" fillId="6" borderId="16" xfId="0" applyFill="1" applyBorder="1"/>
    <xf numFmtId="0" fontId="12" fillId="6" borderId="17" xfId="3" applyFont="1" applyFill="1" applyBorder="1"/>
    <xf numFmtId="0" fontId="12" fillId="6" borderId="18" xfId="3" applyFont="1" applyFill="1" applyBorder="1"/>
    <xf numFmtId="0" fontId="0" fillId="6" borderId="19" xfId="0" applyFill="1" applyBorder="1"/>
    <xf numFmtId="0" fontId="12" fillId="5" borderId="15" xfId="3" applyFont="1" applyFill="1" applyBorder="1"/>
    <xf numFmtId="0" fontId="12" fillId="5" borderId="0" xfId="3" applyFont="1" applyFill="1"/>
    <xf numFmtId="0" fontId="12" fillId="5" borderId="16" xfId="3" applyFont="1" applyFill="1" applyBorder="1"/>
    <xf numFmtId="0" fontId="12" fillId="5" borderId="17" xfId="3" applyFont="1" applyFill="1" applyBorder="1"/>
    <xf numFmtId="0" fontId="12" fillId="5" borderId="18" xfId="3" applyFont="1" applyFill="1" applyBorder="1"/>
    <xf numFmtId="0" fontId="12" fillId="5" borderId="19" xfId="3" applyFont="1" applyFill="1" applyBorder="1"/>
    <xf numFmtId="0" fontId="12" fillId="4" borderId="20" xfId="3" applyFont="1" applyFill="1" applyBorder="1"/>
    <xf numFmtId="0" fontId="12" fillId="4" borderId="21" xfId="3" applyFont="1" applyFill="1" applyBorder="1"/>
    <xf numFmtId="0" fontId="0" fillId="4" borderId="21" xfId="0" applyFill="1" applyBorder="1"/>
    <xf numFmtId="0" fontId="0" fillId="4" borderId="22" xfId="0" applyFill="1" applyBorder="1"/>
    <xf numFmtId="0" fontId="0" fillId="0" borderId="15" xfId="0" applyBorder="1"/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  <xf numFmtId="0" fontId="0" fillId="0" borderId="23" xfId="0" applyBorder="1"/>
    <xf numFmtId="0" fontId="16" fillId="13" borderId="8" xfId="0" applyFont="1" applyFill="1" applyBorder="1" applyAlignment="1">
      <alignment horizontal="center" vertical="center"/>
    </xf>
    <xf numFmtId="0" fontId="16" fillId="13" borderId="29" xfId="0" applyFont="1" applyFill="1" applyBorder="1" applyAlignment="1">
      <alignment horizontal="center" vertical="center" wrapText="1"/>
    </xf>
    <xf numFmtId="0" fontId="16" fillId="14" borderId="8" xfId="0" applyFont="1" applyFill="1" applyBorder="1"/>
    <xf numFmtId="0" fontId="16" fillId="14" borderId="0" xfId="0" applyFont="1" applyFill="1" applyAlignment="1">
      <alignment horizontal="center" vertical="center" wrapText="1"/>
    </xf>
    <xf numFmtId="0" fontId="16" fillId="14" borderId="29" xfId="0" applyFont="1" applyFill="1" applyBorder="1" applyAlignment="1">
      <alignment vertical="center" wrapText="1"/>
    </xf>
    <xf numFmtId="0" fontId="16" fillId="14" borderId="8" xfId="0" applyFont="1" applyFill="1" applyBorder="1" applyAlignment="1">
      <alignment horizontal="center" vertical="center" wrapText="1"/>
    </xf>
    <xf numFmtId="0" fontId="16" fillId="14" borderId="30" xfId="0" applyFont="1" applyFill="1" applyBorder="1" applyAlignment="1">
      <alignment horizontal="center" vertical="center" wrapText="1"/>
    </xf>
    <xf numFmtId="0" fontId="16" fillId="14" borderId="25" xfId="0" applyFont="1" applyFill="1" applyBorder="1" applyAlignment="1">
      <alignment horizontal="center" vertical="center" wrapText="1"/>
    </xf>
    <xf numFmtId="0" fontId="16" fillId="14" borderId="8" xfId="0" applyFont="1" applyFill="1" applyBorder="1" applyAlignment="1">
      <alignment horizontal="center" vertical="center"/>
    </xf>
    <xf numFmtId="0" fontId="16" fillId="14" borderId="24" xfId="0" applyFont="1" applyFill="1" applyBorder="1" applyAlignment="1">
      <alignment horizontal="center" vertical="center" wrapText="1"/>
    </xf>
    <xf numFmtId="0" fontId="16" fillId="0" borderId="8" xfId="0" applyFont="1" applyBorder="1"/>
    <xf numFmtId="2" fontId="16" fillId="0" borderId="4" xfId="0" applyNumberFormat="1" applyFont="1" applyBorder="1"/>
    <xf numFmtId="164" fontId="16" fillId="0" borderId="8" xfId="0" applyNumberFormat="1" applyFont="1" applyBorder="1"/>
    <xf numFmtId="165" fontId="16" fillId="0" borderId="4" xfId="2" applyNumberFormat="1" applyFont="1" applyBorder="1"/>
    <xf numFmtId="10" fontId="16" fillId="0" borderId="8" xfId="2" applyNumberFormat="1" applyFont="1" applyBorder="1"/>
    <xf numFmtId="2" fontId="16" fillId="0" borderId="8" xfId="0" applyNumberFormat="1" applyFont="1" applyBorder="1"/>
    <xf numFmtId="2" fontId="16" fillId="0" borderId="24" xfId="0" applyNumberFormat="1" applyFont="1" applyBorder="1"/>
    <xf numFmtId="166" fontId="16" fillId="0" borderId="8" xfId="0" applyNumberFormat="1" applyFont="1" applyBorder="1"/>
    <xf numFmtId="165" fontId="16" fillId="0" borderId="8" xfId="2" applyNumberFormat="1" applyFont="1" applyBorder="1"/>
    <xf numFmtId="0" fontId="18" fillId="0" borderId="0" xfId="0" applyFont="1"/>
    <xf numFmtId="0" fontId="19" fillId="15" borderId="0" xfId="0" applyFont="1" applyFill="1"/>
    <xf numFmtId="0" fontId="0" fillId="15" borderId="0" xfId="0" applyFill="1"/>
    <xf numFmtId="0" fontId="0" fillId="10" borderId="0" xfId="0" applyFill="1"/>
    <xf numFmtId="0" fontId="19" fillId="10" borderId="0" xfId="0" applyFont="1" applyFill="1"/>
    <xf numFmtId="0" fontId="19" fillId="16" borderId="0" xfId="0" applyFont="1" applyFill="1"/>
    <xf numFmtId="0" fontId="19" fillId="18" borderId="0" xfId="0" applyFont="1" applyFill="1"/>
    <xf numFmtId="0" fontId="0" fillId="18" borderId="0" xfId="0" applyFill="1"/>
    <xf numFmtId="0" fontId="20" fillId="17" borderId="15" xfId="0" applyFont="1" applyFill="1" applyBorder="1"/>
    <xf numFmtId="0" fontId="20" fillId="17" borderId="0" xfId="0" applyFont="1" applyFill="1"/>
    <xf numFmtId="0" fontId="20" fillId="17" borderId="17" xfId="0" applyFont="1" applyFill="1" applyBorder="1"/>
    <xf numFmtId="0" fontId="20" fillId="17" borderId="18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wrapText="1"/>
    </xf>
    <xf numFmtId="168" fontId="0" fillId="0" borderId="0" xfId="1" applyNumberFormat="1" applyFont="1" applyAlignment="1">
      <alignment wrapText="1"/>
    </xf>
    <xf numFmtId="168" fontId="0" fillId="0" borderId="0" xfId="1" applyNumberFormat="1" applyFont="1"/>
    <xf numFmtId="3" fontId="0" fillId="0" borderId="0" xfId="0" applyNumberFormat="1"/>
    <xf numFmtId="3" fontId="0" fillId="0" borderId="0" xfId="0" applyNumberFormat="1" applyAlignment="1">
      <alignment horizontal="center" vertical="center"/>
    </xf>
    <xf numFmtId="1" fontId="0" fillId="0" borderId="0" xfId="2" applyNumberFormat="1" applyFont="1"/>
    <xf numFmtId="4" fontId="0" fillId="0" borderId="0" xfId="0" applyNumberFormat="1"/>
    <xf numFmtId="2" fontId="0" fillId="0" borderId="0" xfId="0" applyNumberFormat="1"/>
    <xf numFmtId="9" fontId="0" fillId="0" borderId="0" xfId="2" applyFont="1"/>
    <xf numFmtId="4" fontId="0" fillId="0" borderId="0" xfId="0" applyNumberFormat="1" applyAlignment="1">
      <alignment horizontal="center" vertical="center"/>
    </xf>
    <xf numFmtId="4" fontId="0" fillId="0" borderId="0" xfId="1" applyNumberFormat="1" applyFont="1"/>
    <xf numFmtId="1" fontId="0" fillId="0" borderId="0" xfId="1" applyNumberFormat="1" applyFont="1"/>
    <xf numFmtId="167" fontId="0" fillId="0" borderId="0" xfId="0" applyNumberFormat="1" applyAlignment="1">
      <alignment wrapText="1"/>
    </xf>
    <xf numFmtId="167" fontId="0" fillId="0" borderId="0" xfId="0" applyNumberFormat="1" applyAlignment="1">
      <alignment horizontal="center" vertical="center" wrapText="1"/>
    </xf>
    <xf numFmtId="164" fontId="0" fillId="0" borderId="0" xfId="0" applyNumberFormat="1"/>
    <xf numFmtId="169" fontId="0" fillId="0" borderId="0" xfId="0" applyNumberFormat="1"/>
    <xf numFmtId="166" fontId="0" fillId="0" borderId="0" xfId="0" applyNumberFormat="1"/>
    <xf numFmtId="167" fontId="0" fillId="0" borderId="0" xfId="0" applyNumberFormat="1"/>
    <xf numFmtId="170" fontId="0" fillId="0" borderId="0" xfId="0" applyNumberFormat="1"/>
    <xf numFmtId="0" fontId="0" fillId="0" borderId="0" xfId="0" applyAlignment="1">
      <alignment wrapText="1"/>
    </xf>
    <xf numFmtId="0" fontId="24" fillId="0" borderId="0" xfId="0" applyFont="1"/>
    <xf numFmtId="0" fontId="24" fillId="3" borderId="8" xfId="0" applyFont="1" applyFill="1" applyBorder="1"/>
    <xf numFmtId="0" fontId="24" fillId="18" borderId="8" xfId="0" applyFont="1" applyFill="1" applyBorder="1"/>
    <xf numFmtId="0" fontId="24" fillId="18" borderId="8" xfId="0" applyFont="1" applyFill="1" applyBorder="1" applyAlignment="1">
      <alignment horizontal="center"/>
    </xf>
    <xf numFmtId="0" fontId="24" fillId="0" borderId="8" xfId="0" applyFont="1" applyBorder="1"/>
    <xf numFmtId="2" fontId="24" fillId="0" borderId="8" xfId="0" applyNumberFormat="1" applyFont="1" applyBorder="1"/>
    <xf numFmtId="165" fontId="24" fillId="0" borderId="8" xfId="2" applyNumberFormat="1" applyFont="1" applyBorder="1"/>
    <xf numFmtId="2" fontId="24" fillId="0" borderId="8" xfId="2" applyNumberFormat="1" applyFont="1" applyBorder="1"/>
    <xf numFmtId="10" fontId="24" fillId="0" borderId="8" xfId="0" applyNumberFormat="1" applyFont="1" applyBorder="1"/>
    <xf numFmtId="0" fontId="24" fillId="22" borderId="2" xfId="0" applyFont="1" applyFill="1" applyBorder="1"/>
    <xf numFmtId="0" fontId="24" fillId="22" borderId="3" xfId="0" applyFont="1" applyFill="1" applyBorder="1"/>
    <xf numFmtId="0" fontId="24" fillId="22" borderId="15" xfId="0" applyFont="1" applyFill="1" applyBorder="1"/>
    <xf numFmtId="0" fontId="24" fillId="22" borderId="0" xfId="0" applyFont="1" applyFill="1"/>
    <xf numFmtId="0" fontId="24" fillId="22" borderId="16" xfId="0" applyFont="1" applyFill="1" applyBorder="1"/>
    <xf numFmtId="0" fontId="24" fillId="22" borderId="17" xfId="0" applyFont="1" applyFill="1" applyBorder="1"/>
    <xf numFmtId="0" fontId="24" fillId="22" borderId="18" xfId="0" applyFont="1" applyFill="1" applyBorder="1"/>
    <xf numFmtId="0" fontId="24" fillId="22" borderId="19" xfId="0" applyFont="1" applyFill="1" applyBorder="1"/>
    <xf numFmtId="0" fontId="24" fillId="18" borderId="2" xfId="0" applyFont="1" applyFill="1" applyBorder="1"/>
    <xf numFmtId="0" fontId="24" fillId="18" borderId="3" xfId="0" applyFont="1" applyFill="1" applyBorder="1"/>
    <xf numFmtId="0" fontId="24" fillId="18" borderId="15" xfId="0" applyFont="1" applyFill="1" applyBorder="1"/>
    <xf numFmtId="0" fontId="24" fillId="18" borderId="0" xfId="0" applyFont="1" applyFill="1"/>
    <xf numFmtId="0" fontId="24" fillId="18" borderId="16" xfId="0" applyFont="1" applyFill="1" applyBorder="1"/>
    <xf numFmtId="0" fontId="24" fillId="18" borderId="17" xfId="0" applyFont="1" applyFill="1" applyBorder="1"/>
    <xf numFmtId="0" fontId="24" fillId="18" borderId="18" xfId="0" applyFont="1" applyFill="1" applyBorder="1"/>
    <xf numFmtId="0" fontId="24" fillId="18" borderId="19" xfId="0" applyFont="1" applyFill="1" applyBorder="1"/>
    <xf numFmtId="0" fontId="24" fillId="23" borderId="3" xfId="0" applyFont="1" applyFill="1" applyBorder="1"/>
    <xf numFmtId="0" fontId="24" fillId="23" borderId="17" xfId="0" applyFont="1" applyFill="1" applyBorder="1"/>
    <xf numFmtId="0" fontId="24" fillId="23" borderId="18" xfId="0" applyFont="1" applyFill="1" applyBorder="1"/>
    <xf numFmtId="0" fontId="24" fillId="23" borderId="19" xfId="0" applyFont="1" applyFill="1" applyBorder="1"/>
    <xf numFmtId="0" fontId="24" fillId="10" borderId="2" xfId="0" applyFont="1" applyFill="1" applyBorder="1"/>
    <xf numFmtId="0" fontId="24" fillId="10" borderId="3" xfId="0" applyFont="1" applyFill="1" applyBorder="1"/>
    <xf numFmtId="0" fontId="24" fillId="10" borderId="15" xfId="0" applyFont="1" applyFill="1" applyBorder="1"/>
    <xf numFmtId="0" fontId="24" fillId="10" borderId="0" xfId="0" applyFont="1" applyFill="1"/>
    <xf numFmtId="0" fontId="24" fillId="10" borderId="16" xfId="0" applyFont="1" applyFill="1" applyBorder="1"/>
    <xf numFmtId="0" fontId="24" fillId="10" borderId="17" xfId="0" applyFont="1" applyFill="1" applyBorder="1"/>
    <xf numFmtId="0" fontId="24" fillId="10" borderId="18" xfId="0" applyFont="1" applyFill="1" applyBorder="1"/>
    <xf numFmtId="0" fontId="24" fillId="10" borderId="19" xfId="0" applyFont="1" applyFill="1" applyBorder="1"/>
    <xf numFmtId="0" fontId="24" fillId="21" borderId="2" xfId="0" applyFont="1" applyFill="1" applyBorder="1"/>
    <xf numFmtId="0" fontId="24" fillId="21" borderId="3" xfId="0" applyFont="1" applyFill="1" applyBorder="1"/>
    <xf numFmtId="0" fontId="24" fillId="21" borderId="17" xfId="0" applyFont="1" applyFill="1" applyBorder="1"/>
    <xf numFmtId="0" fontId="24" fillId="21" borderId="18" xfId="0" applyFont="1" applyFill="1" applyBorder="1"/>
    <xf numFmtId="0" fontId="24" fillId="21" borderId="19" xfId="0" applyFont="1" applyFill="1" applyBorder="1"/>
    <xf numFmtId="0" fontId="24" fillId="2" borderId="0" xfId="0" applyFont="1" applyFill="1"/>
    <xf numFmtId="0" fontId="26" fillId="0" borderId="0" xfId="0" applyFont="1" applyAlignment="1">
      <alignment horizontal="center"/>
    </xf>
    <xf numFmtId="0" fontId="26" fillId="0" borderId="0" xfId="0" applyFont="1"/>
    <xf numFmtId="9" fontId="0" fillId="0" borderId="0" xfId="0" applyNumberFormat="1"/>
    <xf numFmtId="0" fontId="27" fillId="0" borderId="0" xfId="0" applyFont="1"/>
    <xf numFmtId="0" fontId="28" fillId="0" borderId="0" xfId="0" applyFont="1"/>
    <xf numFmtId="0" fontId="31" fillId="28" borderId="31" xfId="0" applyFont="1" applyFill="1" applyBorder="1" applyAlignment="1">
      <alignment horizontal="center" vertical="center" wrapText="1"/>
    </xf>
    <xf numFmtId="0" fontId="4" fillId="28" borderId="32" xfId="0" applyFont="1" applyFill="1" applyBorder="1" applyAlignment="1">
      <alignment horizontal="center" vertical="center" wrapText="1"/>
    </xf>
    <xf numFmtId="0" fontId="4" fillId="28" borderId="33" xfId="0" applyFont="1" applyFill="1" applyBorder="1" applyAlignment="1">
      <alignment horizontal="center" vertical="center" wrapText="1"/>
    </xf>
    <xf numFmtId="0" fontId="0" fillId="28" borderId="34" xfId="0" applyFill="1" applyBorder="1" applyAlignment="1">
      <alignment horizontal="center" vertical="center" wrapText="1"/>
    </xf>
    <xf numFmtId="0" fontId="4" fillId="28" borderId="31" xfId="0" applyFont="1" applyFill="1" applyBorder="1" applyAlignment="1">
      <alignment horizontal="center" vertical="center" wrapText="1"/>
    </xf>
    <xf numFmtId="0" fontId="4" fillId="28" borderId="35" xfId="0" applyFont="1" applyFill="1" applyBorder="1" applyAlignment="1">
      <alignment horizontal="center" vertical="center" wrapText="1"/>
    </xf>
    <xf numFmtId="0" fontId="4" fillId="28" borderId="36" xfId="0" applyFont="1" applyFill="1" applyBorder="1" applyAlignment="1">
      <alignment horizontal="center" vertical="center" wrapText="1"/>
    </xf>
    <xf numFmtId="0" fontId="2" fillId="29" borderId="3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2" fontId="32" fillId="0" borderId="38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/>
    </xf>
    <xf numFmtId="10" fontId="34" fillId="0" borderId="39" xfId="0" applyNumberFormat="1" applyFont="1" applyBorder="1" applyAlignment="1">
      <alignment horizontal="center"/>
    </xf>
    <xf numFmtId="0" fontId="35" fillId="0" borderId="40" xfId="0" applyFont="1" applyBorder="1"/>
    <xf numFmtId="2" fontId="36" fillId="0" borderId="38" xfId="0" applyNumberFormat="1" applyFont="1" applyBorder="1" applyAlignment="1">
      <alignment horizontal="center"/>
    </xf>
    <xf numFmtId="9" fontId="37" fillId="0" borderId="37" xfId="0" applyNumberFormat="1" applyFont="1" applyBorder="1" applyAlignment="1">
      <alignment horizontal="center"/>
    </xf>
    <xf numFmtId="10" fontId="37" fillId="0" borderId="38" xfId="0" applyNumberFormat="1" applyFont="1" applyBorder="1" applyAlignment="1">
      <alignment horizontal="center"/>
    </xf>
    <xf numFmtId="10" fontId="37" fillId="0" borderId="41" xfId="0" applyNumberFormat="1" applyFont="1" applyBorder="1" applyAlignment="1">
      <alignment horizontal="center"/>
    </xf>
    <xf numFmtId="2" fontId="38" fillId="0" borderId="38" xfId="0" applyNumberFormat="1" applyFont="1" applyBorder="1" applyAlignment="1">
      <alignment horizontal="center"/>
    </xf>
    <xf numFmtId="2" fontId="39" fillId="0" borderId="38" xfId="0" applyNumberFormat="1" applyFont="1" applyBorder="1" applyAlignment="1">
      <alignment horizontal="center"/>
    </xf>
    <xf numFmtId="2" fontId="39" fillId="0" borderId="37" xfId="0" applyNumberFormat="1" applyFont="1" applyBorder="1" applyAlignment="1">
      <alignment horizontal="center" vertical="center"/>
    </xf>
    <xf numFmtId="2" fontId="39" fillId="0" borderId="42" xfId="0" applyNumberFormat="1" applyFont="1" applyBorder="1"/>
    <xf numFmtId="2" fontId="0" fillId="0" borderId="42" xfId="0" applyNumberFormat="1" applyBorder="1"/>
    <xf numFmtId="0" fontId="17" fillId="0" borderId="0" xfId="4"/>
    <xf numFmtId="0" fontId="0" fillId="0" borderId="43" xfId="0" applyBorder="1" applyAlignment="1">
      <alignment horizontal="center"/>
    </xf>
    <xf numFmtId="2" fontId="32" fillId="0" borderId="44" xfId="0" applyNumberFormat="1" applyFont="1" applyBorder="1" applyAlignment="1">
      <alignment horizontal="center" vertical="center"/>
    </xf>
    <xf numFmtId="2" fontId="33" fillId="0" borderId="10" xfId="0" applyNumberFormat="1" applyFont="1" applyBorder="1" applyAlignment="1">
      <alignment horizontal="center"/>
    </xf>
    <xf numFmtId="10" fontId="34" fillId="0" borderId="10" xfId="0" applyNumberFormat="1" applyFont="1" applyBorder="1" applyAlignment="1">
      <alignment horizontal="center"/>
    </xf>
    <xf numFmtId="0" fontId="35" fillId="0" borderId="4" xfId="0" applyFont="1" applyBorder="1"/>
    <xf numFmtId="2" fontId="36" fillId="0" borderId="44" xfId="0" applyNumberFormat="1" applyFont="1" applyBorder="1" applyAlignment="1">
      <alignment horizontal="center"/>
    </xf>
    <xf numFmtId="9" fontId="37" fillId="0" borderId="43" xfId="0" applyNumberFormat="1" applyFont="1" applyBorder="1" applyAlignment="1">
      <alignment horizontal="center"/>
    </xf>
    <xf numFmtId="10" fontId="37" fillId="0" borderId="44" xfId="0" applyNumberFormat="1" applyFont="1" applyBorder="1" applyAlignment="1">
      <alignment horizontal="center"/>
    </xf>
    <xf numFmtId="10" fontId="37" fillId="0" borderId="45" xfId="0" applyNumberFormat="1" applyFont="1" applyBorder="1" applyAlignment="1">
      <alignment horizontal="center"/>
    </xf>
    <xf numFmtId="2" fontId="38" fillId="0" borderId="44" xfId="0" applyNumberFormat="1" applyFont="1" applyBorder="1" applyAlignment="1">
      <alignment horizontal="center"/>
    </xf>
    <xf numFmtId="2" fontId="39" fillId="0" borderId="44" xfId="0" applyNumberFormat="1" applyFont="1" applyBorder="1" applyAlignment="1">
      <alignment horizontal="center"/>
    </xf>
    <xf numFmtId="2" fontId="39" fillId="0" borderId="43" xfId="0" applyNumberFormat="1" applyFont="1" applyBorder="1" applyAlignment="1">
      <alignment horizontal="center" vertical="center"/>
    </xf>
    <xf numFmtId="2" fontId="39" fillId="0" borderId="44" xfId="0" applyNumberFormat="1" applyFont="1" applyBorder="1"/>
    <xf numFmtId="2" fontId="0" fillId="0" borderId="44" xfId="0" applyNumberFormat="1" applyBorder="1"/>
    <xf numFmtId="0" fontId="0" fillId="0" borderId="46" xfId="0" applyBorder="1" applyAlignment="1">
      <alignment horizontal="center"/>
    </xf>
    <xf numFmtId="2" fontId="32" fillId="0" borderId="47" xfId="0" applyNumberFormat="1" applyFont="1" applyBorder="1" applyAlignment="1">
      <alignment horizontal="center" vertical="center"/>
    </xf>
    <xf numFmtId="2" fontId="33" fillId="0" borderId="13" xfId="0" applyNumberFormat="1" applyFont="1" applyBorder="1" applyAlignment="1">
      <alignment horizontal="center"/>
    </xf>
    <xf numFmtId="10" fontId="34" fillId="0" borderId="13" xfId="0" applyNumberFormat="1" applyFont="1" applyBorder="1" applyAlignment="1">
      <alignment horizontal="center"/>
    </xf>
    <xf numFmtId="0" fontId="35" fillId="0" borderId="48" xfId="0" applyFont="1" applyBorder="1"/>
    <xf numFmtId="2" fontId="36" fillId="0" borderId="47" xfId="0" applyNumberFormat="1" applyFont="1" applyBorder="1" applyAlignment="1">
      <alignment horizontal="center"/>
    </xf>
    <xf numFmtId="9" fontId="37" fillId="0" borderId="46" xfId="0" applyNumberFormat="1" applyFont="1" applyBorder="1" applyAlignment="1">
      <alignment horizontal="center"/>
    </xf>
    <xf numFmtId="10" fontId="37" fillId="0" borderId="47" xfId="0" applyNumberFormat="1" applyFont="1" applyBorder="1" applyAlignment="1">
      <alignment horizontal="center"/>
    </xf>
    <xf numFmtId="10" fontId="37" fillId="0" borderId="49" xfId="0" applyNumberFormat="1" applyFont="1" applyBorder="1" applyAlignment="1">
      <alignment horizontal="center"/>
    </xf>
    <xf numFmtId="2" fontId="38" fillId="0" borderId="47" xfId="0" applyNumberFormat="1" applyFont="1" applyBorder="1" applyAlignment="1">
      <alignment horizontal="center"/>
    </xf>
    <xf numFmtId="2" fontId="39" fillId="0" borderId="47" xfId="0" applyNumberFormat="1" applyFont="1" applyBorder="1" applyAlignment="1">
      <alignment horizontal="center"/>
    </xf>
    <xf numFmtId="2" fontId="39" fillId="0" borderId="46" xfId="0" applyNumberFormat="1" applyFont="1" applyBorder="1" applyAlignment="1">
      <alignment horizontal="center" vertical="center"/>
    </xf>
    <xf numFmtId="2" fontId="39" fillId="0" borderId="47" xfId="0" applyNumberFormat="1" applyFont="1" applyBorder="1"/>
    <xf numFmtId="2" fontId="0" fillId="0" borderId="47" xfId="0" applyNumberFormat="1" applyBorder="1"/>
    <xf numFmtId="0" fontId="0" fillId="0" borderId="0" xfId="0" applyAlignment="1">
      <alignment horizontal="center"/>
    </xf>
    <xf numFmtId="164" fontId="32" fillId="0" borderId="0" xfId="0" applyNumberFormat="1" applyFont="1" applyAlignment="1">
      <alignment horizontal="center" vertical="center"/>
    </xf>
    <xf numFmtId="2" fontId="33" fillId="0" borderId="0" xfId="0" applyNumberFormat="1" applyFont="1" applyAlignment="1">
      <alignment horizontal="center"/>
    </xf>
    <xf numFmtId="10" fontId="34" fillId="0" borderId="0" xfId="0" applyNumberFormat="1" applyFont="1" applyAlignment="1">
      <alignment horizontal="center"/>
    </xf>
    <xf numFmtId="0" fontId="35" fillId="0" borderId="0" xfId="0" applyFont="1"/>
    <xf numFmtId="14" fontId="0" fillId="0" borderId="0" xfId="0" applyNumberFormat="1" applyAlignment="1">
      <alignment horizontal="left"/>
    </xf>
    <xf numFmtId="0" fontId="40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42" fillId="2" borderId="5" xfId="0" applyFont="1" applyFill="1" applyBorder="1" applyAlignment="1">
      <alignment horizontal="left" vertical="center" wrapText="1" indent="1"/>
    </xf>
    <xf numFmtId="0" fontId="0" fillId="0" borderId="7" xfId="0" applyBorder="1" applyAlignment="1">
      <alignment horizontal="right" vertical="center"/>
    </xf>
    <xf numFmtId="0" fontId="42" fillId="2" borderId="9" xfId="0" applyFont="1" applyFill="1" applyBorder="1" applyAlignment="1">
      <alignment horizontal="left" vertical="center" wrapText="1" indent="1"/>
    </xf>
    <xf numFmtId="0" fontId="0" fillId="0" borderId="10" xfId="0" applyBorder="1" applyAlignment="1">
      <alignment horizontal="right" vertical="center"/>
    </xf>
    <xf numFmtId="10" fontId="0" fillId="0" borderId="10" xfId="0" applyNumberFormat="1" applyBorder="1" applyAlignment="1">
      <alignment horizontal="right" vertical="center"/>
    </xf>
    <xf numFmtId="0" fontId="42" fillId="2" borderId="11" xfId="0" applyFont="1" applyFill="1" applyBorder="1" applyAlignment="1">
      <alignment horizontal="left" vertical="center" wrapText="1" indent="1"/>
    </xf>
    <xf numFmtId="0" fontId="0" fillId="0" borderId="13" xfId="0" applyBorder="1" applyAlignment="1">
      <alignment horizontal="right" vertical="center"/>
    </xf>
    <xf numFmtId="2" fontId="32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0" fontId="32" fillId="0" borderId="0" xfId="0" applyNumberFormat="1" applyFont="1" applyAlignment="1">
      <alignment horizontal="center"/>
    </xf>
    <xf numFmtId="0" fontId="42" fillId="0" borderId="0" xfId="0" applyFont="1" applyAlignment="1">
      <alignment horizontal="left" vertical="center" wrapText="1" indent="1"/>
    </xf>
    <xf numFmtId="0" fontId="0" fillId="0" borderId="0" xfId="0" applyAlignment="1">
      <alignment horizontal="right" vertical="center"/>
    </xf>
    <xf numFmtId="10" fontId="0" fillId="0" borderId="0" xfId="0" applyNumberFormat="1" applyAlignment="1">
      <alignment horizontal="right" vertical="center"/>
    </xf>
    <xf numFmtId="0" fontId="40" fillId="0" borderId="0" xfId="0" applyFont="1"/>
    <xf numFmtId="0" fontId="4" fillId="0" borderId="0" xfId="0" applyFont="1" applyAlignment="1">
      <alignment horizontal="center" vertical="center"/>
    </xf>
    <xf numFmtId="0" fontId="32" fillId="0" borderId="0" xfId="0" applyFont="1"/>
    <xf numFmtId="0" fontId="4" fillId="31" borderId="32" xfId="0" applyFont="1" applyFill="1" applyBorder="1" applyAlignment="1">
      <alignment horizontal="center" vertical="center"/>
    </xf>
    <xf numFmtId="0" fontId="46" fillId="0" borderId="0" xfId="0" applyFont="1" applyAlignment="1">
      <alignment wrapText="1"/>
    </xf>
    <xf numFmtId="0" fontId="47" fillId="0" borderId="0" xfId="0" applyFont="1"/>
    <xf numFmtId="0" fontId="49" fillId="0" borderId="8" xfId="4" applyFont="1" applyBorder="1"/>
    <xf numFmtId="0" fontId="48" fillId="0" borderId="8" xfId="0" applyFont="1" applyBorder="1"/>
    <xf numFmtId="0" fontId="29" fillId="4" borderId="15" xfId="0" applyFont="1" applyFill="1" applyBorder="1" applyAlignment="1">
      <alignment horizontal="center"/>
    </xf>
    <xf numFmtId="0" fontId="29" fillId="4" borderId="0" xfId="0" applyFont="1" applyFill="1" applyAlignment="1">
      <alignment horizontal="center"/>
    </xf>
    <xf numFmtId="0" fontId="30" fillId="24" borderId="18" xfId="0" applyFont="1" applyFill="1" applyBorder="1" applyAlignment="1">
      <alignment horizontal="center"/>
    </xf>
    <xf numFmtId="0" fontId="30" fillId="25" borderId="18" xfId="0" applyFont="1" applyFill="1" applyBorder="1" applyAlignment="1">
      <alignment horizontal="center"/>
    </xf>
    <xf numFmtId="0" fontId="30" fillId="26" borderId="18" xfId="0" applyFont="1" applyFill="1" applyBorder="1" applyAlignment="1">
      <alignment horizontal="center"/>
    </xf>
    <xf numFmtId="0" fontId="30" fillId="27" borderId="18" xfId="0" applyFont="1" applyFill="1" applyBorder="1" applyAlignment="1">
      <alignment horizontal="center"/>
    </xf>
    <xf numFmtId="0" fontId="41" fillId="30" borderId="31" xfId="0" applyFont="1" applyFill="1" applyBorder="1" applyAlignment="1">
      <alignment horizontal="center"/>
    </xf>
    <xf numFmtId="0" fontId="41" fillId="30" borderId="35" xfId="0" applyFont="1" applyFill="1" applyBorder="1" applyAlignment="1">
      <alignment horizontal="center"/>
    </xf>
    <xf numFmtId="0" fontId="48" fillId="0" borderId="8" xfId="0" applyFont="1" applyBorder="1"/>
    <xf numFmtId="0" fontId="4" fillId="31" borderId="36" xfId="0" applyFont="1" applyFill="1" applyBorder="1" applyAlignment="1">
      <alignment horizontal="center" vertical="center"/>
    </xf>
    <xf numFmtId="0" fontId="4" fillId="31" borderId="50" xfId="0" applyFont="1" applyFill="1" applyBorder="1" applyAlignment="1">
      <alignment horizontal="center" vertical="center"/>
    </xf>
    <xf numFmtId="0" fontId="3" fillId="26" borderId="53" xfId="4" applyFont="1" applyFill="1" applyBorder="1" applyAlignment="1">
      <alignment horizontal="center"/>
    </xf>
    <xf numFmtId="0" fontId="3" fillId="26" borderId="6" xfId="4" applyFont="1" applyFill="1" applyBorder="1" applyAlignment="1">
      <alignment horizontal="center"/>
    </xf>
    <xf numFmtId="0" fontId="3" fillId="26" borderId="7" xfId="4" applyFont="1" applyFill="1" applyBorder="1" applyAlignment="1">
      <alignment horizontal="center"/>
    </xf>
    <xf numFmtId="0" fontId="1" fillId="26" borderId="54" xfId="4" applyFont="1" applyFill="1" applyBorder="1" applyAlignment="1">
      <alignment horizontal="center"/>
    </xf>
    <xf numFmtId="0" fontId="1" fillId="26" borderId="12" xfId="4" applyFont="1" applyFill="1" applyBorder="1" applyAlignment="1">
      <alignment horizontal="center"/>
    </xf>
    <xf numFmtId="0" fontId="1" fillId="26" borderId="13" xfId="4" applyFont="1" applyFill="1" applyBorder="1" applyAlignment="1">
      <alignment horizontal="center"/>
    </xf>
    <xf numFmtId="0" fontId="40" fillId="30" borderId="31" xfId="0" applyFont="1" applyFill="1" applyBorder="1" applyAlignment="1">
      <alignment horizontal="left"/>
    </xf>
    <xf numFmtId="0" fontId="40" fillId="30" borderId="35" xfId="0" applyFont="1" applyFill="1" applyBorder="1" applyAlignment="1">
      <alignment horizontal="left"/>
    </xf>
    <xf numFmtId="0" fontId="48" fillId="0" borderId="8" xfId="0" applyFont="1" applyBorder="1" applyAlignment="1">
      <alignment horizontal="left"/>
    </xf>
    <xf numFmtId="0" fontId="4" fillId="31" borderId="44" xfId="0" applyFont="1" applyFill="1" applyBorder="1" applyAlignment="1">
      <alignment horizontal="center" vertical="center"/>
    </xf>
    <xf numFmtId="0" fontId="3" fillId="8" borderId="24" xfId="4" applyFont="1" applyFill="1" applyBorder="1" applyAlignment="1">
      <alignment horizontal="center"/>
    </xf>
    <xf numFmtId="0" fontId="3" fillId="8" borderId="8" xfId="4" applyFont="1" applyFill="1" applyBorder="1" applyAlignment="1">
      <alignment horizontal="center"/>
    </xf>
    <xf numFmtId="0" fontId="3" fillId="8" borderId="10" xfId="4" applyFont="1" applyFill="1" applyBorder="1" applyAlignment="1">
      <alignment horizontal="center"/>
    </xf>
    <xf numFmtId="0" fontId="1" fillId="8" borderId="24" xfId="4" applyFont="1" applyFill="1" applyBorder="1" applyAlignment="1">
      <alignment horizontal="center"/>
    </xf>
    <xf numFmtId="0" fontId="1" fillId="8" borderId="8" xfId="4" applyFont="1" applyFill="1" applyBorder="1" applyAlignment="1">
      <alignment horizontal="center"/>
    </xf>
    <xf numFmtId="0" fontId="1" fillId="8" borderId="10" xfId="4" applyFont="1" applyFill="1" applyBorder="1" applyAlignment="1">
      <alignment horizontal="center"/>
    </xf>
    <xf numFmtId="0" fontId="4" fillId="31" borderId="55" xfId="0" applyFont="1" applyFill="1" applyBorder="1" applyAlignment="1">
      <alignment horizontal="center" vertical="center"/>
    </xf>
    <xf numFmtId="0" fontId="0" fillId="8" borderId="54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3" fillId="8" borderId="24" xfId="0" applyFont="1" applyFill="1" applyBorder="1" applyAlignment="1">
      <alignment horizontal="center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44" fillId="8" borderId="10" xfId="0" applyFont="1" applyFill="1" applyBorder="1" applyAlignment="1">
      <alignment horizontal="center"/>
    </xf>
    <xf numFmtId="0" fontId="4" fillId="31" borderId="42" xfId="0" applyFont="1" applyFill="1" applyBorder="1" applyAlignment="1">
      <alignment horizontal="center" vertical="center"/>
    </xf>
    <xf numFmtId="0" fontId="3" fillId="8" borderId="53" xfId="4" applyFont="1" applyFill="1" applyBorder="1" applyAlignment="1">
      <alignment horizontal="center" wrapText="1"/>
    </xf>
    <xf numFmtId="0" fontId="3" fillId="8" borderId="6" xfId="4" applyFont="1" applyFill="1" applyBorder="1" applyAlignment="1">
      <alignment horizontal="center" wrapText="1"/>
    </xf>
    <xf numFmtId="0" fontId="3" fillId="8" borderId="7" xfId="4" applyFont="1" applyFill="1" applyBorder="1" applyAlignment="1">
      <alignment horizontal="center" wrapText="1"/>
    </xf>
    <xf numFmtId="0" fontId="1" fillId="8" borderId="24" xfId="4" applyFont="1" applyFill="1" applyBorder="1" applyAlignment="1">
      <alignment horizontal="center" wrapText="1"/>
    </xf>
    <xf numFmtId="0" fontId="1" fillId="8" borderId="8" xfId="4" applyFont="1" applyFill="1" applyBorder="1" applyAlignment="1">
      <alignment horizontal="center" wrapText="1"/>
    </xf>
    <xf numFmtId="0" fontId="1" fillId="8" borderId="10" xfId="4" applyFont="1" applyFill="1" applyBorder="1" applyAlignment="1">
      <alignment horizontal="center" wrapText="1"/>
    </xf>
    <xf numFmtId="0" fontId="3" fillId="33" borderId="53" xfId="4" applyFont="1" applyFill="1" applyBorder="1" applyAlignment="1">
      <alignment horizontal="center"/>
    </xf>
    <xf numFmtId="0" fontId="3" fillId="33" borderId="6" xfId="4" applyFont="1" applyFill="1" applyBorder="1" applyAlignment="1">
      <alignment horizontal="center"/>
    </xf>
    <xf numFmtId="0" fontId="3" fillId="33" borderId="7" xfId="4" applyFont="1" applyFill="1" applyBorder="1" applyAlignment="1">
      <alignment horizontal="center"/>
    </xf>
    <xf numFmtId="0" fontId="1" fillId="33" borderId="24" xfId="4" applyFont="1" applyFill="1" applyBorder="1" applyAlignment="1">
      <alignment horizontal="center" wrapText="1"/>
    </xf>
    <xf numFmtId="0" fontId="1" fillId="33" borderId="8" xfId="4" applyFont="1" applyFill="1" applyBorder="1" applyAlignment="1">
      <alignment horizontal="center" wrapText="1"/>
    </xf>
    <xf numFmtId="0" fontId="1" fillId="33" borderId="10" xfId="4" applyFont="1" applyFill="1" applyBorder="1" applyAlignment="1">
      <alignment horizontal="center" wrapText="1"/>
    </xf>
    <xf numFmtId="0" fontId="4" fillId="31" borderId="47" xfId="0" applyFont="1" applyFill="1" applyBorder="1" applyAlignment="1">
      <alignment horizontal="center" vertical="center"/>
    </xf>
    <xf numFmtId="0" fontId="3" fillId="33" borderId="24" xfId="4" applyFont="1" applyFill="1" applyBorder="1" applyAlignment="1">
      <alignment horizontal="center"/>
    </xf>
    <xf numFmtId="0" fontId="3" fillId="33" borderId="8" xfId="4" applyFont="1" applyFill="1" applyBorder="1" applyAlignment="1">
      <alignment horizontal="center"/>
    </xf>
    <xf numFmtId="0" fontId="3" fillId="33" borderId="10" xfId="4" applyFont="1" applyFill="1" applyBorder="1" applyAlignment="1">
      <alignment horizontal="center"/>
    </xf>
    <xf numFmtId="0" fontId="1" fillId="33" borderId="54" xfId="4" applyFont="1" applyFill="1" applyBorder="1" applyAlignment="1">
      <alignment horizontal="center"/>
    </xf>
    <xf numFmtId="0" fontId="1" fillId="33" borderId="12" xfId="4" applyFont="1" applyFill="1" applyBorder="1" applyAlignment="1">
      <alignment horizontal="center"/>
    </xf>
    <xf numFmtId="0" fontId="1" fillId="33" borderId="13" xfId="4" applyFont="1" applyFill="1" applyBorder="1" applyAlignment="1">
      <alignment horizontal="center"/>
    </xf>
    <xf numFmtId="0" fontId="3" fillId="28" borderId="24" xfId="4" applyFont="1" applyFill="1" applyBorder="1" applyAlignment="1">
      <alignment horizontal="center"/>
    </xf>
    <xf numFmtId="0" fontId="3" fillId="28" borderId="8" xfId="4" applyFont="1" applyFill="1" applyBorder="1" applyAlignment="1">
      <alignment horizontal="center"/>
    </xf>
    <xf numFmtId="0" fontId="3" fillId="28" borderId="10" xfId="4" applyFont="1" applyFill="1" applyBorder="1" applyAlignment="1">
      <alignment horizontal="center"/>
    </xf>
    <xf numFmtId="0" fontId="1" fillId="28" borderId="24" xfId="4" applyFont="1" applyFill="1" applyBorder="1" applyAlignment="1">
      <alignment horizontal="center" vertical="center" wrapText="1"/>
    </xf>
    <xf numFmtId="0" fontId="1" fillId="28" borderId="8" xfId="4" applyFont="1" applyFill="1" applyBorder="1" applyAlignment="1">
      <alignment horizontal="center" vertical="center" wrapText="1"/>
    </xf>
    <xf numFmtId="0" fontId="1" fillId="28" borderId="10" xfId="4" applyFont="1" applyFill="1" applyBorder="1" applyAlignment="1">
      <alignment horizontal="center" vertical="center" wrapText="1"/>
    </xf>
    <xf numFmtId="0" fontId="4" fillId="31" borderId="44" xfId="0" applyFont="1" applyFill="1" applyBorder="1" applyAlignment="1">
      <alignment horizontal="center" vertical="center" wrapText="1"/>
    </xf>
    <xf numFmtId="0" fontId="4" fillId="31" borderId="47" xfId="0" applyFont="1" applyFill="1" applyBorder="1" applyAlignment="1">
      <alignment horizontal="center" vertical="center" wrapText="1"/>
    </xf>
    <xf numFmtId="0" fontId="3" fillId="28" borderId="24" xfId="4" applyFont="1" applyFill="1" applyBorder="1" applyAlignment="1">
      <alignment horizontal="center" vertical="center" wrapText="1"/>
    </xf>
    <xf numFmtId="0" fontId="3" fillId="28" borderId="8" xfId="4" applyFont="1" applyFill="1" applyBorder="1" applyAlignment="1">
      <alignment horizontal="center" vertical="center" wrapText="1"/>
    </xf>
    <xf numFmtId="0" fontId="3" fillId="28" borderId="10" xfId="4" applyFont="1" applyFill="1" applyBorder="1" applyAlignment="1">
      <alignment horizontal="center" vertical="center" wrapText="1"/>
    </xf>
    <xf numFmtId="0" fontId="1" fillId="28" borderId="54" xfId="4" applyFont="1" applyFill="1" applyBorder="1" applyAlignment="1">
      <alignment horizontal="center" vertical="center" wrapText="1"/>
    </xf>
    <xf numFmtId="0" fontId="1" fillId="28" borderId="12" xfId="4" applyFont="1" applyFill="1" applyBorder="1" applyAlignment="1">
      <alignment horizontal="center" vertical="center" wrapText="1"/>
    </xf>
    <xf numFmtId="0" fontId="1" fillId="28" borderId="13" xfId="4" applyFont="1" applyFill="1" applyBorder="1" applyAlignment="1">
      <alignment horizontal="center" vertical="center" wrapText="1"/>
    </xf>
    <xf numFmtId="0" fontId="3" fillId="4" borderId="24" xfId="4" applyFont="1" applyFill="1" applyBorder="1" applyAlignment="1">
      <alignment horizontal="center"/>
    </xf>
    <xf numFmtId="0" fontId="3" fillId="4" borderId="8" xfId="4" applyFont="1" applyFill="1" applyBorder="1" applyAlignment="1">
      <alignment horizontal="center"/>
    </xf>
    <xf numFmtId="0" fontId="3" fillId="4" borderId="10" xfId="4" applyFont="1" applyFill="1" applyBorder="1" applyAlignment="1">
      <alignment horizontal="center"/>
    </xf>
    <xf numFmtId="0" fontId="0" fillId="4" borderId="54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3" fillId="28" borderId="53" xfId="4" applyFont="1" applyFill="1" applyBorder="1" applyAlignment="1">
      <alignment horizontal="center"/>
    </xf>
    <xf numFmtId="0" fontId="3" fillId="28" borderId="6" xfId="4" applyFont="1" applyFill="1" applyBorder="1" applyAlignment="1">
      <alignment horizontal="center"/>
    </xf>
    <xf numFmtId="0" fontId="3" fillId="28" borderId="7" xfId="4" applyFont="1" applyFill="1" applyBorder="1" applyAlignment="1">
      <alignment horizontal="center"/>
    </xf>
    <xf numFmtId="0" fontId="0" fillId="28" borderId="24" xfId="0" applyFill="1" applyBorder="1" applyAlignment="1">
      <alignment horizontal="center"/>
    </xf>
    <xf numFmtId="0" fontId="0" fillId="28" borderId="8" xfId="0" applyFill="1" applyBorder="1" applyAlignment="1">
      <alignment horizontal="center"/>
    </xf>
    <xf numFmtId="0" fontId="0" fillId="28" borderId="10" xfId="0" applyFill="1" applyBorder="1" applyAlignment="1">
      <alignment horizontal="center"/>
    </xf>
    <xf numFmtId="0" fontId="0" fillId="33" borderId="53" xfId="0" applyFill="1" applyBorder="1" applyAlignment="1">
      <alignment horizontal="center" wrapText="1"/>
    </xf>
    <xf numFmtId="0" fontId="0" fillId="33" borderId="6" xfId="0" applyFill="1" applyBorder="1" applyAlignment="1">
      <alignment horizontal="center" wrapText="1"/>
    </xf>
    <xf numFmtId="0" fontId="0" fillId="33" borderId="7" xfId="0" applyFill="1" applyBorder="1" applyAlignment="1">
      <alignment horizontal="center" wrapText="1"/>
    </xf>
    <xf numFmtId="0" fontId="0" fillId="33" borderId="54" xfId="0" applyFill="1" applyBorder="1" applyAlignment="1">
      <alignment horizontal="center" wrapText="1"/>
    </xf>
    <xf numFmtId="0" fontId="0" fillId="33" borderId="12" xfId="0" applyFill="1" applyBorder="1" applyAlignment="1">
      <alignment horizontal="center" wrapText="1"/>
    </xf>
    <xf numFmtId="0" fontId="0" fillId="33" borderId="13" xfId="0" applyFill="1" applyBorder="1" applyAlignment="1">
      <alignment horizontal="center" wrapText="1"/>
    </xf>
    <xf numFmtId="0" fontId="4" fillId="31" borderId="42" xfId="0" applyFont="1" applyFill="1" applyBorder="1" applyAlignment="1">
      <alignment horizontal="center" vertical="center" wrapText="1"/>
    </xf>
    <xf numFmtId="0" fontId="3" fillId="34" borderId="53" xfId="0" applyFont="1" applyFill="1" applyBorder="1" applyAlignment="1">
      <alignment horizontal="center"/>
    </xf>
    <xf numFmtId="0" fontId="3" fillId="34" borderId="6" xfId="0" applyFont="1" applyFill="1" applyBorder="1" applyAlignment="1">
      <alignment horizontal="center"/>
    </xf>
    <xf numFmtId="0" fontId="3" fillId="34" borderId="7" xfId="0" applyFont="1" applyFill="1" applyBorder="1" applyAlignment="1">
      <alignment horizontal="center"/>
    </xf>
    <xf numFmtId="0" fontId="1" fillId="34" borderId="54" xfId="4" applyFont="1" applyFill="1" applyBorder="1" applyAlignment="1">
      <alignment horizontal="center"/>
    </xf>
    <xf numFmtId="0" fontId="1" fillId="34" borderId="12" xfId="4" applyFont="1" applyFill="1" applyBorder="1" applyAlignment="1">
      <alignment horizontal="center"/>
    </xf>
    <xf numFmtId="0" fontId="1" fillId="34" borderId="13" xfId="4" applyFont="1" applyFill="1" applyBorder="1" applyAlignment="1">
      <alignment horizontal="center"/>
    </xf>
    <xf numFmtId="0" fontId="3" fillId="4" borderId="53" xfId="4" applyFont="1" applyFill="1" applyBorder="1" applyAlignment="1">
      <alignment horizontal="center"/>
    </xf>
    <xf numFmtId="0" fontId="3" fillId="4" borderId="6" xfId="4" applyFont="1" applyFill="1" applyBorder="1" applyAlignment="1">
      <alignment horizontal="center"/>
    </xf>
    <xf numFmtId="0" fontId="3" fillId="4" borderId="7" xfId="4" applyFont="1" applyFill="1" applyBorder="1" applyAlignment="1">
      <alignment horizontal="center"/>
    </xf>
    <xf numFmtId="0" fontId="1" fillId="4" borderId="24" xfId="4" applyFont="1" applyFill="1" applyBorder="1" applyAlignment="1">
      <alignment horizontal="center"/>
    </xf>
    <xf numFmtId="0" fontId="1" fillId="4" borderId="8" xfId="4" applyFont="1" applyFill="1" applyBorder="1" applyAlignment="1">
      <alignment horizontal="center"/>
    </xf>
    <xf numFmtId="0" fontId="1" fillId="4" borderId="10" xfId="4" applyFont="1" applyFill="1" applyBorder="1" applyAlignment="1">
      <alignment horizontal="center"/>
    </xf>
    <xf numFmtId="0" fontId="3" fillId="28" borderId="2" xfId="0" applyFont="1" applyFill="1" applyBorder="1" applyAlignment="1">
      <alignment horizontal="center"/>
    </xf>
    <xf numFmtId="0" fontId="3" fillId="28" borderId="3" xfId="0" applyFont="1" applyFill="1" applyBorder="1" applyAlignment="1">
      <alignment horizontal="center"/>
    </xf>
    <xf numFmtId="0" fontId="44" fillId="28" borderId="18" xfId="0" applyFont="1" applyFill="1" applyBorder="1" applyAlignment="1">
      <alignment horizontal="center"/>
    </xf>
    <xf numFmtId="0" fontId="44" fillId="28" borderId="19" xfId="0" applyFont="1" applyFill="1" applyBorder="1" applyAlignment="1">
      <alignment horizontal="center"/>
    </xf>
    <xf numFmtId="0" fontId="0" fillId="4" borderId="51" xfId="0" applyFill="1" applyBorder="1" applyAlignment="1">
      <alignment horizontal="center"/>
    </xf>
    <xf numFmtId="0" fontId="0" fillId="4" borderId="35" xfId="0" applyFill="1" applyBorder="1" applyAlignment="1">
      <alignment horizontal="center"/>
    </xf>
    <xf numFmtId="0" fontId="4" fillId="31" borderId="52" xfId="0" applyFont="1" applyFill="1" applyBorder="1" applyAlignment="1">
      <alignment horizontal="center" vertical="center"/>
    </xf>
    <xf numFmtId="0" fontId="3" fillId="32" borderId="2" xfId="0" applyFont="1" applyFill="1" applyBorder="1" applyAlignment="1">
      <alignment horizontal="center"/>
    </xf>
    <xf numFmtId="0" fontId="3" fillId="32" borderId="3" xfId="0" applyFont="1" applyFill="1" applyBorder="1" applyAlignment="1">
      <alignment horizontal="center"/>
    </xf>
    <xf numFmtId="0" fontId="45" fillId="32" borderId="0" xfId="0" applyFont="1" applyFill="1" applyAlignment="1">
      <alignment horizontal="center"/>
    </xf>
    <xf numFmtId="0" fontId="45" fillId="32" borderId="16" xfId="0" applyFont="1" applyFill="1" applyBorder="1" applyAlignment="1">
      <alignment horizontal="center"/>
    </xf>
    <xf numFmtId="0" fontId="23" fillId="21" borderId="1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3" xfId="0" applyFont="1" applyFill="1" applyBorder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0" xfId="0" applyFont="1" applyFill="1" applyAlignment="1">
      <alignment horizontal="center"/>
    </xf>
    <xf numFmtId="0" fontId="24" fillId="21" borderId="16" xfId="0" applyFont="1" applyFill="1" applyBorder="1" applyAlignment="1">
      <alignment horizontal="center"/>
    </xf>
    <xf numFmtId="0" fontId="24" fillId="21" borderId="17" xfId="0" applyFont="1" applyFill="1" applyBorder="1" applyAlignment="1">
      <alignment horizontal="center"/>
    </xf>
    <xf numFmtId="0" fontId="24" fillId="21" borderId="18" xfId="0" applyFont="1" applyFill="1" applyBorder="1" applyAlignment="1">
      <alignment horizontal="center"/>
    </xf>
    <xf numFmtId="0" fontId="24" fillId="21" borderId="19" xfId="0" applyFont="1" applyFill="1" applyBorder="1" applyAlignment="1">
      <alignment horizontal="center"/>
    </xf>
    <xf numFmtId="0" fontId="24" fillId="3" borderId="8" xfId="0" applyFont="1" applyFill="1" applyBorder="1" applyAlignment="1">
      <alignment horizontal="center"/>
    </xf>
    <xf numFmtId="0" fontId="24" fillId="2" borderId="0" xfId="0" applyFont="1" applyFill="1" applyAlignment="1">
      <alignment horizontal="center"/>
    </xf>
    <xf numFmtId="0" fontId="25" fillId="22" borderId="1" xfId="0" applyFont="1" applyFill="1" applyBorder="1" applyAlignment="1">
      <alignment horizontal="center"/>
    </xf>
    <xf numFmtId="0" fontId="25" fillId="22" borderId="2" xfId="0" applyFont="1" applyFill="1" applyBorder="1" applyAlignment="1">
      <alignment horizontal="center"/>
    </xf>
    <xf numFmtId="0" fontId="25" fillId="18" borderId="1" xfId="0" applyFont="1" applyFill="1" applyBorder="1" applyAlignment="1">
      <alignment horizontal="center"/>
    </xf>
    <xf numFmtId="0" fontId="25" fillId="18" borderId="2" xfId="0" applyFont="1" applyFill="1" applyBorder="1" applyAlignment="1">
      <alignment horizontal="center"/>
    </xf>
    <xf numFmtId="0" fontId="25" fillId="23" borderId="1" xfId="0" applyFont="1" applyFill="1" applyBorder="1" applyAlignment="1">
      <alignment horizontal="center"/>
    </xf>
    <xf numFmtId="0" fontId="25" fillId="23" borderId="2" xfId="0" applyFont="1" applyFill="1" applyBorder="1" applyAlignment="1">
      <alignment horizontal="center"/>
    </xf>
    <xf numFmtId="0" fontId="25" fillId="10" borderId="1" xfId="0" applyFont="1" applyFill="1" applyBorder="1" applyAlignment="1">
      <alignment horizontal="center"/>
    </xf>
    <xf numFmtId="0" fontId="25" fillId="10" borderId="2" xfId="0" applyFont="1" applyFill="1" applyBorder="1" applyAlignment="1">
      <alignment horizontal="center"/>
    </xf>
    <xf numFmtId="0" fontId="25" fillId="21" borderId="1" xfId="0" applyFont="1" applyFill="1" applyBorder="1" applyAlignment="1">
      <alignment horizontal="center"/>
    </xf>
    <xf numFmtId="0" fontId="25" fillId="21" borderId="2" xfId="0" applyFont="1" applyFill="1" applyBorder="1" applyAlignment="1">
      <alignment horizontal="center"/>
    </xf>
    <xf numFmtId="0" fontId="14" fillId="12" borderId="0" xfId="0" applyFont="1" applyFill="1" applyAlignment="1">
      <alignment horizontal="center" vertical="center"/>
    </xf>
    <xf numFmtId="0" fontId="15" fillId="12" borderId="0" xfId="0" applyFont="1" applyFill="1" applyAlignment="1">
      <alignment horizontal="center" vertical="center"/>
    </xf>
    <xf numFmtId="0" fontId="16" fillId="13" borderId="4" xfId="0" applyFont="1" applyFill="1" applyBorder="1" applyAlignment="1">
      <alignment horizontal="center" vertical="center"/>
    </xf>
    <xf numFmtId="0" fontId="16" fillId="13" borderId="24" xfId="0" applyFont="1" applyFill="1" applyBorder="1" applyAlignment="1">
      <alignment horizontal="center" vertical="center"/>
    </xf>
    <xf numFmtId="0" fontId="16" fillId="13" borderId="25" xfId="0" applyFont="1" applyFill="1" applyBorder="1" applyAlignment="1">
      <alignment horizontal="center" vertical="center"/>
    </xf>
    <xf numFmtId="0" fontId="16" fillId="13" borderId="0" xfId="0" applyFont="1" applyFill="1" applyAlignment="1">
      <alignment horizontal="center" vertical="center"/>
    </xf>
    <xf numFmtId="0" fontId="16" fillId="13" borderId="26" xfId="0" applyFont="1" applyFill="1" applyBorder="1" applyAlignment="1">
      <alignment horizontal="center" vertical="center"/>
    </xf>
    <xf numFmtId="0" fontId="16" fillId="13" borderId="27" xfId="0" applyFont="1" applyFill="1" applyBorder="1" applyAlignment="1">
      <alignment horizontal="center" vertical="center"/>
    </xf>
    <xf numFmtId="0" fontId="16" fillId="13" borderId="28" xfId="0" applyFont="1" applyFill="1" applyBorder="1" applyAlignment="1">
      <alignment horizontal="center" vertical="center"/>
    </xf>
    <xf numFmtId="0" fontId="19" fillId="19" borderId="0" xfId="0" applyFont="1" applyFill="1"/>
    <xf numFmtId="0" fontId="19" fillId="0" borderId="0" xfId="0" applyFont="1" applyAlignment="1">
      <alignment horizontal="center"/>
    </xf>
    <xf numFmtId="0" fontId="22" fillId="20" borderId="0" xfId="4" applyFont="1" applyFill="1" applyAlignment="1">
      <alignment horizontal="center"/>
    </xf>
    <xf numFmtId="0" fontId="20" fillId="17" borderId="15" xfId="0" applyFont="1" applyFill="1" applyBorder="1"/>
    <xf numFmtId="0" fontId="21" fillId="17" borderId="0" xfId="0" applyFont="1" applyFill="1"/>
    <xf numFmtId="0" fontId="20" fillId="17" borderId="0" xfId="0" applyFont="1" applyFill="1"/>
    <xf numFmtId="0" fontId="20" fillId="17" borderId="16" xfId="0" applyFont="1" applyFill="1" applyBorder="1" applyAlignment="1">
      <alignment horizontal="center"/>
    </xf>
    <xf numFmtId="0" fontId="20" fillId="17" borderId="0" xfId="0" applyFont="1" applyFill="1" applyAlignment="1">
      <alignment horizontal="center"/>
    </xf>
    <xf numFmtId="0" fontId="19" fillId="10" borderId="0" xfId="0" applyFont="1" applyFill="1"/>
    <xf numFmtId="0" fontId="19" fillId="16" borderId="0" xfId="0" applyFont="1" applyFill="1"/>
    <xf numFmtId="167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8" xfId="0" applyFont="1" applyBorder="1"/>
    <xf numFmtId="0" fontId="7" fillId="0" borderId="10" xfId="0" applyFont="1" applyBorder="1"/>
    <xf numFmtId="0" fontId="7" fillId="0" borderId="12" xfId="0" applyFont="1" applyBorder="1"/>
    <xf numFmtId="0" fontId="7" fillId="0" borderId="13" xfId="0" applyFont="1" applyBorder="1"/>
    <xf numFmtId="0" fontId="5" fillId="2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0" borderId="6" xfId="0" applyFont="1" applyBorder="1"/>
    <xf numFmtId="0" fontId="6" fillId="0" borderId="7" xfId="0" applyFont="1" applyBorder="1"/>
    <xf numFmtId="0" fontId="6" fillId="11" borderId="0" xfId="0" applyFont="1" applyFill="1" applyAlignment="1">
      <alignment horizontal="center"/>
    </xf>
    <xf numFmtId="0" fontId="7" fillId="10" borderId="17" xfId="3" applyFont="1" applyFill="1" applyBorder="1"/>
    <xf numFmtId="0" fontId="7" fillId="10" borderId="18" xfId="3" applyFont="1" applyFill="1" applyBorder="1"/>
    <xf numFmtId="0" fontId="7" fillId="10" borderId="19" xfId="3" applyFont="1" applyFill="1" applyBorder="1"/>
    <xf numFmtId="0" fontId="11" fillId="7" borderId="1" xfId="3" applyFont="1" applyFill="1" applyBorder="1" applyAlignment="1">
      <alignment horizontal="center"/>
    </xf>
    <xf numFmtId="0" fontId="11" fillId="7" borderId="2" xfId="3" applyFont="1" applyFill="1" applyBorder="1" applyAlignment="1">
      <alignment horizontal="center"/>
    </xf>
    <xf numFmtId="0" fontId="11" fillId="7" borderId="3" xfId="3" applyFont="1" applyFill="1" applyBorder="1" applyAlignment="1">
      <alignment horizontal="center"/>
    </xf>
    <xf numFmtId="0" fontId="12" fillId="7" borderId="15" xfId="3" applyFont="1" applyFill="1" applyBorder="1"/>
    <xf numFmtId="0" fontId="12" fillId="7" borderId="0" xfId="3" applyFont="1" applyFill="1"/>
    <xf numFmtId="0" fontId="12" fillId="7" borderId="16" xfId="3" applyFont="1" applyFill="1" applyBorder="1"/>
    <xf numFmtId="0" fontId="7" fillId="7" borderId="15" xfId="0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0" fontId="7" fillId="7" borderId="16" xfId="0" applyFont="1" applyFill="1" applyBorder="1" applyAlignment="1">
      <alignment horizontal="center"/>
    </xf>
    <xf numFmtId="0" fontId="7" fillId="7" borderId="17" xfId="0" applyFont="1" applyFill="1" applyBorder="1" applyAlignment="1">
      <alignment horizontal="center"/>
    </xf>
    <xf numFmtId="0" fontId="7" fillId="7" borderId="18" xfId="0" applyFont="1" applyFill="1" applyBorder="1" applyAlignment="1">
      <alignment horizontal="center"/>
    </xf>
    <xf numFmtId="0" fontId="7" fillId="7" borderId="19" xfId="0" applyFont="1" applyFill="1" applyBorder="1" applyAlignment="1">
      <alignment horizontal="center"/>
    </xf>
    <xf numFmtId="0" fontId="11" fillId="6" borderId="1" xfId="3" applyFont="1" applyFill="1" applyBorder="1" applyAlignment="1">
      <alignment horizontal="center"/>
    </xf>
    <xf numFmtId="0" fontId="11" fillId="6" borderId="2" xfId="3" applyFont="1" applyFill="1" applyBorder="1" applyAlignment="1">
      <alignment horizontal="center"/>
    </xf>
    <xf numFmtId="0" fontId="11" fillId="6" borderId="3" xfId="3" applyFont="1" applyFill="1" applyBorder="1" applyAlignment="1">
      <alignment horizontal="center"/>
    </xf>
    <xf numFmtId="0" fontId="11" fillId="5" borderId="1" xfId="3" applyFont="1" applyFill="1" applyBorder="1" applyAlignment="1">
      <alignment horizontal="center"/>
    </xf>
    <xf numFmtId="0" fontId="11" fillId="5" borderId="2" xfId="3" applyFont="1" applyFill="1" applyBorder="1" applyAlignment="1">
      <alignment horizontal="center"/>
    </xf>
    <xf numFmtId="0" fontId="11" fillId="5" borderId="3" xfId="3" applyFont="1" applyFill="1" applyBorder="1" applyAlignment="1">
      <alignment horizontal="center"/>
    </xf>
    <xf numFmtId="0" fontId="11" fillId="4" borderId="1" xfId="3" applyFont="1" applyFill="1" applyBorder="1" applyAlignment="1">
      <alignment horizontal="center"/>
    </xf>
    <xf numFmtId="0" fontId="11" fillId="4" borderId="2" xfId="3" applyFont="1" applyFill="1" applyBorder="1" applyAlignment="1">
      <alignment horizontal="center"/>
    </xf>
    <xf numFmtId="0" fontId="11" fillId="4" borderId="3" xfId="3" applyFont="1" applyFill="1" applyBorder="1" applyAlignment="1">
      <alignment horizontal="center"/>
    </xf>
    <xf numFmtId="0" fontId="13" fillId="10" borderId="1" xfId="3" applyFont="1" applyFill="1" applyBorder="1" applyAlignment="1">
      <alignment horizontal="center"/>
    </xf>
    <xf numFmtId="0" fontId="13" fillId="10" borderId="2" xfId="3" applyFont="1" applyFill="1" applyBorder="1" applyAlignment="1">
      <alignment horizontal="center"/>
    </xf>
    <xf numFmtId="0" fontId="13" fillId="10" borderId="3" xfId="3" applyFont="1" applyFill="1" applyBorder="1" applyAlignment="1">
      <alignment horizontal="center"/>
    </xf>
    <xf numFmtId="0" fontId="7" fillId="10" borderId="15" xfId="3" applyFont="1" applyFill="1" applyBorder="1"/>
    <xf numFmtId="0" fontId="7" fillId="10" borderId="0" xfId="3" applyFont="1" applyFill="1"/>
    <xf numFmtId="0" fontId="7" fillId="10" borderId="16" xfId="3" applyFont="1" applyFill="1" applyBorder="1"/>
  </cellXfs>
  <cellStyles count="5">
    <cellStyle name="Comma" xfId="1" builtinId="3"/>
    <cellStyle name="Hyperlink" xfId="4" builtinId="8"/>
    <cellStyle name="Normal" xfId="0" builtinId="0"/>
    <cellStyle name="Normal 2" xfId="3" xr:uid="{F1D95570-3426-4714-AAE5-A17F3F8E167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Liquidity Ratio</a:t>
            </a:r>
          </a:p>
        </c:rich>
      </c:tx>
      <c:layout>
        <c:manualLayout>
          <c:xMode val="edge"/>
          <c:yMode val="edge"/>
          <c:x val="0.3760415573053367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[1]Sheet1!$G$6</c:f>
              <c:strCache>
                <c:ptCount val="1"/>
                <c:pt idx="0">
                  <c:v>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[1]Sheet1!$G$7:$G$16</c:f>
              <c:numCache>
                <c:formatCode>General</c:formatCode>
                <c:ptCount val="10"/>
                <c:pt idx="0">
                  <c:v>2.06</c:v>
                </c:pt>
                <c:pt idx="1">
                  <c:v>1.67</c:v>
                </c:pt>
                <c:pt idx="2">
                  <c:v>1.5</c:v>
                </c:pt>
                <c:pt idx="3">
                  <c:v>1.1599999999999999</c:v>
                </c:pt>
                <c:pt idx="4">
                  <c:v>0.85</c:v>
                </c:pt>
                <c:pt idx="5">
                  <c:v>0.75</c:v>
                </c:pt>
                <c:pt idx="6">
                  <c:v>1</c:v>
                </c:pt>
                <c:pt idx="7">
                  <c:v>0.79</c:v>
                </c:pt>
                <c:pt idx="8">
                  <c:v>0.96</c:v>
                </c:pt>
                <c:pt idx="9">
                  <c:v>0.97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3C-41F7-9F29-26691EF2A3AB}"/>
            </c:ext>
          </c:extLst>
        </c:ser>
        <c:ser>
          <c:idx val="1"/>
          <c:order val="1"/>
          <c:tx>
            <c:strRef>
              <c:f>[1]Sheet1!$H$6</c:f>
              <c:strCache>
                <c:ptCount val="1"/>
                <c:pt idx="0">
                  <c:v>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[1]Sheet1!$H$7:$H$16</c:f>
              <c:numCache>
                <c:formatCode>General</c:formatCode>
                <c:ptCount val="10"/>
                <c:pt idx="0">
                  <c:v>2.042947408427954</c:v>
                </c:pt>
                <c:pt idx="1">
                  <c:v>1.8743177459802332</c:v>
                </c:pt>
                <c:pt idx="2">
                  <c:v>1.6826131358907257</c:v>
                </c:pt>
                <c:pt idx="3">
                  <c:v>1.423485833851722</c:v>
                </c:pt>
                <c:pt idx="4">
                  <c:v>1.2793916711222004</c:v>
                </c:pt>
                <c:pt idx="5">
                  <c:v>1.1589618815896188</c:v>
                </c:pt>
                <c:pt idx="6">
                  <c:v>1.13981178396072</c:v>
                </c:pt>
                <c:pt idx="7">
                  <c:v>1.0923833100132745</c:v>
                </c:pt>
                <c:pt idx="8">
                  <c:v>1.2670326122053601</c:v>
                </c:pt>
                <c:pt idx="9">
                  <c:v>1.2809000016691425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3C-41F7-9F29-26691EF2A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765743"/>
        <c:axId val="505766159"/>
      </c:lineChart>
      <c:catAx>
        <c:axId val="5057657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66159"/>
        <c:crosses val="autoZero"/>
        <c:auto val="1"/>
        <c:lblAlgn val="ctr"/>
        <c:lblOffset val="100"/>
        <c:noMultiLvlLbl val="0"/>
      </c:catAx>
      <c:valAx>
        <c:axId val="5057661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057657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Profitability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[1]Sheet1!$I$6</c:f>
              <c:strCache>
                <c:ptCount val="1"/>
                <c:pt idx="0">
                  <c:v>ROCE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[1]Sheet1!$I$7:$I$16</c:f>
              <c:numCache>
                <c:formatCode>General</c:formatCode>
                <c:ptCount val="10"/>
                <c:pt idx="0">
                  <c:v>0.12</c:v>
                </c:pt>
                <c:pt idx="1">
                  <c:v>0.12</c:v>
                </c:pt>
                <c:pt idx="2">
                  <c:v>0.11</c:v>
                </c:pt>
                <c:pt idx="3">
                  <c:v>0.08</c:v>
                </c:pt>
                <c:pt idx="4">
                  <c:v>0.08</c:v>
                </c:pt>
                <c:pt idx="5">
                  <c:v>0.09</c:v>
                </c:pt>
                <c:pt idx="6">
                  <c:v>0.09</c:v>
                </c:pt>
                <c:pt idx="7">
                  <c:v>7.0000000000000007E-2</c:v>
                </c:pt>
                <c:pt idx="8">
                  <c:v>0.1</c:v>
                </c:pt>
                <c:pt idx="9">
                  <c:v>0.09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F-4C8D-92D2-2EA57E05905A}"/>
            </c:ext>
          </c:extLst>
        </c:ser>
        <c:ser>
          <c:idx val="1"/>
          <c:order val="1"/>
          <c:tx>
            <c:strRef>
              <c:f>[1]Sheet1!$J$6</c:f>
              <c:strCache>
                <c:ptCount val="1"/>
                <c:pt idx="0">
                  <c:v>Net Asset Utilisation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[1]Sheet1!$J$7:$J$16</c:f>
              <c:numCache>
                <c:formatCode>General</c:formatCode>
                <c:ptCount val="10"/>
                <c:pt idx="0">
                  <c:v>0.4892960028808066</c:v>
                </c:pt>
                <c:pt idx="1">
                  <c:v>0.49703811604758436</c:v>
                </c:pt>
                <c:pt idx="2">
                  <c:v>0.47051519898360633</c:v>
                </c:pt>
                <c:pt idx="3">
                  <c:v>0.46709808151125926</c:v>
                </c:pt>
                <c:pt idx="4">
                  <c:v>0.43324266933886862</c:v>
                </c:pt>
                <c:pt idx="5">
                  <c:v>0.38414488667172758</c:v>
                </c:pt>
                <c:pt idx="6">
                  <c:v>0.38544646946141992</c:v>
                </c:pt>
                <c:pt idx="7">
                  <c:v>0.37358874036404005</c:v>
                </c:pt>
                <c:pt idx="8">
                  <c:v>0.55588590141330574</c:v>
                </c:pt>
                <c:pt idx="9">
                  <c:v>0.33578043133910079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F-4C8D-92D2-2EA57E05905A}"/>
            </c:ext>
          </c:extLst>
        </c:ser>
        <c:ser>
          <c:idx val="2"/>
          <c:order val="2"/>
          <c:tx>
            <c:strRef>
              <c:f>[1]Sheet1!$K$6</c:f>
              <c:strCache>
                <c:ptCount val="1"/>
                <c:pt idx="0">
                  <c:v>Net Profit Margin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[1]Sheet1!$K$7:$K$16</c:f>
              <c:numCache>
                <c:formatCode>General</c:formatCode>
                <c:ptCount val="10"/>
                <c:pt idx="0">
                  <c:v>0.1489</c:v>
                </c:pt>
                <c:pt idx="1">
                  <c:v>0.17460000000000001</c:v>
                </c:pt>
                <c:pt idx="2">
                  <c:v>0.13800000000000001</c:v>
                </c:pt>
                <c:pt idx="3">
                  <c:v>0.11890000000000001</c:v>
                </c:pt>
                <c:pt idx="4">
                  <c:v>0.14480000000000001</c:v>
                </c:pt>
                <c:pt idx="5">
                  <c:v>0.1283</c:v>
                </c:pt>
                <c:pt idx="6">
                  <c:v>0.113</c:v>
                </c:pt>
                <c:pt idx="7">
                  <c:v>0.12939999999999999</c:v>
                </c:pt>
                <c:pt idx="8">
                  <c:v>9.8900000000000002E-2</c:v>
                </c:pt>
                <c:pt idx="9">
                  <c:v>0.13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AF-4C8D-92D2-2EA57E059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508799"/>
        <c:axId val="951511711"/>
      </c:lineChart>
      <c:catAx>
        <c:axId val="95150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11711"/>
        <c:crosses val="autoZero"/>
        <c:auto val="1"/>
        <c:lblAlgn val="ctr"/>
        <c:lblOffset val="100"/>
        <c:noMultiLvlLbl val="0"/>
      </c:catAx>
      <c:valAx>
        <c:axId val="9515117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08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Gearing</a:t>
            </a:r>
            <a:r>
              <a:rPr lang="en-US" baseline="0"/>
              <a:t>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[1]Sheet1!$L$6</c:f>
              <c:strCache>
                <c:ptCount val="1"/>
                <c:pt idx="0">
                  <c:v>Gearing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[1]Sheet1!$L$7:$L$16</c:f>
              <c:numCache>
                <c:formatCode>General</c:formatCode>
                <c:ptCount val="10"/>
                <c:pt idx="0">
                  <c:v>0.73</c:v>
                </c:pt>
                <c:pt idx="1">
                  <c:v>0.79</c:v>
                </c:pt>
                <c:pt idx="2">
                  <c:v>0.95</c:v>
                </c:pt>
                <c:pt idx="3">
                  <c:v>1.26</c:v>
                </c:pt>
                <c:pt idx="4">
                  <c:v>1.0900000000000001</c:v>
                </c:pt>
                <c:pt idx="5">
                  <c:v>1.18</c:v>
                </c:pt>
                <c:pt idx="6">
                  <c:v>1.27</c:v>
                </c:pt>
                <c:pt idx="7">
                  <c:v>1.49</c:v>
                </c:pt>
                <c:pt idx="8">
                  <c:v>1.73</c:v>
                </c:pt>
                <c:pt idx="9">
                  <c:v>1.49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4B-484D-8418-FE74BF7738F0}"/>
            </c:ext>
          </c:extLst>
        </c:ser>
        <c:ser>
          <c:idx val="1"/>
          <c:order val="1"/>
          <c:tx>
            <c:strRef>
              <c:f>[1]Sheet1!$M$6</c:f>
              <c:strCache>
                <c:ptCount val="1"/>
                <c:pt idx="0">
                  <c:v>Income Gearing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[1]Sheet1!$M$7:$M$16</c:f>
              <c:numCache>
                <c:formatCode>General</c:formatCode>
                <c:ptCount val="10"/>
                <c:pt idx="0">
                  <c:v>0.12214229755715404</c:v>
                </c:pt>
                <c:pt idx="1">
                  <c:v>0.10441875540190147</c:v>
                </c:pt>
                <c:pt idx="2">
                  <c:v>0.15063221550302364</c:v>
                </c:pt>
                <c:pt idx="3">
                  <c:v>0.21226379864067518</c:v>
                </c:pt>
                <c:pt idx="4">
                  <c:v>0.23999426194233253</c:v>
                </c:pt>
                <c:pt idx="5">
                  <c:v>0.2348422322392229</c:v>
                </c:pt>
                <c:pt idx="6">
                  <c:v>0.20391916717697489</c:v>
                </c:pt>
                <c:pt idx="7">
                  <c:v>0.34816947150870975</c:v>
                </c:pt>
                <c:pt idx="8">
                  <c:v>0.26055798267801028</c:v>
                </c:pt>
                <c:pt idx="9">
                  <c:v>0.32214736114710202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4B-484D-8418-FE74BF773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1514623"/>
        <c:axId val="951525439"/>
      </c:lineChart>
      <c:catAx>
        <c:axId val="9515146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25439"/>
        <c:crosses val="autoZero"/>
        <c:auto val="1"/>
        <c:lblAlgn val="ctr"/>
        <c:lblOffset val="100"/>
        <c:noMultiLvlLbl val="0"/>
      </c:catAx>
      <c:valAx>
        <c:axId val="9515254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5151462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Invetors 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[1]Sheet1!$N$6</c:f>
              <c:strCache>
                <c:ptCount val="1"/>
                <c:pt idx="0">
                  <c:v>Interest Coverage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[1]Sheet1!$N$7:$N$16</c:f>
              <c:numCache>
                <c:formatCode>General</c:formatCode>
                <c:ptCount val="10"/>
                <c:pt idx="0">
                  <c:v>7.14</c:v>
                </c:pt>
                <c:pt idx="1">
                  <c:v>7.67</c:v>
                </c:pt>
                <c:pt idx="2">
                  <c:v>5.33</c:v>
                </c:pt>
                <c:pt idx="3">
                  <c:v>3.82</c:v>
                </c:pt>
                <c:pt idx="4">
                  <c:v>4.1100000000000003</c:v>
                </c:pt>
                <c:pt idx="5">
                  <c:v>4.4800000000000004</c:v>
                </c:pt>
                <c:pt idx="6">
                  <c:v>4.53</c:v>
                </c:pt>
                <c:pt idx="7">
                  <c:v>2.66</c:v>
                </c:pt>
                <c:pt idx="8">
                  <c:v>3.55</c:v>
                </c:pt>
                <c:pt idx="9">
                  <c:v>2.99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91-4BCF-8672-72A881E04AE0}"/>
            </c:ext>
          </c:extLst>
        </c:ser>
        <c:ser>
          <c:idx val="1"/>
          <c:order val="1"/>
          <c:tx>
            <c:strRef>
              <c:f>[1]Sheet1!$O$6</c:f>
              <c:strCache>
                <c:ptCount val="1"/>
                <c:pt idx="0">
                  <c:v>Asset Coverage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[1]Sheet1!$O$7:$O$16</c:f>
              <c:numCache>
                <c:formatCode>General</c:formatCode>
                <c:ptCount val="10"/>
                <c:pt idx="0">
                  <c:v>2.4531911931422661</c:v>
                </c:pt>
                <c:pt idx="1">
                  <c:v>1.7719877549616483</c:v>
                </c:pt>
                <c:pt idx="2">
                  <c:v>2.2775941640613371</c:v>
                </c:pt>
                <c:pt idx="3">
                  <c:v>1.9495552066980639</c:v>
                </c:pt>
                <c:pt idx="4">
                  <c:v>1.9784052265144769</c:v>
                </c:pt>
                <c:pt idx="5">
                  <c:v>1.8987925870460503</c:v>
                </c:pt>
                <c:pt idx="6">
                  <c:v>1.8352781546811399</c:v>
                </c:pt>
                <c:pt idx="7">
                  <c:v>1.7506914927139425</c:v>
                </c:pt>
                <c:pt idx="8">
                  <c:v>1.6708710702261842</c:v>
                </c:pt>
                <c:pt idx="9">
                  <c:v>1.6718858023641947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91-4BCF-8672-72A881E04AE0}"/>
            </c:ext>
          </c:extLst>
        </c:ser>
        <c:ser>
          <c:idx val="2"/>
          <c:order val="2"/>
          <c:tx>
            <c:strRef>
              <c:f>[1]Sheet1!$P$6</c:f>
              <c:strCache>
                <c:ptCount val="1"/>
                <c:pt idx="0">
                  <c:v>DIVIDEND YEILD(%)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[1]Sheet1!$P$7:$P$16</c:f>
              <c:numCache>
                <c:formatCode>General</c:formatCode>
                <c:ptCount val="10"/>
                <c:pt idx="0">
                  <c:v>1.5094905094905096</c:v>
                </c:pt>
                <c:pt idx="1">
                  <c:v>2.0952380952380953</c:v>
                </c:pt>
                <c:pt idx="2">
                  <c:v>2.8221930974224554</c:v>
                </c:pt>
                <c:pt idx="3">
                  <c:v>1.0694363952477544</c:v>
                </c:pt>
                <c:pt idx="4">
                  <c:v>1.6712926249008724</c:v>
                </c:pt>
                <c:pt idx="5">
                  <c:v>1.5671622326551904</c:v>
                </c:pt>
                <c:pt idx="6">
                  <c:v>1.7604348720057572</c:v>
                </c:pt>
                <c:pt idx="7">
                  <c:v>1.9807947484282482</c:v>
                </c:pt>
                <c:pt idx="8">
                  <c:v>0.59523809523809523</c:v>
                </c:pt>
                <c:pt idx="9">
                  <c:v>3.0362940630797772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91-4BCF-8672-72A881E04AE0}"/>
            </c:ext>
          </c:extLst>
        </c:ser>
        <c:ser>
          <c:idx val="3"/>
          <c:order val="3"/>
          <c:tx>
            <c:strRef>
              <c:f>[1]Sheet1!$Q$6</c:f>
              <c:strCache>
                <c:ptCount val="1"/>
                <c:pt idx="0">
                  <c:v>Equity Multiplier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[1]Sheet1!$Q$7:$Q$16</c:f>
              <c:numCache>
                <c:formatCode>General</c:formatCode>
                <c:ptCount val="10"/>
                <c:pt idx="0">
                  <c:v>17.69963614311704</c:v>
                </c:pt>
                <c:pt idx="1">
                  <c:v>20.256579745300183</c:v>
                </c:pt>
                <c:pt idx="2">
                  <c:v>22.977198302001213</c:v>
                </c:pt>
                <c:pt idx="3">
                  <c:v>25.459672528805335</c:v>
                </c:pt>
                <c:pt idx="4">
                  <c:v>26.948271679805941</c:v>
                </c:pt>
                <c:pt idx="5">
                  <c:v>28.700181928441481</c:v>
                </c:pt>
                <c:pt idx="6">
                  <c:v>32.206973923590056</c:v>
                </c:pt>
                <c:pt idx="7">
                  <c:v>34.697629547960311</c:v>
                </c:pt>
                <c:pt idx="8">
                  <c:v>36.608994441637194</c:v>
                </c:pt>
                <c:pt idx="9">
                  <c:v>39.591108615761534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291-4BCF-8672-72A881E04AE0}"/>
            </c:ext>
          </c:extLst>
        </c:ser>
        <c:ser>
          <c:idx val="4"/>
          <c:order val="4"/>
          <c:tx>
            <c:strRef>
              <c:f>[1]Sheet1!$R$6</c:f>
              <c:strCache>
                <c:ptCount val="1"/>
                <c:pt idx="0">
                  <c:v>EPS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[1]Sheet1!$R$7:$R$16</c:f>
              <c:numCache>
                <c:formatCode>General</c:formatCode>
                <c:ptCount val="10"/>
                <c:pt idx="0">
                  <c:v>9.92</c:v>
                </c:pt>
                <c:pt idx="1">
                  <c:v>12.72</c:v>
                </c:pt>
                <c:pt idx="2">
                  <c:v>11.53</c:v>
                </c:pt>
                <c:pt idx="3">
                  <c:v>10.09</c:v>
                </c:pt>
                <c:pt idx="4">
                  <c:v>10.92</c:v>
                </c:pt>
                <c:pt idx="5">
                  <c:v>10.83</c:v>
                </c:pt>
                <c:pt idx="6">
                  <c:v>10.66</c:v>
                </c:pt>
                <c:pt idx="7">
                  <c:v>12.77</c:v>
                </c:pt>
                <c:pt idx="8">
                  <c:v>11.72</c:v>
                </c:pt>
                <c:pt idx="9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291-4BCF-8672-72A881E04AE0}"/>
            </c:ext>
          </c:extLst>
        </c:ser>
        <c:ser>
          <c:idx val="5"/>
          <c:order val="5"/>
          <c:tx>
            <c:strRef>
              <c:f>[1]Sheet1!$S$6</c:f>
              <c:strCache>
                <c:ptCount val="1"/>
                <c:pt idx="0">
                  <c:v>Price To Book value ratio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val>
            <c:numRef>
              <c:f>[1]Sheet1!$S$7:$S$16</c:f>
              <c:numCache>
                <c:formatCode>General</c:formatCode>
                <c:ptCount val="10"/>
                <c:pt idx="0">
                  <c:v>1.83</c:v>
                </c:pt>
                <c:pt idx="1">
                  <c:v>1.46</c:v>
                </c:pt>
                <c:pt idx="2">
                  <c:v>1.1499999999999999</c:v>
                </c:pt>
                <c:pt idx="3">
                  <c:v>1.49</c:v>
                </c:pt>
                <c:pt idx="4">
                  <c:v>1.1599999999999999</c:v>
                </c:pt>
                <c:pt idx="5">
                  <c:v>1.42</c:v>
                </c:pt>
                <c:pt idx="6">
                  <c:v>1.37</c:v>
                </c:pt>
                <c:pt idx="7">
                  <c:v>1.25</c:v>
                </c:pt>
                <c:pt idx="8">
                  <c:v>0.73</c:v>
                </c:pt>
                <c:pt idx="9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291-4BCF-8672-72A881E04A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5611871"/>
        <c:axId val="965624767"/>
      </c:lineChart>
      <c:catAx>
        <c:axId val="9656118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24767"/>
        <c:crosses val="autoZero"/>
        <c:auto val="1"/>
        <c:lblAlgn val="ctr"/>
        <c:lblOffset val="100"/>
        <c:noMultiLvlLbl val="0"/>
      </c:catAx>
      <c:valAx>
        <c:axId val="965624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5611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</a:t>
            </a:r>
            <a:r>
              <a:rPr lang="en-US" baseline="0"/>
              <a:t>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'[2]Drishti (1)'!$B$5:$B$6</c:f>
              <c:strCache>
                <c:ptCount val="1"/>
                <c:pt idx="0">
                  <c:v>Liquidity Ratios Current ratio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(1)'!$B$7:$B$16</c:f>
              <c:numCache>
                <c:formatCode>General</c:formatCode>
                <c:ptCount val="10"/>
                <c:pt idx="0">
                  <c:v>1.9662593325250464</c:v>
                </c:pt>
                <c:pt idx="1">
                  <c:v>2.2012278788305246</c:v>
                </c:pt>
                <c:pt idx="2">
                  <c:v>2.1190785204412719</c:v>
                </c:pt>
                <c:pt idx="3">
                  <c:v>1.9536393465758739</c:v>
                </c:pt>
                <c:pt idx="4">
                  <c:v>1.9897227070001939</c:v>
                </c:pt>
                <c:pt idx="5">
                  <c:v>1.854950162049777</c:v>
                </c:pt>
                <c:pt idx="6">
                  <c:v>1.5406937427900871</c:v>
                </c:pt>
                <c:pt idx="7">
                  <c:v>1.3346632878632663</c:v>
                </c:pt>
                <c:pt idx="8">
                  <c:v>1.208143887519401</c:v>
                </c:pt>
                <c:pt idx="9">
                  <c:v>1.1926217742192733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86-4075-AD98-F6C40CE9BA88}"/>
            </c:ext>
          </c:extLst>
        </c:ser>
        <c:ser>
          <c:idx val="1"/>
          <c:order val="1"/>
          <c:tx>
            <c:strRef>
              <c:f>'[2]Drishti (1)'!$C$5:$C$6</c:f>
              <c:strCache>
                <c:ptCount val="1"/>
                <c:pt idx="0">
                  <c:v>Liquidity Ratios Quick ratio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(1)'!$C$7:$C$16</c:f>
              <c:numCache>
                <c:formatCode>General</c:formatCode>
                <c:ptCount val="10"/>
                <c:pt idx="0">
                  <c:v>1.7134515984940335</c:v>
                </c:pt>
                <c:pt idx="1">
                  <c:v>2.0065967702212997</c:v>
                </c:pt>
                <c:pt idx="2">
                  <c:v>1.9320844291130159</c:v>
                </c:pt>
                <c:pt idx="3">
                  <c:v>1.7527255406978794</c:v>
                </c:pt>
                <c:pt idx="4">
                  <c:v>1.7926119837114602</c:v>
                </c:pt>
                <c:pt idx="5">
                  <c:v>1.6512566501559349</c:v>
                </c:pt>
                <c:pt idx="6">
                  <c:v>1.3515652969489638</c:v>
                </c:pt>
                <c:pt idx="7">
                  <c:v>1.1464567495192393</c:v>
                </c:pt>
                <c:pt idx="8">
                  <c:v>1.0377065644115768</c:v>
                </c:pt>
                <c:pt idx="9">
                  <c:v>1.0422023031037673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86-4075-AD98-F6C40CE9BA88}"/>
            </c:ext>
          </c:extLst>
        </c:ser>
        <c:ser>
          <c:idx val="2"/>
          <c:order val="2"/>
          <c:tx>
            <c:strRef>
              <c:f>'[2]Drishti (1)'!$D$5:$D$6</c:f>
              <c:strCache>
                <c:ptCount val="1"/>
                <c:pt idx="0">
                  <c:v>Profitability Ratios ROCE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(1)'!$D$7:$D$16</c:f>
              <c:numCache>
                <c:formatCode>General</c:formatCode>
                <c:ptCount val="10"/>
                <c:pt idx="0">
                  <c:v>0.1383064087318851</c:v>
                </c:pt>
                <c:pt idx="1">
                  <c:v>0.10772640911969601</c:v>
                </c:pt>
                <c:pt idx="2">
                  <c:v>0.18152063337608915</c:v>
                </c:pt>
                <c:pt idx="3">
                  <c:v>0.16750547836347435</c:v>
                </c:pt>
                <c:pt idx="4">
                  <c:v>0.21663400262177632</c:v>
                </c:pt>
                <c:pt idx="5">
                  <c:v>0.59209346845135902</c:v>
                </c:pt>
                <c:pt idx="6">
                  <c:v>0.3309015721920962</c:v>
                </c:pt>
                <c:pt idx="7">
                  <c:v>0.19279641649145263</c:v>
                </c:pt>
                <c:pt idx="8">
                  <c:v>5.4239138525668064E-2</c:v>
                </c:pt>
                <c:pt idx="9">
                  <c:v>0.15158702124438614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86-4075-AD98-F6C40CE9BA88}"/>
            </c:ext>
          </c:extLst>
        </c:ser>
        <c:ser>
          <c:idx val="3"/>
          <c:order val="3"/>
          <c:tx>
            <c:strRef>
              <c:f>'[2]Drishti (1)'!$E$5:$E$6</c:f>
              <c:strCache>
                <c:ptCount val="1"/>
                <c:pt idx="0">
                  <c:v>Profitability Ratios Profit margin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(1)'!$E$7:$E$16</c:f>
              <c:numCache>
                <c:formatCode>General</c:formatCode>
                <c:ptCount val="10"/>
                <c:pt idx="0">
                  <c:v>0.1085259556519826</c:v>
                </c:pt>
                <c:pt idx="1">
                  <c:v>0.10026229701452949</c:v>
                </c:pt>
                <c:pt idx="2">
                  <c:v>0.11660415956358677</c:v>
                </c:pt>
                <c:pt idx="3">
                  <c:v>0.10697341812058346</c:v>
                </c:pt>
                <c:pt idx="4">
                  <c:v>0.14810772438883713</c:v>
                </c:pt>
                <c:pt idx="5">
                  <c:v>0.35516003207932345</c:v>
                </c:pt>
                <c:pt idx="6">
                  <c:v>0.15894610598905631</c:v>
                </c:pt>
                <c:pt idx="7">
                  <c:v>7.8354154089072592E-2</c:v>
                </c:pt>
                <c:pt idx="8">
                  <c:v>1.9197161700520764E-2</c:v>
                </c:pt>
                <c:pt idx="9">
                  <c:v>4.6295868201642852E-2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86-4075-AD98-F6C40CE9BA88}"/>
            </c:ext>
          </c:extLst>
        </c:ser>
        <c:ser>
          <c:idx val="4"/>
          <c:order val="4"/>
          <c:tx>
            <c:strRef>
              <c:f>'[2]Drishti (1)'!$F$5:$F$6</c:f>
              <c:strCache>
                <c:ptCount val="1"/>
                <c:pt idx="0">
                  <c:v>Profitability Ratios Asset utilisation ratio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(1)'!$F$7:$F$16</c:f>
              <c:numCache>
                <c:formatCode>General</c:formatCode>
                <c:ptCount val="10"/>
                <c:pt idx="0">
                  <c:v>1.2744085772015816</c:v>
                </c:pt>
                <c:pt idx="1">
                  <c:v>1.0744458518049398</c:v>
                </c:pt>
                <c:pt idx="2">
                  <c:v>1.5567251979300278</c:v>
                </c:pt>
                <c:pt idx="3">
                  <c:v>1.5658607652852359</c:v>
                </c:pt>
                <c:pt idx="4">
                  <c:v>1.462678624735551</c:v>
                </c:pt>
                <c:pt idx="5">
                  <c:v>1.6671173977119069</c:v>
                </c:pt>
                <c:pt idx="6">
                  <c:v>2.0818476183045296</c:v>
                </c:pt>
                <c:pt idx="7">
                  <c:v>2.4605768351768904</c:v>
                </c:pt>
                <c:pt idx="8">
                  <c:v>2.8253728010321817</c:v>
                </c:pt>
                <c:pt idx="9">
                  <c:v>3.2743099359136099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486-4075-AD98-F6C40CE9BA88}"/>
            </c:ext>
          </c:extLst>
        </c:ser>
        <c:ser>
          <c:idx val="5"/>
          <c:order val="5"/>
          <c:tx>
            <c:strRef>
              <c:f>'[2]Drishti (1)'!$G$5:$G$6</c:f>
              <c:strCache>
                <c:ptCount val="1"/>
                <c:pt idx="0">
                  <c:v>Gearing Ratio Asset gearing*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(1)'!$G$7:$G$16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486-4075-AD98-F6C40CE9BA88}"/>
            </c:ext>
          </c:extLst>
        </c:ser>
        <c:ser>
          <c:idx val="6"/>
          <c:order val="6"/>
          <c:tx>
            <c:strRef>
              <c:f>'[2]Drishti (1)'!$H$5:$H$6</c:f>
              <c:strCache>
                <c:ptCount val="1"/>
                <c:pt idx="0">
                  <c:v>Investors Ratio EPS (cash)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(1)'!$H$7:$H$16</c:f>
              <c:numCache>
                <c:formatCode>General</c:formatCode>
                <c:ptCount val="10"/>
                <c:pt idx="0">
                  <c:v>37.39</c:v>
                </c:pt>
                <c:pt idx="1">
                  <c:v>28.28</c:v>
                </c:pt>
                <c:pt idx="2">
                  <c:v>36.630000000000003</c:v>
                </c:pt>
                <c:pt idx="3">
                  <c:v>30.63</c:v>
                </c:pt>
                <c:pt idx="4">
                  <c:v>37.369999999999997</c:v>
                </c:pt>
                <c:pt idx="5">
                  <c:v>87.48</c:v>
                </c:pt>
                <c:pt idx="6">
                  <c:v>39.29</c:v>
                </c:pt>
                <c:pt idx="7">
                  <c:v>23.38</c:v>
                </c:pt>
                <c:pt idx="8">
                  <c:v>12.48</c:v>
                </c:pt>
                <c:pt idx="9">
                  <c:v>15.98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486-4075-AD98-F6C40CE9BA88}"/>
            </c:ext>
          </c:extLst>
        </c:ser>
        <c:ser>
          <c:idx val="7"/>
          <c:order val="7"/>
          <c:tx>
            <c:strRef>
              <c:f>'[2]Drishti (1)'!$I$5:$I$6</c:f>
              <c:strCache>
                <c:ptCount val="1"/>
                <c:pt idx="0">
                  <c:v>Investors Ratio P/E Ratio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(1)'!$I$7:$I$16</c:f>
              <c:numCache>
                <c:formatCode>General</c:formatCode>
                <c:ptCount val="10"/>
                <c:pt idx="0">
                  <c:v>71.8</c:v>
                </c:pt>
                <c:pt idx="1">
                  <c:v>57.95</c:v>
                </c:pt>
                <c:pt idx="2">
                  <c:v>50.35</c:v>
                </c:pt>
                <c:pt idx="3">
                  <c:v>27.58</c:v>
                </c:pt>
                <c:pt idx="4">
                  <c:v>37.229999999999997</c:v>
                </c:pt>
                <c:pt idx="5">
                  <c:v>70.02</c:v>
                </c:pt>
                <c:pt idx="6">
                  <c:v>33.24</c:v>
                </c:pt>
                <c:pt idx="7">
                  <c:v>99.35</c:v>
                </c:pt>
                <c:pt idx="8">
                  <c:v>89.63</c:v>
                </c:pt>
                <c:pt idx="9">
                  <c:v>39.909999999999997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486-4075-AD98-F6C40CE9BA88}"/>
            </c:ext>
          </c:extLst>
        </c:ser>
        <c:ser>
          <c:idx val="8"/>
          <c:order val="8"/>
          <c:tx>
            <c:strRef>
              <c:f>'[2]Drishti (1)'!$J$5:$J$6</c:f>
              <c:strCache>
                <c:ptCount val="1"/>
                <c:pt idx="0">
                  <c:v>Investors Ratio Dividend cover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(1)'!$J$7:$J$16</c:f>
              <c:numCache>
                <c:formatCode>General</c:formatCode>
                <c:ptCount val="10"/>
                <c:pt idx="0">
                  <c:v>4.6737500000000001</c:v>
                </c:pt>
                <c:pt idx="1">
                  <c:v>4.04</c:v>
                </c:pt>
                <c:pt idx="2">
                  <c:v>5.2328571428571431</c:v>
                </c:pt>
                <c:pt idx="3">
                  <c:v>4.3757142857142854</c:v>
                </c:pt>
                <c:pt idx="4">
                  <c:v>5.3385714285714281</c:v>
                </c:pt>
                <c:pt idx="5">
                  <c:v>2.6113432835820896</c:v>
                </c:pt>
                <c:pt idx="6">
                  <c:v>3.9289999999999998</c:v>
                </c:pt>
                <c:pt idx="7">
                  <c:v>3.8966666666666665</c:v>
                </c:pt>
                <c:pt idx="8">
                  <c:v>2.496</c:v>
                </c:pt>
                <c:pt idx="9">
                  <c:v>2.6633333333333336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486-4075-AD98-F6C40CE9BA88}"/>
            </c:ext>
          </c:extLst>
        </c:ser>
        <c:ser>
          <c:idx val="9"/>
          <c:order val="9"/>
          <c:tx>
            <c:strRef>
              <c:f>'[2]Drishti (1)'!$K$5:$K$6</c:f>
              <c:strCache>
                <c:ptCount val="1"/>
                <c:pt idx="0">
                  <c:v>Investors Ratio Dividend yield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(1)'!$K$7:$K$16</c:f>
              <c:numCache>
                <c:formatCode>General</c:formatCode>
                <c:ptCount val="10"/>
                <c:pt idx="0">
                  <c:v>3.3912674862229758E-3</c:v>
                </c:pt>
                <c:pt idx="1">
                  <c:v>2.8183190739808758E-3</c:v>
                </c:pt>
                <c:pt idx="2">
                  <c:v>4.5531416677507481E-3</c:v>
                </c:pt>
                <c:pt idx="3">
                  <c:v>6.8010687393733303E-3</c:v>
                </c:pt>
                <c:pt idx="4">
                  <c:v>5.649945518382501E-3</c:v>
                </c:pt>
                <c:pt idx="5">
                  <c:v>3.1942789034564961E-2</c:v>
                </c:pt>
                <c:pt idx="6">
                  <c:v>8.343763037129746E-3</c:v>
                </c:pt>
                <c:pt idx="7">
                  <c:v>8.9605734767025085E-3</c:v>
                </c:pt>
                <c:pt idx="8">
                  <c:v>7.4962518740629685E-3</c:v>
                </c:pt>
                <c:pt idx="9">
                  <c:v>9.124781385445974E-3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486-4075-AD98-F6C40CE9BA88}"/>
            </c:ext>
          </c:extLst>
        </c:ser>
        <c:ser>
          <c:idx val="10"/>
          <c:order val="10"/>
          <c:tx>
            <c:strRef>
              <c:f>'[2]Drishti (1)'!$L$5:$L$6</c:f>
              <c:strCache>
                <c:ptCount val="1"/>
                <c:pt idx="0">
                  <c:v>Dupont Analysis 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'[2]Drishti (1)'!$A$7:$A$16</c:f>
              <c:numCache>
                <c:formatCode>General</c:formatCode>
                <c:ptCount val="10"/>
                <c:pt idx="0">
                  <c:v>2021</c:v>
                </c:pt>
                <c:pt idx="1">
                  <c:v>2020</c:v>
                </c:pt>
                <c:pt idx="2">
                  <c:v>2019</c:v>
                </c:pt>
                <c:pt idx="3">
                  <c:v>2018</c:v>
                </c:pt>
                <c:pt idx="4">
                  <c:v>2017</c:v>
                </c:pt>
                <c:pt idx="5">
                  <c:v>2016</c:v>
                </c:pt>
                <c:pt idx="6">
                  <c:v>2015</c:v>
                </c:pt>
                <c:pt idx="7">
                  <c:v>2014</c:v>
                </c:pt>
                <c:pt idx="8">
                  <c:v>2013</c:v>
                </c:pt>
                <c:pt idx="9">
                  <c:v>2012</c:v>
                </c:pt>
              </c:numCache>
            </c:numRef>
          </c:cat>
          <c:val>
            <c:numRef>
              <c:f>'[2]Drishti (1)'!$L$7:$L$16</c:f>
              <c:numCache>
                <c:formatCode>General</c:formatCode>
                <c:ptCount val="10"/>
                <c:pt idx="0">
                  <c:v>1.9380270134763518</c:v>
                </c:pt>
                <c:pt idx="1">
                  <c:v>1.8688409472164784</c:v>
                </c:pt>
                <c:pt idx="2">
                  <c:v>3.0448624188682691</c:v>
                </c:pt>
                <c:pt idx="3">
                  <c:v>3.050070714338883</c:v>
                </c:pt>
                <c:pt idx="4">
                  <c:v>2.7085372320278767</c:v>
                </c:pt>
                <c:pt idx="5">
                  <c:v>2.7629998427755358</c:v>
                </c:pt>
                <c:pt idx="6">
                  <c:v>2.9567770244236264</c:v>
                </c:pt>
                <c:pt idx="7">
                  <c:v>3.5823213171410746</c:v>
                </c:pt>
                <c:pt idx="8">
                  <c:v>5.3865679432404745</c:v>
                </c:pt>
                <c:pt idx="9">
                  <c:v>7.9881072111032889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486-4075-AD98-F6C40CE9B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06688591"/>
        <c:axId val="1307140143"/>
      </c:lineChart>
      <c:catAx>
        <c:axId val="1306688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7140143"/>
        <c:crosses val="autoZero"/>
        <c:auto val="1"/>
        <c:lblAlgn val="ctr"/>
        <c:lblOffset val="100"/>
        <c:noMultiLvlLbl val="0"/>
      </c:catAx>
      <c:valAx>
        <c:axId val="1307140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6688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IN"/>
              <a:t>Ratios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0590341717347794E-2"/>
          <c:y val="3.4057704465773893E-2"/>
          <c:w val="0.95362664826259269"/>
          <c:h val="0.81218813648293964"/>
        </c:manualLayout>
      </c:layout>
      <c:lineChart>
        <c:grouping val="standard"/>
        <c:varyColors val="0"/>
        <c:ser>
          <c:idx val="0"/>
          <c:order val="0"/>
          <c:tx>
            <c:v>Current Ratio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'[3]Mitali(2)'!$B$9:$B$20</c:f>
              <c:numCache>
                <c:formatCode>General</c:formatCode>
                <c:ptCount val="12"/>
                <c:pt idx="0">
                  <c:v>4.947106524143015</c:v>
                </c:pt>
                <c:pt idx="1">
                  <c:v>4.4629969868450061</c:v>
                </c:pt>
                <c:pt idx="2">
                  <c:v>5.4255013114476691</c:v>
                </c:pt>
                <c:pt idx="3">
                  <c:v>6.7910764872521243</c:v>
                </c:pt>
                <c:pt idx="4">
                  <c:v>6.2026947861745754</c:v>
                </c:pt>
                <c:pt idx="5">
                  <c:v>6.1339892484024752</c:v>
                </c:pt>
                <c:pt idx="6">
                  <c:v>7.4006215201346626</c:v>
                </c:pt>
                <c:pt idx="7">
                  <c:v>8.954944237918216</c:v>
                </c:pt>
                <c:pt idx="8">
                  <c:v>7.316532982162097</c:v>
                </c:pt>
                <c:pt idx="9">
                  <c:v>6.0309060118543609</c:v>
                </c:pt>
                <c:pt idx="10">
                  <c:v>6.6796865124510179</c:v>
                </c:pt>
                <c:pt idx="11">
                  <c:v>8.111128048780488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6B-495A-880C-57B31FB3659F}"/>
            </c:ext>
          </c:extLst>
        </c:ser>
        <c:ser>
          <c:idx val="1"/>
          <c:order val="1"/>
          <c:tx>
            <c:v>Quick Ratio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'[3]Mitali(2)'!$C$9:$C$20</c:f>
              <c:numCache>
                <c:formatCode>General</c:formatCode>
                <c:ptCount val="12"/>
                <c:pt idx="0">
                  <c:v>1.0997458214588307</c:v>
                </c:pt>
                <c:pt idx="1">
                  <c:v>1.1416353725015143</c:v>
                </c:pt>
                <c:pt idx="2">
                  <c:v>1.3674867316792596</c:v>
                </c:pt>
                <c:pt idx="3">
                  <c:v>1.5424975746469765</c:v>
                </c:pt>
                <c:pt idx="4">
                  <c:v>1.5489215743270741</c:v>
                </c:pt>
                <c:pt idx="5">
                  <c:v>1.5321467490010898</c:v>
                </c:pt>
                <c:pt idx="6">
                  <c:v>1.6965952773201538</c:v>
                </c:pt>
                <c:pt idx="7">
                  <c:v>1.6991805361453436</c:v>
                </c:pt>
                <c:pt idx="8">
                  <c:v>1.7037037037037037</c:v>
                </c:pt>
                <c:pt idx="9">
                  <c:v>1.7915645848252988</c:v>
                </c:pt>
                <c:pt idx="10">
                  <c:v>1.797208111675533</c:v>
                </c:pt>
                <c:pt idx="11">
                  <c:v>1.8729272895170033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6B-495A-880C-57B31FB3659F}"/>
            </c:ext>
          </c:extLst>
        </c:ser>
        <c:ser>
          <c:idx val="2"/>
          <c:order val="2"/>
          <c:tx>
            <c:v>ROCE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'[3]Mitali(2)'!$D$9:$D$20</c:f>
              <c:numCache>
                <c:formatCode>General</c:formatCode>
                <c:ptCount val="12"/>
                <c:pt idx="0">
                  <c:v>0.44606370932007289</c:v>
                </c:pt>
                <c:pt idx="1">
                  <c:v>0.40504694835680749</c:v>
                </c:pt>
                <c:pt idx="2">
                  <c:v>0.29926413026459997</c:v>
                </c:pt>
                <c:pt idx="3">
                  <c:v>0.1438915292144255</c:v>
                </c:pt>
                <c:pt idx="4">
                  <c:v>6.5257433558459782E-2</c:v>
                </c:pt>
                <c:pt idx="5">
                  <c:v>-2.4857954545454544E-2</c:v>
                </c:pt>
                <c:pt idx="6">
                  <c:v>3.2054245646478657E-2</c:v>
                </c:pt>
                <c:pt idx="7">
                  <c:v>5.8562691131498472E-2</c:v>
                </c:pt>
                <c:pt idx="8">
                  <c:v>7.1287885469030185E-2</c:v>
                </c:pt>
                <c:pt idx="9">
                  <c:v>-1.4892250189803189E-3</c:v>
                </c:pt>
                <c:pt idx="10">
                  <c:v>-0.10013049428689647</c:v>
                </c:pt>
                <c:pt idx="11">
                  <c:v>2.4904877205119337E-2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6B-495A-880C-57B31FB3659F}"/>
            </c:ext>
          </c:extLst>
        </c:ser>
        <c:ser>
          <c:idx val="3"/>
          <c:order val="3"/>
          <c:tx>
            <c:v>Profit Margin</c:v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'[3]Mitali(2)'!$E$9:$E$20</c:f>
              <c:numCache>
                <c:formatCode>General</c:formatCode>
                <c:ptCount val="12"/>
                <c:pt idx="0">
                  <c:v>0.14232608798598287</c:v>
                </c:pt>
                <c:pt idx="1">
                  <c:v>0.1467767492285881</c:v>
                </c:pt>
                <c:pt idx="2">
                  <c:v>0.13664249860568878</c:v>
                </c:pt>
                <c:pt idx="3">
                  <c:v>8.851436024654101E-2</c:v>
                </c:pt>
                <c:pt idx="4">
                  <c:v>4.6195917570075205E-2</c:v>
                </c:pt>
                <c:pt idx="5">
                  <c:v>-2.7879216240625122E-2</c:v>
                </c:pt>
                <c:pt idx="6">
                  <c:v>1.7443291717953228E-2</c:v>
                </c:pt>
                <c:pt idx="7">
                  <c:v>2.8008190747232153E-2</c:v>
                </c:pt>
                <c:pt idx="8">
                  <c:v>3.973967064392072E-2</c:v>
                </c:pt>
                <c:pt idx="9">
                  <c:v>-6.8642527610792675E-2</c:v>
                </c:pt>
                <c:pt idx="10">
                  <c:v>-0.15697943147677373</c:v>
                </c:pt>
                <c:pt idx="11">
                  <c:v>1.9329593135637171E-2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6B-495A-880C-57B31FB3659F}"/>
            </c:ext>
          </c:extLst>
        </c:ser>
        <c:ser>
          <c:idx val="4"/>
          <c:order val="4"/>
          <c:tx>
            <c:v>Asset Utilization Ratio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'[3]Mitali(2)'!$F$9:$F$20</c:f>
              <c:numCache>
                <c:formatCode>General</c:formatCode>
                <c:ptCount val="12"/>
                <c:pt idx="0">
                  <c:v>2.0793658608635717</c:v>
                </c:pt>
                <c:pt idx="1">
                  <c:v>1.8765258215962441</c:v>
                </c:pt>
                <c:pt idx="2">
                  <c:v>1.5159229685298261</c:v>
                </c:pt>
                <c:pt idx="3">
                  <c:v>1.0931227285434721</c:v>
                </c:pt>
                <c:pt idx="4">
                  <c:v>0.89807911586702915</c:v>
                </c:pt>
                <c:pt idx="5">
                  <c:v>0.78640686758893286</c:v>
                </c:pt>
                <c:pt idx="6">
                  <c:v>0.87640622592078898</c:v>
                </c:pt>
                <c:pt idx="7">
                  <c:v>0.88113149847094796</c:v>
                </c:pt>
                <c:pt idx="8">
                  <c:v>0.89434694417497129</c:v>
                </c:pt>
                <c:pt idx="9">
                  <c:v>0.62661332710389539</c:v>
                </c:pt>
                <c:pt idx="10">
                  <c:v>0.55087685795219454</c:v>
                </c:pt>
                <c:pt idx="11">
                  <c:v>0.66699160403760893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6B-495A-880C-57B31FB3659F}"/>
            </c:ext>
          </c:extLst>
        </c:ser>
        <c:ser>
          <c:idx val="5"/>
          <c:order val="5"/>
          <c:tx>
            <c:v>Capital Gearing</c:v>
          </c:tx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'[3]Mitali(2)'!$G$9:$G$20</c:f>
              <c:numCache>
                <c:formatCode>General</c:formatCode>
                <c:ptCount val="12"/>
                <c:pt idx="0">
                  <c:v>7.7298015853478411E-3</c:v>
                </c:pt>
                <c:pt idx="1">
                  <c:v>7.2769953051643197E-3</c:v>
                </c:pt>
                <c:pt idx="2">
                  <c:v>4.6657272584938153E-2</c:v>
                </c:pt>
                <c:pt idx="3">
                  <c:v>7.6097288230360632E-2</c:v>
                </c:pt>
                <c:pt idx="4">
                  <c:v>3.4499897669795047E-3</c:v>
                </c:pt>
                <c:pt idx="5">
                  <c:v>6.2376482213438739E-3</c:v>
                </c:pt>
                <c:pt idx="6">
                  <c:v>4.6232085067036523E-3</c:v>
                </c:pt>
                <c:pt idx="7">
                  <c:v>3.0275229357798164E-3</c:v>
                </c:pt>
                <c:pt idx="8">
                  <c:v>7.6020813122850334E-2</c:v>
                </c:pt>
                <c:pt idx="9">
                  <c:v>0.14790048472814343</c:v>
                </c:pt>
                <c:pt idx="10">
                  <c:v>0.15707056239854864</c:v>
                </c:pt>
                <c:pt idx="11">
                  <c:v>0.15188201628879594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6B-495A-880C-57B31FB3659F}"/>
            </c:ext>
          </c:extLst>
        </c:ser>
        <c:ser>
          <c:idx val="6"/>
          <c:order val="6"/>
          <c:tx>
            <c:v>Shareholder's Equity Ratio</c:v>
          </c:tx>
          <c:spPr>
            <a:ln w="34925" cap="rnd">
              <a:solidFill>
                <a:schemeClr val="accent1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'[3]Mitali(2)'!$H$9:$H$20</c:f>
              <c:numCache>
                <c:formatCode>General</c:formatCode>
                <c:ptCount val="12"/>
                <c:pt idx="0">
                  <c:v>0.9922223323095215</c:v>
                </c:pt>
                <c:pt idx="1">
                  <c:v>0.99272169328822091</c:v>
                </c:pt>
                <c:pt idx="2">
                  <c:v>0.9531495815241332</c:v>
                </c:pt>
                <c:pt idx="3">
                  <c:v>0.9235371780106183</c:v>
                </c:pt>
                <c:pt idx="4">
                  <c:v>0.99656023990121712</c:v>
                </c:pt>
                <c:pt idx="5">
                  <c:v>0.99377033937703396</c:v>
                </c:pt>
                <c:pt idx="6">
                  <c:v>0.99539056457849961</c:v>
                </c:pt>
                <c:pt idx="7">
                  <c:v>0.99696001965239822</c:v>
                </c:pt>
                <c:pt idx="8">
                  <c:v>0.92363099630996315</c:v>
                </c:pt>
                <c:pt idx="9">
                  <c:v>0.85136721042131203</c:v>
                </c:pt>
                <c:pt idx="10">
                  <c:v>0.84204800000000002</c:v>
                </c:pt>
                <c:pt idx="11">
                  <c:v>0.84777812795461704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6B-495A-880C-57B31FB3659F}"/>
            </c:ext>
          </c:extLst>
        </c:ser>
        <c:ser>
          <c:idx val="7"/>
          <c:order val="7"/>
          <c:tx>
            <c:v>EPS</c:v>
          </c:tx>
          <c:spPr>
            <a:ln w="34925" cap="rnd">
              <a:solidFill>
                <a:schemeClr val="accent2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val>
            <c:numRef>
              <c:f>'[3]Mitali(2)'!$I$9:$I$20</c:f>
              <c:numCache>
                <c:formatCode>General</c:formatCode>
                <c:ptCount val="12"/>
                <c:pt idx="0">
                  <c:v>16.489999999999998</c:v>
                </c:pt>
                <c:pt idx="1">
                  <c:v>19.3</c:v>
                </c:pt>
                <c:pt idx="2">
                  <c:v>18.23</c:v>
                </c:pt>
                <c:pt idx="3">
                  <c:v>9.5399999999999991</c:v>
                </c:pt>
                <c:pt idx="4">
                  <c:v>3.96</c:v>
                </c:pt>
                <c:pt idx="5">
                  <c:v>-1.92</c:v>
                </c:pt>
                <c:pt idx="6">
                  <c:v>1.25</c:v>
                </c:pt>
                <c:pt idx="7">
                  <c:v>1.2</c:v>
                </c:pt>
                <c:pt idx="8">
                  <c:v>2.89</c:v>
                </c:pt>
                <c:pt idx="9">
                  <c:v>-4.21</c:v>
                </c:pt>
                <c:pt idx="10">
                  <c:v>-7.75</c:v>
                </c:pt>
                <c:pt idx="11">
                  <c:v>1.28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6B-495A-880C-57B31FB3659F}"/>
            </c:ext>
          </c:extLst>
        </c:ser>
        <c:ser>
          <c:idx val="8"/>
          <c:order val="8"/>
          <c:tx>
            <c:v>PE Ratio</c:v>
          </c:tx>
          <c:spPr>
            <a:ln w="34925" cap="rnd">
              <a:solidFill>
                <a:schemeClr val="accent3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'[3]Mitali(2)'!$J$9:$J$20</c:f>
              <c:numCache>
                <c:formatCode>General</c:formatCode>
                <c:ptCount val="12"/>
                <c:pt idx="0">
                  <c:v>16.616130988477867</c:v>
                </c:pt>
                <c:pt idx="1">
                  <c:v>7.1450777202072535</c:v>
                </c:pt>
                <c:pt idx="2">
                  <c:v>7.3340647284695546</c:v>
                </c:pt>
                <c:pt idx="3">
                  <c:v>16.925576519916145</c:v>
                </c:pt>
                <c:pt idx="4">
                  <c:v>42.366161616161619</c:v>
                </c:pt>
                <c:pt idx="5">
                  <c:v>-44.479166666666671</c:v>
                </c:pt>
                <c:pt idx="6">
                  <c:v>84.503999999999991</c:v>
                </c:pt>
                <c:pt idx="7">
                  <c:v>62.541666666666664</c:v>
                </c:pt>
                <c:pt idx="8">
                  <c:v>24.290657439446367</c:v>
                </c:pt>
                <c:pt idx="9">
                  <c:v>-6.6508313539192399</c:v>
                </c:pt>
                <c:pt idx="10">
                  <c:v>-9.2774193548387096</c:v>
                </c:pt>
                <c:pt idx="11">
                  <c:v>39.9609375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6B-495A-880C-57B31FB3659F}"/>
            </c:ext>
          </c:extLst>
        </c:ser>
        <c:ser>
          <c:idx val="9"/>
          <c:order val="9"/>
          <c:tx>
            <c:v>Dividend Yield</c:v>
          </c:tx>
          <c:spPr>
            <a:ln w="34925" cap="rnd">
              <a:solidFill>
                <a:schemeClr val="accent4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'[3]Mitali(2)'!$K$9:$K$20</c:f>
              <c:numCache>
                <c:formatCode>General</c:formatCode>
                <c:ptCount val="12"/>
                <c:pt idx="0">
                  <c:v>1.5045620437956203E-2</c:v>
                </c:pt>
                <c:pt idx="1">
                  <c:v>3.0790427846265411E-2</c:v>
                </c:pt>
                <c:pt idx="2">
                  <c:v>2.727000747943157E-2</c:v>
                </c:pt>
                <c:pt idx="3">
                  <c:v>1.1816436489750417E-2</c:v>
                </c:pt>
                <c:pt idx="4">
                  <c:v>4.720748643976873E-3</c:v>
                </c:pt>
                <c:pt idx="5">
                  <c:v>3.1475409836065576E-3</c:v>
                </c:pt>
                <c:pt idx="6">
                  <c:v>9.2303322919625123E-3</c:v>
                </c:pt>
                <c:pt idx="7">
                  <c:v>1.3271152564956694E-2</c:v>
                </c:pt>
                <c:pt idx="8">
                  <c:v>2.3877492877492874E-2</c:v>
                </c:pt>
                <c:pt idx="9">
                  <c:v>0</c:v>
                </c:pt>
                <c:pt idx="10">
                  <c:v>0</c:v>
                </c:pt>
                <c:pt idx="11">
                  <c:v>8.5083088954056706E-3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6B-495A-880C-57B31FB3659F}"/>
            </c:ext>
          </c:extLst>
        </c:ser>
        <c:ser>
          <c:idx val="10"/>
          <c:order val="10"/>
          <c:tx>
            <c:v>Dividend Cover</c:v>
          </c:tx>
          <c:spPr>
            <a:ln w="34925" cap="rnd">
              <a:solidFill>
                <a:schemeClr val="accent5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'[3]Mitali(2)'!$L$9:$L$20</c:f>
              <c:numCache>
                <c:formatCode>General</c:formatCode>
                <c:ptCount val="12"/>
                <c:pt idx="0">
                  <c:v>4</c:v>
                </c:pt>
                <c:pt idx="1">
                  <c:v>4.545454545454545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-7.1428571428571415</c:v>
                </c:pt>
                <c:pt idx="6">
                  <c:v>1.2820512820512819</c:v>
                </c:pt>
                <c:pt idx="7">
                  <c:v>1.2048192771084338</c:v>
                </c:pt>
                <c:pt idx="8">
                  <c:v>1.7241379310344829</c:v>
                </c:pt>
                <c:pt idx="9">
                  <c:v>0</c:v>
                </c:pt>
                <c:pt idx="10">
                  <c:v>0</c:v>
                </c:pt>
                <c:pt idx="11">
                  <c:v>2.9411764705882351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6B-495A-880C-57B31FB3659F}"/>
            </c:ext>
          </c:extLst>
        </c:ser>
        <c:ser>
          <c:idx val="11"/>
          <c:order val="11"/>
          <c:tx>
            <c:v>Dupont Analysis</c:v>
          </c:tx>
          <c:spPr>
            <a:ln w="34925" cap="rnd">
              <a:solidFill>
                <a:schemeClr val="accent6">
                  <a:lumMod val="6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'[3]Mitali(2)'!$M$9:$M$20</c:f>
              <c:numCache>
                <c:formatCode>General</c:formatCode>
                <c:ptCount val="12"/>
                <c:pt idx="0">
                  <c:v>0.29825344844695845</c:v>
                </c:pt>
                <c:pt idx="1">
                  <c:v>0.30926023545949743</c:v>
                </c:pt>
                <c:pt idx="2">
                  <c:v>0.23701606979702253</c:v>
                </c:pt>
                <c:pt idx="3">
                  <c:v>0.10901989195659365</c:v>
                </c:pt>
                <c:pt idx="4">
                  <c:v>4.2274291332131737E-2</c:v>
                </c:pt>
                <c:pt idx="5">
                  <c:v>-2.1428463639518915E-2</c:v>
                </c:pt>
                <c:pt idx="6">
                  <c:v>1.5385331203374847E-2</c:v>
                </c:pt>
                <c:pt idx="7">
                  <c:v>2.4870562130177513E-2</c:v>
                </c:pt>
                <c:pt idx="8">
                  <c:v>3.7762368815592202E-2</c:v>
                </c:pt>
                <c:pt idx="9">
                  <c:v>-4.8604236784795092E-2</c:v>
                </c:pt>
                <c:pt idx="10">
                  <c:v>-9.7619689212251864E-2</c:v>
                </c:pt>
                <c:pt idx="11">
                  <c:v>1.5340005612197175E-2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6B-495A-880C-57B31FB36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473840"/>
        <c:axId val="826469680"/>
      </c:lineChart>
      <c:catAx>
        <c:axId val="82647384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69680"/>
        <c:crosses val="autoZero"/>
        <c:auto val="1"/>
        <c:lblAlgn val="ctr"/>
        <c:lblOffset val="100"/>
        <c:noMultiLvlLbl val="0"/>
      </c:catAx>
      <c:valAx>
        <c:axId val="82646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6473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11288</xdr:rowOff>
    </xdr:from>
    <xdr:to>
      <xdr:col>5</xdr:col>
      <xdr:colOff>705556</xdr:colOff>
      <xdr:row>24</xdr:row>
      <xdr:rowOff>426155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5B9B66-8935-4370-B5AD-B382D8A362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712611</xdr:colOff>
      <xdr:row>16</xdr:row>
      <xdr:rowOff>4233</xdr:rowOff>
    </xdr:from>
    <xdr:to>
      <xdr:col>11</xdr:col>
      <xdr:colOff>585611</xdr:colOff>
      <xdr:row>24</xdr:row>
      <xdr:rowOff>419100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76F882-A593-4D75-B456-92FC67CC1A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592667</xdr:colOff>
      <xdr:row>16</xdr:row>
      <xdr:rowOff>18344</xdr:rowOff>
    </xdr:from>
    <xdr:to>
      <xdr:col>18</xdr:col>
      <xdr:colOff>84667</xdr:colOff>
      <xdr:row>24</xdr:row>
      <xdr:rowOff>433211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E902006-7A0C-4954-B1D7-14AA6BD971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84668</xdr:colOff>
      <xdr:row>16</xdr:row>
      <xdr:rowOff>4233</xdr:rowOff>
    </xdr:from>
    <xdr:to>
      <xdr:col>25</xdr:col>
      <xdr:colOff>409223</xdr:colOff>
      <xdr:row>24</xdr:row>
      <xdr:rowOff>419100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7F065FE-55C7-4F97-8645-E4EFD6ACD5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17</xdr:row>
      <xdr:rowOff>273050</xdr:rowOff>
    </xdr:from>
    <xdr:to>
      <xdr:col>11</xdr:col>
      <xdr:colOff>266700</xdr:colOff>
      <xdr:row>34</xdr:row>
      <xdr:rowOff>88900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BE4E18F-E632-4EFC-9464-FEBD0608C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579120</xdr:colOff>
      <xdr:row>21</xdr:row>
      <xdr:rowOff>129540</xdr:rowOff>
    </xdr:from>
    <xdr:to>
      <xdr:col>12</xdr:col>
      <xdr:colOff>198120</xdr:colOff>
      <xdr:row>50</xdr:row>
      <xdr:rowOff>45720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48065B-5E48-4954-9BE6-ACB3D002A2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tp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\Desktop\Downloads\BF-2%20Projec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OneDrive\Desktop\Downloads\BH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6">
          <cell r="G6" t="str">
            <v>Current ratio</v>
          </cell>
          <cell r="H6" t="str">
            <v>Quick Ratio</v>
          </cell>
          <cell r="I6" t="str">
            <v>ROCE</v>
          </cell>
          <cell r="J6" t="str">
            <v>Net Asset Utilisation Ratio</v>
          </cell>
          <cell r="K6" t="str">
            <v>Net Profit Margin</v>
          </cell>
          <cell r="L6" t="str">
            <v>Gearing</v>
          </cell>
          <cell r="M6" t="str">
            <v>Income Gearing</v>
          </cell>
          <cell r="N6" t="str">
            <v>Interest Coverage Ratio</v>
          </cell>
          <cell r="O6" t="str">
            <v>Asset Coverage Ratio</v>
          </cell>
          <cell r="P6" t="str">
            <v>DIVIDEND YEILD(%)</v>
          </cell>
          <cell r="Q6" t="str">
            <v>Equity Multiplier</v>
          </cell>
          <cell r="R6" t="str">
            <v>EPS</v>
          </cell>
          <cell r="S6" t="str">
            <v>Price To Book value ratio</v>
          </cell>
        </row>
        <row r="7">
          <cell r="G7">
            <v>2.06</v>
          </cell>
          <cell r="H7">
            <v>2.042947408427954</v>
          </cell>
          <cell r="I7">
            <v>0.12</v>
          </cell>
          <cell r="J7">
            <v>0.4892960028808066</v>
          </cell>
          <cell r="K7">
            <v>0.1489</v>
          </cell>
          <cell r="L7">
            <v>0.73</v>
          </cell>
          <cell r="M7">
            <v>0.12214229755715404</v>
          </cell>
          <cell r="N7">
            <v>7.14</v>
          </cell>
          <cell r="O7">
            <v>2.4531911931422661</v>
          </cell>
          <cell r="P7">
            <v>1.5094905094905096</v>
          </cell>
          <cell r="Q7">
            <v>17.69963614311704</v>
          </cell>
          <cell r="R7">
            <v>9.92</v>
          </cell>
          <cell r="S7">
            <v>1.83</v>
          </cell>
        </row>
        <row r="8">
          <cell r="G8">
            <v>1.67</v>
          </cell>
          <cell r="H8">
            <v>1.8743177459802332</v>
          </cell>
          <cell r="I8">
            <v>0.12</v>
          </cell>
          <cell r="J8">
            <v>0.49703811604758436</v>
          </cell>
          <cell r="K8">
            <v>0.17460000000000001</v>
          </cell>
          <cell r="L8">
            <v>0.79</v>
          </cell>
          <cell r="M8">
            <v>0.10441875540190147</v>
          </cell>
          <cell r="N8">
            <v>7.67</v>
          </cell>
          <cell r="O8">
            <v>1.7719877549616483</v>
          </cell>
          <cell r="P8">
            <v>2.0952380952380953</v>
          </cell>
          <cell r="Q8">
            <v>20.256579745300183</v>
          </cell>
          <cell r="R8">
            <v>12.72</v>
          </cell>
          <cell r="S8">
            <v>1.46</v>
          </cell>
        </row>
        <row r="9">
          <cell r="G9">
            <v>1.5</v>
          </cell>
          <cell r="H9">
            <v>1.6826131358907257</v>
          </cell>
          <cell r="I9">
            <v>0.11</v>
          </cell>
          <cell r="J9">
            <v>0.47051519898360633</v>
          </cell>
          <cell r="K9">
            <v>0.13800000000000001</v>
          </cell>
          <cell r="L9">
            <v>0.95</v>
          </cell>
          <cell r="M9">
            <v>0.15063221550302364</v>
          </cell>
          <cell r="N9">
            <v>5.33</v>
          </cell>
          <cell r="O9">
            <v>2.2775941640613371</v>
          </cell>
          <cell r="P9">
            <v>2.8221930974224554</v>
          </cell>
          <cell r="Q9">
            <v>22.977198302001213</v>
          </cell>
          <cell r="R9">
            <v>11.53</v>
          </cell>
          <cell r="S9">
            <v>1.1499999999999999</v>
          </cell>
        </row>
        <row r="10">
          <cell r="G10">
            <v>1.1599999999999999</v>
          </cell>
          <cell r="H10">
            <v>1.423485833851722</v>
          </cell>
          <cell r="I10">
            <v>0.08</v>
          </cell>
          <cell r="J10">
            <v>0.46709808151125926</v>
          </cell>
          <cell r="K10">
            <v>0.11890000000000001</v>
          </cell>
          <cell r="L10">
            <v>1.26</v>
          </cell>
          <cell r="M10">
            <v>0.21226379864067518</v>
          </cell>
          <cell r="N10">
            <v>3.82</v>
          </cell>
          <cell r="O10">
            <v>1.9495552066980639</v>
          </cell>
          <cell r="P10">
            <v>1.0694363952477544</v>
          </cell>
          <cell r="Q10">
            <v>25.459672528805335</v>
          </cell>
          <cell r="R10">
            <v>10.09</v>
          </cell>
          <cell r="S10">
            <v>1.49</v>
          </cell>
        </row>
        <row r="11">
          <cell r="G11">
            <v>0.85</v>
          </cell>
          <cell r="H11">
            <v>1.2793916711222004</v>
          </cell>
          <cell r="I11">
            <v>0.08</v>
          </cell>
          <cell r="J11">
            <v>0.43324266933886862</v>
          </cell>
          <cell r="K11">
            <v>0.14480000000000001</v>
          </cell>
          <cell r="L11">
            <v>1.0900000000000001</v>
          </cell>
          <cell r="M11">
            <v>0.23999426194233253</v>
          </cell>
          <cell r="N11">
            <v>4.1100000000000003</v>
          </cell>
          <cell r="O11">
            <v>1.9784052265144769</v>
          </cell>
          <cell r="P11">
            <v>1.6712926249008724</v>
          </cell>
          <cell r="Q11">
            <v>26.948271679805941</v>
          </cell>
          <cell r="R11">
            <v>10.92</v>
          </cell>
          <cell r="S11">
            <v>1.1599999999999999</v>
          </cell>
        </row>
        <row r="12">
          <cell r="G12">
            <v>0.75</v>
          </cell>
          <cell r="H12">
            <v>1.1589618815896188</v>
          </cell>
          <cell r="I12">
            <v>0.09</v>
          </cell>
          <cell r="J12">
            <v>0.38414488667172758</v>
          </cell>
          <cell r="K12">
            <v>0.1283</v>
          </cell>
          <cell r="L12">
            <v>1.18</v>
          </cell>
          <cell r="M12">
            <v>0.2348422322392229</v>
          </cell>
          <cell r="N12">
            <v>4.4800000000000004</v>
          </cell>
          <cell r="O12">
            <v>1.8987925870460503</v>
          </cell>
          <cell r="P12">
            <v>1.5671622326551904</v>
          </cell>
          <cell r="Q12">
            <v>28.700181928441481</v>
          </cell>
          <cell r="R12">
            <v>10.83</v>
          </cell>
          <cell r="S12">
            <v>1.42</v>
          </cell>
        </row>
        <row r="13">
          <cell r="G13">
            <v>1</v>
          </cell>
          <cell r="H13">
            <v>1.13981178396072</v>
          </cell>
          <cell r="I13">
            <v>0.09</v>
          </cell>
          <cell r="J13">
            <v>0.38544646946141992</v>
          </cell>
          <cell r="K13">
            <v>0.113</v>
          </cell>
          <cell r="L13">
            <v>1.27</v>
          </cell>
          <cell r="M13">
            <v>0.20391916717697489</v>
          </cell>
          <cell r="N13">
            <v>4.53</v>
          </cell>
          <cell r="O13">
            <v>1.8352781546811399</v>
          </cell>
          <cell r="P13">
            <v>1.7604348720057572</v>
          </cell>
          <cell r="Q13">
            <v>32.206973923590056</v>
          </cell>
          <cell r="R13">
            <v>10.66</v>
          </cell>
          <cell r="S13">
            <v>1.37</v>
          </cell>
        </row>
        <row r="14">
          <cell r="G14">
            <v>0.79</v>
          </cell>
          <cell r="H14">
            <v>1.0923833100132745</v>
          </cell>
          <cell r="I14">
            <v>7.0000000000000007E-2</v>
          </cell>
          <cell r="J14">
            <v>0.37358874036404005</v>
          </cell>
          <cell r="K14">
            <v>0.12939999999999999</v>
          </cell>
          <cell r="L14">
            <v>1.49</v>
          </cell>
          <cell r="M14">
            <v>0.34816947150870975</v>
          </cell>
          <cell r="N14">
            <v>2.66</v>
          </cell>
          <cell r="O14">
            <v>1.7506914927139425</v>
          </cell>
          <cell r="P14">
            <v>1.9807947484282482</v>
          </cell>
          <cell r="Q14">
            <v>34.697629547960311</v>
          </cell>
          <cell r="R14">
            <v>12.77</v>
          </cell>
          <cell r="S14">
            <v>1.25</v>
          </cell>
        </row>
        <row r="15">
          <cell r="G15">
            <v>0.96</v>
          </cell>
          <cell r="H15">
            <v>1.2670326122053601</v>
          </cell>
          <cell r="I15">
            <v>0.1</v>
          </cell>
          <cell r="J15">
            <v>0.55588590141330574</v>
          </cell>
          <cell r="K15">
            <v>9.8900000000000002E-2</v>
          </cell>
          <cell r="L15">
            <v>1.73</v>
          </cell>
          <cell r="M15">
            <v>0.26055798267801028</v>
          </cell>
          <cell r="N15">
            <v>3.55</v>
          </cell>
          <cell r="O15">
            <v>1.6708710702261842</v>
          </cell>
          <cell r="P15">
            <v>0.59523809523809523</v>
          </cell>
          <cell r="Q15">
            <v>36.608994441637194</v>
          </cell>
          <cell r="R15">
            <v>11.72</v>
          </cell>
          <cell r="S15">
            <v>0.73</v>
          </cell>
        </row>
        <row r="16">
          <cell r="G16">
            <v>0.97</v>
          </cell>
          <cell r="H16">
            <v>1.2809000016691425</v>
          </cell>
          <cell r="I16">
            <v>0.09</v>
          </cell>
          <cell r="J16">
            <v>0.33578043133910079</v>
          </cell>
          <cell r="K16">
            <v>0.13</v>
          </cell>
          <cell r="L16">
            <v>1.49</v>
          </cell>
          <cell r="M16">
            <v>0.32214736114710202</v>
          </cell>
          <cell r="N16">
            <v>2.99</v>
          </cell>
          <cell r="O16">
            <v>1.6718858023641947</v>
          </cell>
          <cell r="P16">
            <v>3.0362940630797772</v>
          </cell>
          <cell r="Q16">
            <v>39.591108615761534</v>
          </cell>
          <cell r="R16">
            <v>14.2</v>
          </cell>
          <cell r="S16">
            <v>0.87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shti (1)"/>
      <sheetName val="Drishti (2)"/>
    </sheetNames>
    <sheetDataSet>
      <sheetData sheetId="0">
        <row r="5">
          <cell r="B5" t="str">
            <v>Liquidity Ratios</v>
          </cell>
          <cell r="C5"/>
          <cell r="D5" t="str">
            <v>Profitability Ratios</v>
          </cell>
          <cell r="E5"/>
          <cell r="F5"/>
          <cell r="G5" t="str">
            <v>Gearing Ratio</v>
          </cell>
          <cell r="H5" t="str">
            <v>Investors Ratio</v>
          </cell>
          <cell r="I5"/>
          <cell r="J5"/>
          <cell r="K5"/>
          <cell r="L5" t="str">
            <v xml:space="preserve">Dupont Analysis </v>
          </cell>
        </row>
        <row r="6">
          <cell r="B6" t="str">
            <v>Current ratio</v>
          </cell>
          <cell r="C6" t="str">
            <v>Quick ratio</v>
          </cell>
          <cell r="D6" t="str">
            <v>ROCE</v>
          </cell>
          <cell r="E6" t="str">
            <v>Profit margin</v>
          </cell>
          <cell r="F6" t="str">
            <v>Asset utilisation ratio</v>
          </cell>
          <cell r="G6" t="str">
            <v>Asset gearing*</v>
          </cell>
          <cell r="H6" t="str">
            <v>EPS (cash)</v>
          </cell>
          <cell r="I6" t="str">
            <v>P/E Ratio</v>
          </cell>
          <cell r="J6" t="str">
            <v>Dividend cover</v>
          </cell>
          <cell r="K6" t="str">
            <v>Dividend yield</v>
          </cell>
          <cell r="L6"/>
        </row>
        <row r="7">
          <cell r="A7">
            <v>2021</v>
          </cell>
          <cell r="B7">
            <v>1.9662593325250464</v>
          </cell>
          <cell r="C7">
            <v>1.7134515984940335</v>
          </cell>
          <cell r="D7">
            <v>0.1383064087318851</v>
          </cell>
          <cell r="E7">
            <v>0.1085259556519826</v>
          </cell>
          <cell r="F7">
            <v>1.2744085772015816</v>
          </cell>
          <cell r="G7">
            <v>0</v>
          </cell>
          <cell r="H7">
            <v>37.39</v>
          </cell>
          <cell r="I7">
            <v>71.8</v>
          </cell>
          <cell r="J7">
            <v>4.6737500000000001</v>
          </cell>
          <cell r="K7">
            <v>3.3912674862229758E-3</v>
          </cell>
          <cell r="L7">
            <v>1.9380270134763518</v>
          </cell>
        </row>
        <row r="8">
          <cell r="A8">
            <v>2020</v>
          </cell>
          <cell r="B8">
            <v>2.2012278788305246</v>
          </cell>
          <cell r="C8">
            <v>2.0065967702212997</v>
          </cell>
          <cell r="D8">
            <v>0.10772640911969601</v>
          </cell>
          <cell r="E8">
            <v>0.10026229701452949</v>
          </cell>
          <cell r="F8">
            <v>1.0744458518049398</v>
          </cell>
          <cell r="G8">
            <v>0</v>
          </cell>
          <cell r="H8">
            <v>28.28</v>
          </cell>
          <cell r="I8">
            <v>57.95</v>
          </cell>
          <cell r="J8">
            <v>4.04</v>
          </cell>
          <cell r="K8">
            <v>2.8183190739808758E-3</v>
          </cell>
          <cell r="L8">
            <v>1.8688409472164784</v>
          </cell>
        </row>
        <row r="9">
          <cell r="A9">
            <v>2019</v>
          </cell>
          <cell r="B9">
            <v>2.1190785204412719</v>
          </cell>
          <cell r="C9">
            <v>1.9320844291130159</v>
          </cell>
          <cell r="D9">
            <v>0.18152063337608915</v>
          </cell>
          <cell r="E9">
            <v>0.11660415956358677</v>
          </cell>
          <cell r="F9">
            <v>1.5567251979300278</v>
          </cell>
          <cell r="G9">
            <v>0</v>
          </cell>
          <cell r="H9">
            <v>36.630000000000003</v>
          </cell>
          <cell r="I9">
            <v>50.35</v>
          </cell>
          <cell r="J9">
            <v>5.2328571428571431</v>
          </cell>
          <cell r="K9">
            <v>4.5531416677507481E-3</v>
          </cell>
          <cell r="L9">
            <v>3.0448624188682691</v>
          </cell>
        </row>
        <row r="10">
          <cell r="A10">
            <v>2018</v>
          </cell>
          <cell r="B10">
            <v>1.9536393465758739</v>
          </cell>
          <cell r="C10">
            <v>1.7527255406978794</v>
          </cell>
          <cell r="D10">
            <v>0.16750547836347435</v>
          </cell>
          <cell r="E10">
            <v>0.10697341812058346</v>
          </cell>
          <cell r="F10">
            <v>1.5658607652852359</v>
          </cell>
          <cell r="G10">
            <v>0</v>
          </cell>
          <cell r="H10">
            <v>30.63</v>
          </cell>
          <cell r="I10">
            <v>27.58</v>
          </cell>
          <cell r="J10">
            <v>4.3757142857142854</v>
          </cell>
          <cell r="K10">
            <v>6.8010687393733303E-3</v>
          </cell>
          <cell r="L10">
            <v>3.050070714338883</v>
          </cell>
        </row>
        <row r="11">
          <cell r="A11">
            <v>2017</v>
          </cell>
          <cell r="B11">
            <v>1.9897227070001939</v>
          </cell>
          <cell r="C11">
            <v>1.7926119837114602</v>
          </cell>
          <cell r="D11">
            <v>0.21663400262177632</v>
          </cell>
          <cell r="E11">
            <v>0.14810772438883713</v>
          </cell>
          <cell r="F11">
            <v>1.462678624735551</v>
          </cell>
          <cell r="G11">
            <v>0</v>
          </cell>
          <cell r="H11">
            <v>37.369999999999997</v>
          </cell>
          <cell r="I11">
            <v>37.229999999999997</v>
          </cell>
          <cell r="J11">
            <v>5.3385714285714281</v>
          </cell>
          <cell r="K11">
            <v>5.649945518382501E-3</v>
          </cell>
          <cell r="L11">
            <v>2.7085372320278767</v>
          </cell>
        </row>
        <row r="12">
          <cell r="A12">
            <v>2016</v>
          </cell>
          <cell r="B12">
            <v>1.854950162049777</v>
          </cell>
          <cell r="C12">
            <v>1.6512566501559349</v>
          </cell>
          <cell r="D12">
            <v>0.59209346845135902</v>
          </cell>
          <cell r="E12">
            <v>0.35516003207932345</v>
          </cell>
          <cell r="F12">
            <v>1.6671173977119069</v>
          </cell>
          <cell r="G12">
            <v>0</v>
          </cell>
          <cell r="H12">
            <v>87.48</v>
          </cell>
          <cell r="I12">
            <v>70.02</v>
          </cell>
          <cell r="J12">
            <v>2.6113432835820896</v>
          </cell>
          <cell r="K12">
            <v>3.1942789034564961E-2</v>
          </cell>
          <cell r="L12">
            <v>2.7629998427755358</v>
          </cell>
        </row>
        <row r="13">
          <cell r="A13">
            <v>2015</v>
          </cell>
          <cell r="B13">
            <v>1.5406937427900871</v>
          </cell>
          <cell r="C13">
            <v>1.3515652969489638</v>
          </cell>
          <cell r="D13">
            <v>0.3309015721920962</v>
          </cell>
          <cell r="E13">
            <v>0.15894610598905631</v>
          </cell>
          <cell r="F13">
            <v>2.0818476183045296</v>
          </cell>
          <cell r="G13">
            <v>0</v>
          </cell>
          <cell r="H13">
            <v>39.29</v>
          </cell>
          <cell r="I13">
            <v>33.24</v>
          </cell>
          <cell r="J13">
            <v>3.9289999999999998</v>
          </cell>
          <cell r="K13">
            <v>8.343763037129746E-3</v>
          </cell>
          <cell r="L13">
            <v>2.9567770244236264</v>
          </cell>
        </row>
        <row r="14">
          <cell r="A14">
            <v>2014</v>
          </cell>
          <cell r="B14">
            <v>1.3346632878632663</v>
          </cell>
          <cell r="C14">
            <v>1.1464567495192393</v>
          </cell>
          <cell r="D14">
            <v>0.19279641649145263</v>
          </cell>
          <cell r="E14">
            <v>7.8354154089072592E-2</v>
          </cell>
          <cell r="F14">
            <v>2.4605768351768904</v>
          </cell>
          <cell r="G14">
            <v>0</v>
          </cell>
          <cell r="H14">
            <v>23.38</v>
          </cell>
          <cell r="I14">
            <v>99.35</v>
          </cell>
          <cell r="J14">
            <v>3.8966666666666665</v>
          </cell>
          <cell r="K14">
            <v>8.9605734767025085E-3</v>
          </cell>
          <cell r="L14">
            <v>3.5823213171410746</v>
          </cell>
        </row>
        <row r="15">
          <cell r="A15">
            <v>2013</v>
          </cell>
          <cell r="B15">
            <v>1.208143887519401</v>
          </cell>
          <cell r="C15">
            <v>1.0377065644115768</v>
          </cell>
          <cell r="D15">
            <v>5.4239138525668064E-2</v>
          </cell>
          <cell r="E15">
            <v>1.9197161700520764E-2</v>
          </cell>
          <cell r="F15">
            <v>2.8253728010321817</v>
          </cell>
          <cell r="G15">
            <v>0</v>
          </cell>
          <cell r="H15">
            <v>12.48</v>
          </cell>
          <cell r="I15">
            <v>89.63</v>
          </cell>
          <cell r="J15">
            <v>2.496</v>
          </cell>
          <cell r="K15">
            <v>7.4962518740629685E-3</v>
          </cell>
          <cell r="L15">
            <v>5.3865679432404745</v>
          </cell>
        </row>
        <row r="16">
          <cell r="A16">
            <v>2012</v>
          </cell>
          <cell r="B16">
            <v>1.1926217742192733</v>
          </cell>
          <cell r="C16">
            <v>1.0422023031037673</v>
          </cell>
          <cell r="D16">
            <v>0.15158702124438614</v>
          </cell>
          <cell r="E16">
            <v>4.6295868201642852E-2</v>
          </cell>
          <cell r="F16">
            <v>3.2743099359136099</v>
          </cell>
          <cell r="G16">
            <v>0</v>
          </cell>
          <cell r="H16">
            <v>15.98</v>
          </cell>
          <cell r="I16">
            <v>39.909999999999997</v>
          </cell>
          <cell r="J16">
            <v>2.6633333333333336</v>
          </cell>
          <cell r="K16">
            <v>9.124781385445974E-3</v>
          </cell>
          <cell r="L16">
            <v>7.9881072111032889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tali(1)"/>
      <sheetName val="Mitali(2)"/>
      <sheetName val="Mitali(3)"/>
    </sheetNames>
    <sheetDataSet>
      <sheetData sheetId="0"/>
      <sheetData sheetId="1">
        <row r="9">
          <cell r="B9">
            <v>4.947106524143015</v>
          </cell>
          <cell r="C9">
            <v>1.0997458214588307</v>
          </cell>
          <cell r="D9">
            <v>0.44606370932007289</v>
          </cell>
          <cell r="E9">
            <v>0.14232608798598287</v>
          </cell>
          <cell r="F9">
            <v>2.0793658608635717</v>
          </cell>
          <cell r="G9">
            <v>7.7298015853478411E-3</v>
          </cell>
          <cell r="H9">
            <v>0.9922223323095215</v>
          </cell>
          <cell r="I9">
            <v>16.489999999999998</v>
          </cell>
          <cell r="J9">
            <v>16.616130988477867</v>
          </cell>
          <cell r="K9">
            <v>1.5045620437956203E-2</v>
          </cell>
          <cell r="L9">
            <v>4</v>
          </cell>
          <cell r="M9">
            <v>0.29825344844695845</v>
          </cell>
        </row>
        <row r="10">
          <cell r="B10">
            <v>4.4629969868450061</v>
          </cell>
          <cell r="C10">
            <v>1.1416353725015143</v>
          </cell>
          <cell r="D10">
            <v>0.40504694835680749</v>
          </cell>
          <cell r="E10">
            <v>0.1467767492285881</v>
          </cell>
          <cell r="F10">
            <v>1.8765258215962441</v>
          </cell>
          <cell r="G10">
            <v>7.2769953051643197E-3</v>
          </cell>
          <cell r="H10">
            <v>0.99272169328822091</v>
          </cell>
          <cell r="I10">
            <v>19.3</v>
          </cell>
          <cell r="J10">
            <v>7.1450777202072535</v>
          </cell>
          <cell r="K10">
            <v>3.0790427846265411E-2</v>
          </cell>
          <cell r="L10">
            <v>4.545454545454545</v>
          </cell>
          <cell r="M10">
            <v>0.30926023545949743</v>
          </cell>
        </row>
        <row r="11">
          <cell r="B11">
            <v>5.4255013114476691</v>
          </cell>
          <cell r="C11">
            <v>1.3674867316792596</v>
          </cell>
          <cell r="D11">
            <v>0.29926413026459997</v>
          </cell>
          <cell r="E11">
            <v>0.13664249860568878</v>
          </cell>
          <cell r="F11">
            <v>1.5159229685298261</v>
          </cell>
          <cell r="G11">
            <v>4.6657272584938153E-2</v>
          </cell>
          <cell r="H11">
            <v>0.9531495815241332</v>
          </cell>
          <cell r="I11">
            <v>18.23</v>
          </cell>
          <cell r="J11">
            <v>7.3340647284695546</v>
          </cell>
          <cell r="K11">
            <v>2.727000747943157E-2</v>
          </cell>
          <cell r="L11">
            <v>5</v>
          </cell>
          <cell r="M11">
            <v>0.23701606979702253</v>
          </cell>
        </row>
        <row r="12">
          <cell r="B12">
            <v>6.7910764872521243</v>
          </cell>
          <cell r="C12">
            <v>1.5424975746469765</v>
          </cell>
          <cell r="D12">
            <v>0.1438915292144255</v>
          </cell>
          <cell r="E12">
            <v>8.851436024654101E-2</v>
          </cell>
          <cell r="F12">
            <v>1.0931227285434721</v>
          </cell>
          <cell r="G12">
            <v>7.6097288230360632E-2</v>
          </cell>
          <cell r="H12">
            <v>0.9235371780106183</v>
          </cell>
          <cell r="I12">
            <v>9.5399999999999991</v>
          </cell>
          <cell r="J12">
            <v>16.925576519916145</v>
          </cell>
          <cell r="K12">
            <v>1.1816436489750417E-2</v>
          </cell>
          <cell r="L12">
            <v>5</v>
          </cell>
          <cell r="M12">
            <v>0.10901989195659365</v>
          </cell>
        </row>
        <row r="13">
          <cell r="B13">
            <v>6.2026947861745754</v>
          </cell>
          <cell r="C13">
            <v>1.5489215743270741</v>
          </cell>
          <cell r="D13">
            <v>6.5257433558459782E-2</v>
          </cell>
          <cell r="E13">
            <v>4.6195917570075205E-2</v>
          </cell>
          <cell r="F13">
            <v>0.89807911586702915</v>
          </cell>
          <cell r="G13">
            <v>3.4499897669795047E-3</v>
          </cell>
          <cell r="H13">
            <v>0.99656023990121712</v>
          </cell>
          <cell r="I13">
            <v>3.96</v>
          </cell>
          <cell r="J13">
            <v>42.366161616161619</v>
          </cell>
          <cell r="K13">
            <v>4.720748643976873E-3</v>
          </cell>
          <cell r="L13">
            <v>5</v>
          </cell>
          <cell r="M13">
            <v>4.2274291332131737E-2</v>
          </cell>
        </row>
        <row r="14">
          <cell r="B14">
            <v>6.1339892484024752</v>
          </cell>
          <cell r="C14">
            <v>1.5321467490010898</v>
          </cell>
          <cell r="D14">
            <v>-2.4857954545454544E-2</v>
          </cell>
          <cell r="E14">
            <v>-2.7879216240625122E-2</v>
          </cell>
          <cell r="F14">
            <v>0.78640686758893286</v>
          </cell>
          <cell r="G14">
            <v>6.2376482213438739E-3</v>
          </cell>
          <cell r="H14">
            <v>0.99377033937703396</v>
          </cell>
          <cell r="I14">
            <v>-1.92</v>
          </cell>
          <cell r="J14">
            <v>-44.479166666666671</v>
          </cell>
          <cell r="K14">
            <v>3.1475409836065576E-3</v>
          </cell>
          <cell r="L14">
            <v>-7.1428571428571415</v>
          </cell>
          <cell r="M14">
            <v>-2.1428463639518915E-2</v>
          </cell>
        </row>
        <row r="15">
          <cell r="B15">
            <v>7.4006215201346626</v>
          </cell>
          <cell r="C15">
            <v>1.6965952773201538</v>
          </cell>
          <cell r="D15">
            <v>3.2054245646478657E-2</v>
          </cell>
          <cell r="E15">
            <v>1.7443291717953228E-2</v>
          </cell>
          <cell r="F15">
            <v>0.87640622592078898</v>
          </cell>
          <cell r="G15">
            <v>4.6232085067036523E-3</v>
          </cell>
          <cell r="H15">
            <v>0.99539056457849961</v>
          </cell>
          <cell r="I15">
            <v>1.25</v>
          </cell>
          <cell r="J15">
            <v>84.503999999999991</v>
          </cell>
          <cell r="K15">
            <v>9.2303322919625123E-3</v>
          </cell>
          <cell r="L15">
            <v>1.2820512820512819</v>
          </cell>
          <cell r="M15">
            <v>1.5385331203374847E-2</v>
          </cell>
        </row>
        <row r="16">
          <cell r="B16">
            <v>8.954944237918216</v>
          </cell>
          <cell r="C16">
            <v>1.6991805361453436</v>
          </cell>
          <cell r="D16">
            <v>5.8562691131498472E-2</v>
          </cell>
          <cell r="E16">
            <v>2.8008190747232153E-2</v>
          </cell>
          <cell r="F16">
            <v>0.88113149847094796</v>
          </cell>
          <cell r="G16">
            <v>3.0275229357798164E-3</v>
          </cell>
          <cell r="H16">
            <v>0.99696001965239822</v>
          </cell>
          <cell r="I16">
            <v>1.2</v>
          </cell>
          <cell r="J16">
            <v>62.541666666666664</v>
          </cell>
          <cell r="K16">
            <v>1.3271152564956694E-2</v>
          </cell>
          <cell r="L16">
            <v>1.2048192771084338</v>
          </cell>
          <cell r="M16">
            <v>2.4870562130177513E-2</v>
          </cell>
        </row>
        <row r="17">
          <cell r="B17">
            <v>7.316532982162097</v>
          </cell>
          <cell r="C17">
            <v>1.7037037037037037</v>
          </cell>
          <cell r="D17">
            <v>7.1287885469030185E-2</v>
          </cell>
          <cell r="E17">
            <v>3.973967064392072E-2</v>
          </cell>
          <cell r="F17">
            <v>0.89434694417497129</v>
          </cell>
          <cell r="G17">
            <v>7.6020813122850334E-2</v>
          </cell>
          <cell r="H17">
            <v>0.92363099630996315</v>
          </cell>
          <cell r="I17">
            <v>2.89</v>
          </cell>
          <cell r="J17">
            <v>24.290657439446367</v>
          </cell>
          <cell r="K17">
            <v>2.3877492877492874E-2</v>
          </cell>
          <cell r="L17">
            <v>1.7241379310344829</v>
          </cell>
          <cell r="M17">
            <v>3.7762368815592202E-2</v>
          </cell>
        </row>
        <row r="18">
          <cell r="B18">
            <v>6.0309060118543609</v>
          </cell>
          <cell r="C18">
            <v>1.7915645848252988</v>
          </cell>
          <cell r="D18">
            <v>-1.4892250189803189E-3</v>
          </cell>
          <cell r="E18">
            <v>-6.8642527610792675E-2</v>
          </cell>
          <cell r="F18">
            <v>0.62661332710389539</v>
          </cell>
          <cell r="G18">
            <v>0.14790048472814343</v>
          </cell>
          <cell r="H18">
            <v>0.85136721042131203</v>
          </cell>
          <cell r="I18">
            <v>-4.21</v>
          </cell>
          <cell r="J18">
            <v>-6.6508313539192399</v>
          </cell>
          <cell r="K18">
            <v>0</v>
          </cell>
          <cell r="L18">
            <v>0</v>
          </cell>
          <cell r="M18">
            <v>-4.8604236784795092E-2</v>
          </cell>
        </row>
        <row r="19">
          <cell r="B19">
            <v>6.6796865124510179</v>
          </cell>
          <cell r="C19">
            <v>1.797208111675533</v>
          </cell>
          <cell r="D19">
            <v>-0.10013049428689647</v>
          </cell>
          <cell r="E19">
            <v>-0.15697943147677373</v>
          </cell>
          <cell r="F19">
            <v>0.55087685795219454</v>
          </cell>
          <cell r="G19">
            <v>0.15707056239854864</v>
          </cell>
          <cell r="H19">
            <v>0.84204800000000002</v>
          </cell>
          <cell r="I19">
            <v>-7.75</v>
          </cell>
          <cell r="J19">
            <v>-9.2774193548387096</v>
          </cell>
          <cell r="K19">
            <v>0</v>
          </cell>
          <cell r="L19">
            <v>0</v>
          </cell>
          <cell r="M19">
            <v>-9.7619689212251864E-2</v>
          </cell>
        </row>
        <row r="20">
          <cell r="B20">
            <v>8.111128048780488</v>
          </cell>
          <cell r="C20">
            <v>1.8729272895170033</v>
          </cell>
          <cell r="D20">
            <v>2.4904877205119337E-2</v>
          </cell>
          <cell r="E20">
            <v>1.9329593135637171E-2</v>
          </cell>
          <cell r="F20">
            <v>0.66699160403760893</v>
          </cell>
          <cell r="G20">
            <v>0.15188201628879594</v>
          </cell>
          <cell r="H20">
            <v>0.84777812795461704</v>
          </cell>
          <cell r="I20">
            <v>1.28</v>
          </cell>
          <cell r="J20">
            <v>39.9609375</v>
          </cell>
          <cell r="K20">
            <v>8.5083088954056706E-3</v>
          </cell>
          <cell r="L20">
            <v>2.9411764705882351</v>
          </cell>
          <cell r="M20">
            <v>1.5340005612197175E-2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screener.in/company/NTPC/consolidated/" TargetMode="External"/><Relationship Id="rId1" Type="http://schemas.openxmlformats.org/officeDocument/2006/relationships/hyperlink" Target="https://corporatefinanceinstitute.com/resources/knowledge/accounting/stockholders-equity-guide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creener.in/company/BHE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76BB-F86C-4F04-A7BF-BB09A789CE01}">
  <dimension ref="A1:K23"/>
  <sheetViews>
    <sheetView workbookViewId="0">
      <selection activeCell="D13" sqref="D13"/>
    </sheetView>
  </sheetViews>
  <sheetFormatPr defaultRowHeight="14.5" x14ac:dyDescent="0.35"/>
  <cols>
    <col min="1" max="1" width="16.90625" customWidth="1"/>
    <col min="2" max="2" width="20.6328125" customWidth="1"/>
    <col min="3" max="3" width="21" customWidth="1"/>
    <col min="4" max="4" width="21.81640625" customWidth="1"/>
    <col min="5" max="6" width="16.36328125" customWidth="1"/>
    <col min="7" max="7" width="19.90625" customWidth="1"/>
    <col min="8" max="9" width="18.81640625" customWidth="1"/>
    <col min="10" max="10" width="16.453125" customWidth="1"/>
    <col min="11" max="11" width="12.54296875" bestFit="1" customWidth="1"/>
  </cols>
  <sheetData>
    <row r="1" spans="1:11" ht="17" x14ac:dyDescent="0.5">
      <c r="A1" s="144" t="s">
        <v>104</v>
      </c>
      <c r="B1" s="145" t="s">
        <v>105</v>
      </c>
      <c r="C1" s="145" t="s">
        <v>15</v>
      </c>
      <c r="D1" s="145" t="s">
        <v>16</v>
      </c>
      <c r="E1" s="145" t="s">
        <v>2</v>
      </c>
      <c r="G1" s="145" t="s">
        <v>3</v>
      </c>
    </row>
    <row r="2" spans="1:11" x14ac:dyDescent="0.35">
      <c r="A2" t="s">
        <v>106</v>
      </c>
      <c r="B2" t="s">
        <v>107</v>
      </c>
      <c r="C2" s="146">
        <v>1.55</v>
      </c>
      <c r="D2">
        <v>1.24E-2</v>
      </c>
      <c r="E2" s="147" t="s">
        <v>7</v>
      </c>
      <c r="F2" s="147" t="s">
        <v>8</v>
      </c>
      <c r="G2" s="147" t="s">
        <v>108</v>
      </c>
      <c r="H2" s="147" t="s">
        <v>109</v>
      </c>
      <c r="I2" s="147" t="s">
        <v>110</v>
      </c>
      <c r="J2" s="147"/>
      <c r="K2" s="147"/>
    </row>
    <row r="3" spans="1:11" x14ac:dyDescent="0.35">
      <c r="A3" t="s">
        <v>111</v>
      </c>
      <c r="B3" t="s">
        <v>107</v>
      </c>
      <c r="C3" s="146">
        <v>1.55</v>
      </c>
      <c r="D3">
        <v>3.2099999999999997E-2</v>
      </c>
      <c r="E3" t="s">
        <v>112</v>
      </c>
      <c r="F3">
        <v>0.44</v>
      </c>
      <c r="G3">
        <v>7.41</v>
      </c>
      <c r="H3">
        <v>14.41</v>
      </c>
      <c r="I3">
        <v>14.9</v>
      </c>
    </row>
    <row r="4" spans="1:11" x14ac:dyDescent="0.35">
      <c r="A4" t="s">
        <v>113</v>
      </c>
      <c r="B4" t="s">
        <v>107</v>
      </c>
      <c r="C4" s="146">
        <v>1.3</v>
      </c>
      <c r="D4">
        <v>1.9400000000000001E-2</v>
      </c>
      <c r="E4" t="s">
        <v>114</v>
      </c>
      <c r="F4">
        <v>0.45</v>
      </c>
      <c r="G4">
        <v>10.82</v>
      </c>
      <c r="H4">
        <v>20.53</v>
      </c>
      <c r="I4">
        <v>1.91</v>
      </c>
    </row>
    <row r="5" spans="1:11" ht="17" x14ac:dyDescent="0.5">
      <c r="A5" t="s">
        <v>115</v>
      </c>
      <c r="B5" t="s">
        <v>107</v>
      </c>
      <c r="C5" s="146">
        <v>1.3</v>
      </c>
      <c r="D5">
        <v>1.8599999999999998E-2</v>
      </c>
      <c r="E5" t="s">
        <v>116</v>
      </c>
      <c r="F5">
        <v>0.51</v>
      </c>
      <c r="G5">
        <v>11.09</v>
      </c>
      <c r="H5">
        <v>21.64</v>
      </c>
      <c r="I5">
        <v>21.42</v>
      </c>
      <c r="J5" s="145"/>
    </row>
    <row r="6" spans="1:11" x14ac:dyDescent="0.35">
      <c r="A6" t="s">
        <v>117</v>
      </c>
      <c r="B6" t="s">
        <v>107</v>
      </c>
      <c r="C6" s="146">
        <v>1.3</v>
      </c>
      <c r="D6">
        <v>1.6899999999999998E-2</v>
      </c>
      <c r="E6" t="s">
        <v>118</v>
      </c>
      <c r="F6">
        <v>0.55000000000000004</v>
      </c>
      <c r="G6">
        <v>12.25</v>
      </c>
      <c r="H6">
        <v>20.64</v>
      </c>
      <c r="I6">
        <v>-41.8</v>
      </c>
    </row>
    <row r="7" spans="1:11" x14ac:dyDescent="0.35">
      <c r="A7" t="s">
        <v>119</v>
      </c>
      <c r="B7" t="s">
        <v>107</v>
      </c>
      <c r="C7" s="146">
        <v>1.3</v>
      </c>
      <c r="D7">
        <v>1.7999999999999999E-2</v>
      </c>
      <c r="E7" t="s">
        <v>120</v>
      </c>
      <c r="F7">
        <v>0.46</v>
      </c>
      <c r="G7">
        <v>9.15</v>
      </c>
      <c r="H7">
        <v>16.95</v>
      </c>
      <c r="I7">
        <v>5.74</v>
      </c>
    </row>
    <row r="8" spans="1:11" x14ac:dyDescent="0.35">
      <c r="A8" t="s">
        <v>121</v>
      </c>
      <c r="B8" t="s">
        <v>107</v>
      </c>
      <c r="C8" s="146">
        <v>1.3</v>
      </c>
      <c r="D8">
        <v>1.7299999999999999E-2</v>
      </c>
      <c r="E8" t="s">
        <v>122</v>
      </c>
      <c r="F8">
        <v>0.62</v>
      </c>
      <c r="G8">
        <v>11.74</v>
      </c>
      <c r="H8">
        <v>25.12</v>
      </c>
      <c r="I8">
        <v>15.58</v>
      </c>
    </row>
    <row r="9" spans="1:11" x14ac:dyDescent="0.35">
      <c r="A9" t="s">
        <v>123</v>
      </c>
      <c r="B9" t="s">
        <v>107</v>
      </c>
      <c r="C9" s="146">
        <v>1.25</v>
      </c>
      <c r="D9">
        <v>1.21E-2</v>
      </c>
      <c r="E9" t="s">
        <v>124</v>
      </c>
      <c r="F9">
        <v>0.49</v>
      </c>
      <c r="G9">
        <v>3.7</v>
      </c>
      <c r="H9">
        <v>25.85</v>
      </c>
      <c r="I9">
        <v>11.64</v>
      </c>
    </row>
    <row r="10" spans="1:11" x14ac:dyDescent="0.35">
      <c r="A10" t="s">
        <v>125</v>
      </c>
      <c r="B10" t="s">
        <v>107</v>
      </c>
      <c r="C10" s="146">
        <v>1.1499999999999999</v>
      </c>
      <c r="D10">
        <v>1.34E-2</v>
      </c>
      <c r="E10" t="s">
        <v>126</v>
      </c>
      <c r="F10">
        <v>0.37</v>
      </c>
      <c r="G10">
        <v>4.1500000000000004</v>
      </c>
      <c r="H10">
        <v>28.24</v>
      </c>
      <c r="I10">
        <v>11.05</v>
      </c>
    </row>
    <row r="11" spans="1:11" x14ac:dyDescent="0.35">
      <c r="A11" t="s">
        <v>127</v>
      </c>
      <c r="B11" t="s">
        <v>107</v>
      </c>
      <c r="C11" s="146">
        <v>1.25</v>
      </c>
      <c r="D11">
        <v>1.3299999999999999E-2</v>
      </c>
      <c r="E11" t="s">
        <v>128</v>
      </c>
      <c r="F11">
        <v>0.67</v>
      </c>
      <c r="G11">
        <v>4.3499999999999996</v>
      </c>
      <c r="H11">
        <v>34.049999999999997</v>
      </c>
      <c r="I11">
        <v>10.71</v>
      </c>
    </row>
    <row r="12" spans="1:11" x14ac:dyDescent="0.35">
      <c r="E12" t="s">
        <v>129</v>
      </c>
      <c r="F12">
        <v>1.1000000000000001</v>
      </c>
      <c r="G12">
        <v>5.48</v>
      </c>
      <c r="H12">
        <v>33.82</v>
      </c>
      <c r="I12">
        <v>13.76</v>
      </c>
    </row>
    <row r="13" spans="1:11" ht="17" x14ac:dyDescent="0.5">
      <c r="A13" s="148" t="s">
        <v>130</v>
      </c>
      <c r="B13" s="145" t="s">
        <v>131</v>
      </c>
      <c r="C13" s="145" t="s">
        <v>132</v>
      </c>
    </row>
    <row r="14" spans="1:11" x14ac:dyDescent="0.35">
      <c r="A14" t="s">
        <v>133</v>
      </c>
      <c r="B14">
        <v>33.678067079999998</v>
      </c>
      <c r="C14" t="s">
        <v>134</v>
      </c>
    </row>
    <row r="15" spans="1:11" x14ac:dyDescent="0.35">
      <c r="A15" t="s">
        <v>135</v>
      </c>
      <c r="B15">
        <v>27.014045400000001</v>
      </c>
      <c r="C15" t="s">
        <v>134</v>
      </c>
    </row>
    <row r="16" spans="1:11" x14ac:dyDescent="0.35">
      <c r="A16" t="s">
        <v>136</v>
      </c>
      <c r="B16">
        <v>8.9947958289999992</v>
      </c>
      <c r="C16" t="s">
        <v>134</v>
      </c>
    </row>
    <row r="17" spans="1:3" x14ac:dyDescent="0.35">
      <c r="A17" t="s">
        <v>137</v>
      </c>
      <c r="B17">
        <v>-3.2920324480000001</v>
      </c>
      <c r="C17" t="s">
        <v>134</v>
      </c>
    </row>
    <row r="18" spans="1:3" x14ac:dyDescent="0.35">
      <c r="A18" t="s">
        <v>138</v>
      </c>
      <c r="B18">
        <v>-13.08781707</v>
      </c>
      <c r="C18" t="s">
        <v>134</v>
      </c>
    </row>
    <row r="19" spans="1:3" x14ac:dyDescent="0.35">
      <c r="A19" t="s">
        <v>139</v>
      </c>
      <c r="B19">
        <v>-4.4488514300000004</v>
      </c>
      <c r="C19" t="s">
        <v>134</v>
      </c>
    </row>
    <row r="20" spans="1:3" x14ac:dyDescent="0.35">
      <c r="A20" t="s">
        <v>140</v>
      </c>
      <c r="B20">
        <v>-4.662907745</v>
      </c>
      <c r="C20" t="s">
        <v>134</v>
      </c>
    </row>
    <row r="21" spans="1:3" x14ac:dyDescent="0.35">
      <c r="A21" t="s">
        <v>141</v>
      </c>
      <c r="B21">
        <v>12.067776930000001</v>
      </c>
      <c r="C21" t="s">
        <v>134</v>
      </c>
    </row>
    <row r="22" spans="1:3" x14ac:dyDescent="0.35">
      <c r="A22" t="s">
        <v>142</v>
      </c>
      <c r="B22">
        <v>-1.7418331339999999</v>
      </c>
      <c r="C22" t="s">
        <v>134</v>
      </c>
    </row>
    <row r="23" spans="1:3" x14ac:dyDescent="0.35">
      <c r="A23" t="s">
        <v>143</v>
      </c>
      <c r="B23">
        <v>11.160170020000001</v>
      </c>
      <c r="C23" t="s">
        <v>134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29A4B8-A8E6-4C4F-B837-A13E4E2C2536}">
  <dimension ref="A1:I22"/>
  <sheetViews>
    <sheetView workbookViewId="0">
      <selection activeCell="M11" sqref="M11"/>
    </sheetView>
  </sheetViews>
  <sheetFormatPr defaultRowHeight="14.5" x14ac:dyDescent="0.35"/>
  <sheetData>
    <row r="1" spans="1:9" ht="15.5" x14ac:dyDescent="0.35">
      <c r="A1" s="410" t="s">
        <v>23</v>
      </c>
      <c r="B1" s="411"/>
      <c r="C1" s="411"/>
      <c r="D1" s="411"/>
      <c r="E1" s="411"/>
      <c r="F1" s="411"/>
      <c r="G1" s="411"/>
      <c r="H1" s="412"/>
    </row>
    <row r="2" spans="1:9" ht="15.5" x14ac:dyDescent="0.35">
      <c r="A2" s="26" t="s">
        <v>24</v>
      </c>
      <c r="B2" s="27"/>
      <c r="C2" s="27"/>
      <c r="D2" s="27"/>
      <c r="E2" s="27"/>
      <c r="F2" s="27"/>
      <c r="G2" s="27"/>
      <c r="H2" s="28"/>
    </row>
    <row r="3" spans="1:9" ht="16" thickBot="1" x14ac:dyDescent="0.4">
      <c r="A3" s="29" t="s">
        <v>25</v>
      </c>
      <c r="B3" s="30"/>
      <c r="C3" s="30"/>
      <c r="D3" s="30"/>
      <c r="E3" s="30"/>
      <c r="F3" s="30"/>
      <c r="G3" s="30"/>
      <c r="H3" s="31"/>
    </row>
    <row r="4" spans="1:9" ht="15.5" x14ac:dyDescent="0.35">
      <c r="A4" s="413" t="s">
        <v>26</v>
      </c>
      <c r="B4" s="414"/>
      <c r="C4" s="414"/>
      <c r="D4" s="414"/>
      <c r="E4" s="414"/>
      <c r="F4" s="414"/>
      <c r="G4" s="414"/>
      <c r="H4" s="415"/>
    </row>
    <row r="5" spans="1:9" ht="15.5" x14ac:dyDescent="0.35">
      <c r="A5" s="32" t="s">
        <v>27</v>
      </c>
      <c r="B5" s="33"/>
      <c r="C5" s="33"/>
      <c r="D5" s="33"/>
      <c r="E5" s="33"/>
      <c r="F5" s="33"/>
      <c r="G5" s="33"/>
      <c r="H5" s="34"/>
    </row>
    <row r="6" spans="1:9" ht="15.5" x14ac:dyDescent="0.35">
      <c r="A6" s="32" t="s">
        <v>28</v>
      </c>
      <c r="B6" s="33"/>
      <c r="C6" s="33"/>
      <c r="D6" s="33"/>
      <c r="E6" s="33"/>
      <c r="F6" s="33"/>
      <c r="G6" s="33"/>
      <c r="H6" s="34"/>
    </row>
    <row r="7" spans="1:9" ht="16" thickBot="1" x14ac:dyDescent="0.4">
      <c r="A7" s="35" t="s">
        <v>29</v>
      </c>
      <c r="B7" s="36"/>
      <c r="C7" s="36"/>
      <c r="D7" s="36"/>
      <c r="E7" s="36"/>
      <c r="F7" s="36"/>
      <c r="G7" s="36"/>
      <c r="H7" s="37"/>
    </row>
    <row r="8" spans="1:9" ht="15.5" x14ac:dyDescent="0.35">
      <c r="A8" s="416" t="s">
        <v>30</v>
      </c>
      <c r="B8" s="417"/>
      <c r="C8" s="417"/>
      <c r="D8" s="417"/>
      <c r="E8" s="417"/>
      <c r="F8" s="417"/>
      <c r="G8" s="417"/>
      <c r="H8" s="418"/>
    </row>
    <row r="9" spans="1:9" ht="16" thickBot="1" x14ac:dyDescent="0.4">
      <c r="A9" s="38" t="s">
        <v>31</v>
      </c>
      <c r="B9" s="39"/>
      <c r="C9" s="39"/>
      <c r="D9" s="39"/>
      <c r="E9" s="40"/>
      <c r="F9" s="40"/>
      <c r="G9" s="40"/>
      <c r="H9" s="41"/>
      <c r="I9" s="42"/>
    </row>
    <row r="10" spans="1:9" x14ac:dyDescent="0.35">
      <c r="A10" s="419" t="s">
        <v>32</v>
      </c>
      <c r="B10" s="420"/>
      <c r="C10" s="420"/>
      <c r="D10" s="420"/>
      <c r="E10" s="420"/>
      <c r="F10" s="420"/>
      <c r="G10" s="420"/>
      <c r="H10" s="421"/>
    </row>
    <row r="11" spans="1:9" x14ac:dyDescent="0.35">
      <c r="A11" s="43" t="s">
        <v>33</v>
      </c>
      <c r="B11" s="44"/>
      <c r="C11" s="44"/>
      <c r="D11" s="44"/>
      <c r="E11" s="44"/>
      <c r="F11" s="44"/>
      <c r="G11" s="44"/>
      <c r="H11" s="45"/>
    </row>
    <row r="12" spans="1:9" x14ac:dyDescent="0.35">
      <c r="A12" s="43"/>
      <c r="B12" s="44"/>
      <c r="C12" s="44" t="s">
        <v>34</v>
      </c>
      <c r="D12" s="44"/>
      <c r="E12" s="44"/>
      <c r="F12" s="44"/>
      <c r="G12" s="44"/>
      <c r="H12" s="45"/>
    </row>
    <row r="13" spans="1:9" x14ac:dyDescent="0.35">
      <c r="A13" s="422" t="s">
        <v>35</v>
      </c>
      <c r="B13" s="423"/>
      <c r="C13" s="423"/>
      <c r="D13" s="423"/>
      <c r="E13" s="423"/>
      <c r="F13" s="423"/>
      <c r="G13" s="423"/>
      <c r="H13" s="424"/>
    </row>
    <row r="14" spans="1:9" x14ac:dyDescent="0.35">
      <c r="A14" s="422" t="s">
        <v>36</v>
      </c>
      <c r="B14" s="423"/>
      <c r="C14" s="423"/>
      <c r="D14" s="423"/>
      <c r="E14" s="423"/>
      <c r="F14" s="423"/>
      <c r="G14" s="423"/>
      <c r="H14" s="424"/>
    </row>
    <row r="15" spans="1:9" ht="15" thickBot="1" x14ac:dyDescent="0.4">
      <c r="A15" s="395" t="s">
        <v>37</v>
      </c>
      <c r="B15" s="396"/>
      <c r="C15" s="396"/>
      <c r="D15" s="396"/>
      <c r="E15" s="396"/>
      <c r="F15" s="396"/>
      <c r="G15" s="396"/>
      <c r="H15" s="397"/>
    </row>
    <row r="16" spans="1:9" ht="15.5" x14ac:dyDescent="0.35">
      <c r="A16" s="398" t="s">
        <v>38</v>
      </c>
      <c r="B16" s="399"/>
      <c r="C16" s="399"/>
      <c r="D16" s="399"/>
      <c r="E16" s="399"/>
      <c r="F16" s="399"/>
      <c r="G16" s="399"/>
      <c r="H16" s="400"/>
    </row>
    <row r="17" spans="1:8" ht="15.5" x14ac:dyDescent="0.35">
      <c r="A17" s="401" t="s">
        <v>39</v>
      </c>
      <c r="B17" s="402"/>
      <c r="C17" s="402"/>
      <c r="D17" s="402"/>
      <c r="E17" s="402"/>
      <c r="F17" s="402"/>
      <c r="G17" s="402"/>
      <c r="H17" s="403"/>
    </row>
    <row r="18" spans="1:8" x14ac:dyDescent="0.35">
      <c r="A18" s="404" t="s">
        <v>40</v>
      </c>
      <c r="B18" s="405"/>
      <c r="C18" s="405"/>
      <c r="D18" s="405"/>
      <c r="E18" s="405"/>
      <c r="F18" s="405"/>
      <c r="G18" s="405"/>
      <c r="H18" s="406"/>
    </row>
    <row r="19" spans="1:8" x14ac:dyDescent="0.35">
      <c r="A19" s="404" t="s">
        <v>41</v>
      </c>
      <c r="B19" s="405"/>
      <c r="C19" s="405"/>
      <c r="D19" s="405"/>
      <c r="E19" s="405"/>
      <c r="F19" s="405"/>
      <c r="G19" s="405"/>
      <c r="H19" s="406"/>
    </row>
    <row r="20" spans="1:8" ht="15" thickBot="1" x14ac:dyDescent="0.4">
      <c r="A20" s="407" t="s">
        <v>42</v>
      </c>
      <c r="B20" s="408"/>
      <c r="C20" s="408"/>
      <c r="D20" s="408"/>
      <c r="E20" s="408"/>
      <c r="F20" s="408"/>
      <c r="G20" s="408"/>
      <c r="H20" s="409"/>
    </row>
    <row r="22" spans="1:8" x14ac:dyDescent="0.35">
      <c r="B22" s="394" t="s">
        <v>43</v>
      </c>
      <c r="C22" s="394"/>
      <c r="D22" s="394"/>
      <c r="E22" s="394"/>
    </row>
  </sheetData>
  <mergeCells count="13">
    <mergeCell ref="A14:H14"/>
    <mergeCell ref="A1:H1"/>
    <mergeCell ref="A4:H4"/>
    <mergeCell ref="A8:H8"/>
    <mergeCell ref="A10:H10"/>
    <mergeCell ref="A13:H13"/>
    <mergeCell ref="B22:E22"/>
    <mergeCell ref="A15:H15"/>
    <mergeCell ref="A16:H16"/>
    <mergeCell ref="A17:H17"/>
    <mergeCell ref="A18:H18"/>
    <mergeCell ref="A19:H19"/>
    <mergeCell ref="A20:H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139B0-8C6A-49E0-8283-58D1A924FE70}">
  <dimension ref="A1:V80"/>
  <sheetViews>
    <sheetView tabSelected="1" topLeftCell="C1" workbookViewId="0">
      <selection activeCell="R9" sqref="R9"/>
    </sheetView>
  </sheetViews>
  <sheetFormatPr defaultRowHeight="14.5" x14ac:dyDescent="0.35"/>
  <cols>
    <col min="1" max="1" width="2.6328125" customWidth="1"/>
    <col min="2" max="2" width="12" customWidth="1"/>
    <col min="3" max="3" width="11.6328125" customWidth="1"/>
    <col min="4" max="4" width="15.1796875" customWidth="1"/>
    <col min="5" max="5" width="13.90625" customWidth="1"/>
    <col min="6" max="6" width="14" customWidth="1"/>
    <col min="7" max="7" width="11.08984375" customWidth="1"/>
    <col min="8" max="8" width="11.1796875" customWidth="1"/>
    <col min="9" max="9" width="9.54296875" customWidth="1"/>
    <col min="10" max="10" width="11.36328125" customWidth="1"/>
    <col min="11" max="11" width="9.90625" customWidth="1"/>
    <col min="12" max="12" width="12" customWidth="1"/>
    <col min="13" max="13" width="10.7265625" customWidth="1"/>
    <col min="14" max="14" width="12.453125" customWidth="1"/>
    <col min="16" max="16" width="9.90625" customWidth="1"/>
    <col min="17" max="17" width="10.26953125" customWidth="1"/>
  </cols>
  <sheetData>
    <row r="1" spans="2:22" ht="55" x14ac:dyDescent="1.25">
      <c r="B1" s="229" t="s">
        <v>144</v>
      </c>
      <c r="C1" s="230"/>
      <c r="D1" s="230"/>
      <c r="E1" s="230"/>
      <c r="F1" s="230"/>
      <c r="G1" s="230"/>
      <c r="H1" s="230"/>
      <c r="I1" s="230"/>
      <c r="J1" s="230"/>
      <c r="K1" s="230"/>
      <c r="L1" s="230"/>
      <c r="M1" s="230"/>
      <c r="N1" s="230"/>
      <c r="O1" s="230"/>
      <c r="P1" s="230"/>
      <c r="Q1" s="230"/>
      <c r="R1" s="230"/>
      <c r="S1" s="230"/>
      <c r="T1" s="230"/>
    </row>
    <row r="2" spans="2:22" x14ac:dyDescent="0.35">
      <c r="F2" s="95"/>
    </row>
    <row r="3" spans="2:22" x14ac:dyDescent="0.35">
      <c r="F3" s="95"/>
    </row>
    <row r="4" spans="2:22" x14ac:dyDescent="0.35">
      <c r="F4" s="95"/>
    </row>
    <row r="5" spans="2:22" ht="15" thickBot="1" x14ac:dyDescent="0.4">
      <c r="F5" s="95"/>
      <c r="G5" s="231" t="s">
        <v>2</v>
      </c>
      <c r="H5" s="231"/>
      <c r="I5" s="232" t="s">
        <v>46</v>
      </c>
      <c r="J5" s="232"/>
      <c r="K5" s="232"/>
      <c r="L5" s="233" t="s">
        <v>47</v>
      </c>
      <c r="M5" s="233"/>
      <c r="N5" s="234" t="s">
        <v>145</v>
      </c>
      <c r="O5" s="234"/>
      <c r="P5" s="234"/>
      <c r="Q5" s="234"/>
      <c r="R5" s="234"/>
      <c r="S5" s="234"/>
    </row>
    <row r="6" spans="2:22" ht="58.5" thickBot="1" x14ac:dyDescent="0.4">
      <c r="B6" s="149" t="s">
        <v>146</v>
      </c>
      <c r="C6" s="150" t="s">
        <v>147</v>
      </c>
      <c r="D6" s="151" t="s">
        <v>148</v>
      </c>
      <c r="E6" s="151" t="s">
        <v>149</v>
      </c>
      <c r="F6" s="152" t="s">
        <v>150</v>
      </c>
      <c r="G6" s="150" t="s">
        <v>90</v>
      </c>
      <c r="H6" s="150" t="s">
        <v>8</v>
      </c>
      <c r="I6" s="153" t="s">
        <v>9</v>
      </c>
      <c r="J6" s="150" t="s">
        <v>151</v>
      </c>
      <c r="K6" s="154" t="s">
        <v>152</v>
      </c>
      <c r="L6" s="150" t="s">
        <v>153</v>
      </c>
      <c r="M6" s="150" t="s">
        <v>154</v>
      </c>
      <c r="N6" s="150" t="s">
        <v>155</v>
      </c>
      <c r="O6" s="150" t="s">
        <v>156</v>
      </c>
      <c r="P6" s="150" t="s">
        <v>147</v>
      </c>
      <c r="Q6" s="155" t="s">
        <v>157</v>
      </c>
      <c r="R6" s="155" t="s">
        <v>51</v>
      </c>
      <c r="S6" s="155" t="s">
        <v>158</v>
      </c>
      <c r="T6" s="156" t="s">
        <v>159</v>
      </c>
    </row>
    <row r="7" spans="2:22" x14ac:dyDescent="0.35">
      <c r="B7" s="157" t="s">
        <v>160</v>
      </c>
      <c r="C7" s="158">
        <v>1.5094905094905096</v>
      </c>
      <c r="D7" s="159">
        <v>4.3</v>
      </c>
      <c r="E7" s="160">
        <v>0.14383765076465313</v>
      </c>
      <c r="F7" s="161">
        <f>15495.17-16296.65+11696.96-4434.52</f>
        <v>6460.9599999999991</v>
      </c>
      <c r="G7" s="162">
        <v>2.06</v>
      </c>
      <c r="H7" s="162">
        <f>(47180-4178)/21049</f>
        <v>2.042947408427954</v>
      </c>
      <c r="I7" s="163">
        <v>0.12</v>
      </c>
      <c r="J7" s="164">
        <f>54351/(43188+59647+8245)</f>
        <v>0.4892960028808066</v>
      </c>
      <c r="K7" s="165">
        <v>0.1489</v>
      </c>
      <c r="L7" s="166">
        <v>0.73</v>
      </c>
      <c r="M7" s="166">
        <f>1715/(12326+1715)</f>
        <v>0.12214229755715404</v>
      </c>
      <c r="N7" s="167">
        <v>7.14</v>
      </c>
      <c r="O7" s="167">
        <f>(140831-226-17261)/50279</f>
        <v>2.4531911931422661</v>
      </c>
      <c r="P7" s="168">
        <v>1.5094905094905096</v>
      </c>
      <c r="Q7" s="169">
        <v>17.69963614311704</v>
      </c>
      <c r="R7" s="169">
        <v>9.92</v>
      </c>
      <c r="S7" s="169">
        <v>1.83</v>
      </c>
      <c r="T7" s="170">
        <v>1.1091921285627653</v>
      </c>
      <c r="V7" s="171"/>
    </row>
    <row r="8" spans="2:22" x14ac:dyDescent="0.35">
      <c r="B8" s="172" t="s">
        <v>161</v>
      </c>
      <c r="C8" s="173">
        <v>2.0952380952380953</v>
      </c>
      <c r="D8" s="174">
        <v>4.25</v>
      </c>
      <c r="E8" s="175">
        <v>9.4165032078399491E-2</v>
      </c>
      <c r="F8" s="176">
        <f>15732.18-16739.7+12366.65-4993.49</f>
        <v>6365.6399999999994</v>
      </c>
      <c r="G8" s="177">
        <v>1.67</v>
      </c>
      <c r="H8" s="177">
        <f>(55465-4641)/27116</f>
        <v>1.8743177459802332</v>
      </c>
      <c r="I8" s="178">
        <v>0.12</v>
      </c>
      <c r="J8" s="179">
        <f>61419/(8245+65046+50279)</f>
        <v>0.49703811604758436</v>
      </c>
      <c r="K8" s="180">
        <v>0.17460000000000001</v>
      </c>
      <c r="L8" s="181">
        <v>0.79</v>
      </c>
      <c r="M8" s="181">
        <f>1933/(16579+1933)</f>
        <v>0.10441875540190147</v>
      </c>
      <c r="N8" s="182">
        <v>7.67</v>
      </c>
      <c r="O8" s="182">
        <f>(161180-0-58146)/58146</f>
        <v>1.7719877549616483</v>
      </c>
      <c r="P8" s="183">
        <v>2.0952380952380953</v>
      </c>
      <c r="Q8" s="184">
        <v>20.256579745300183</v>
      </c>
      <c r="R8" s="184">
        <v>12.72</v>
      </c>
      <c r="S8" s="184">
        <v>1.46</v>
      </c>
      <c r="T8" s="185">
        <v>1.3802823529411765</v>
      </c>
    </row>
    <row r="9" spans="2:22" x14ac:dyDescent="0.35">
      <c r="B9" s="172" t="s">
        <v>162</v>
      </c>
      <c r="C9" s="173">
        <v>2.8221930974224554</v>
      </c>
      <c r="D9" s="174">
        <v>6</v>
      </c>
      <c r="E9" s="175">
        <v>0.14577237760390052</v>
      </c>
      <c r="F9" s="176">
        <f>15732.18-16739.7+12366.65-4993.49</f>
        <v>6365.6399999999994</v>
      </c>
      <c r="G9" s="177">
        <v>1.5</v>
      </c>
      <c r="H9" s="177">
        <f>(58785-6062)/31334</f>
        <v>1.6826131358907257</v>
      </c>
      <c r="I9" s="178">
        <v>0.11</v>
      </c>
      <c r="J9" s="179">
        <f>65180/(8245+72142+58142)</f>
        <v>0.47051519898360633</v>
      </c>
      <c r="K9" s="180">
        <v>0.13800000000000001</v>
      </c>
      <c r="L9" s="181">
        <v>0.95</v>
      </c>
      <c r="M9" s="181">
        <f>2466/(13905+2466)</f>
        <v>0.15063221550302364</v>
      </c>
      <c r="N9" s="182">
        <v>5.33</v>
      </c>
      <c r="O9" s="182">
        <f>(179627-0-26641)/67170</f>
        <v>2.2775941640613371</v>
      </c>
      <c r="P9" s="183">
        <v>2.8221930974224554</v>
      </c>
      <c r="Q9" s="184">
        <v>22.977198302001213</v>
      </c>
      <c r="R9" s="184">
        <v>11.53</v>
      </c>
      <c r="S9" s="184">
        <v>1.1499999999999999</v>
      </c>
      <c r="T9" s="185">
        <v>1.1960390539721044</v>
      </c>
    </row>
    <row r="10" spans="2:22" x14ac:dyDescent="0.35">
      <c r="B10" s="172" t="s">
        <v>163</v>
      </c>
      <c r="C10" s="173">
        <v>1.0694363952477544</v>
      </c>
      <c r="D10" s="174">
        <v>2.5</v>
      </c>
      <c r="E10" s="175">
        <v>1.69596165020337E-2</v>
      </c>
      <c r="F10" s="176">
        <f>14234.7-17128.27+23360.37-4751.15</f>
        <v>15715.65</v>
      </c>
      <c r="G10" s="177">
        <v>1.1599999999999999</v>
      </c>
      <c r="H10" s="177">
        <f>(58403-8060)/35366</f>
        <v>1.423485833851722</v>
      </c>
      <c r="I10" s="178">
        <v>0.08</v>
      </c>
      <c r="J10" s="179">
        <f>71459/(8245+77570+67170)</f>
        <v>0.46709808151125926</v>
      </c>
      <c r="K10" s="180">
        <v>0.11890000000000001</v>
      </c>
      <c r="L10" s="181">
        <v>1.26</v>
      </c>
      <c r="M10" s="181">
        <f>2842/(10547+2842)</f>
        <v>0.21226379864067518</v>
      </c>
      <c r="N10" s="182">
        <v>3.82</v>
      </c>
      <c r="O10" s="182">
        <f>(197220-0-29568)/85995</f>
        <v>1.9495552066980639</v>
      </c>
      <c r="P10" s="183">
        <v>1.0694363952477544</v>
      </c>
      <c r="Q10" s="184">
        <v>25.459672528805335</v>
      </c>
      <c r="R10" s="184">
        <v>10.09</v>
      </c>
      <c r="S10" s="184">
        <v>1.49</v>
      </c>
      <c r="T10" s="185">
        <v>1.0474448271679808</v>
      </c>
    </row>
    <row r="11" spans="2:22" x14ac:dyDescent="0.35">
      <c r="B11" s="172" t="s">
        <v>164</v>
      </c>
      <c r="C11" s="173">
        <v>1.6712926249008724</v>
      </c>
      <c r="D11" s="174">
        <v>3.35</v>
      </c>
      <c r="E11" s="175">
        <v>-0.11221416752966944</v>
      </c>
      <c r="F11" s="176">
        <f>14503.53-20561.82+11786.03-7697.53</f>
        <v>-1969.7899999999981</v>
      </c>
      <c r="G11" s="177">
        <v>0.85</v>
      </c>
      <c r="H11" s="177">
        <f>(50217-7145)/33666</f>
        <v>1.2793916711222004</v>
      </c>
      <c r="I11" s="178">
        <v>0.08</v>
      </c>
      <c r="J11" s="179">
        <f>72634/(8245+73412+85995)</f>
        <v>0.43324266933886862</v>
      </c>
      <c r="K11" s="180">
        <v>0.14480000000000001</v>
      </c>
      <c r="L11" s="181">
        <v>1.0900000000000001</v>
      </c>
      <c r="M11" s="181">
        <f>3346/(10596+3346)</f>
        <v>0.23999426194233253</v>
      </c>
      <c r="N11" s="182">
        <v>4.1100000000000003</v>
      </c>
      <c r="O11" s="182">
        <f>(215231-0-30810)/93217</f>
        <v>1.9784052265144769</v>
      </c>
      <c r="P11" s="183">
        <v>1.6712926249008724</v>
      </c>
      <c r="Q11" s="184">
        <v>26.948271679805941</v>
      </c>
      <c r="R11" s="184">
        <v>10.92</v>
      </c>
      <c r="S11" s="184">
        <v>1.1599999999999999</v>
      </c>
      <c r="T11" s="185">
        <v>1.2441735839902972</v>
      </c>
    </row>
    <row r="12" spans="2:22" x14ac:dyDescent="0.35">
      <c r="B12" s="172" t="s">
        <v>165</v>
      </c>
      <c r="C12" s="173">
        <v>1.5671622326551904</v>
      </c>
      <c r="D12" s="174">
        <v>4.3600000000000003</v>
      </c>
      <c r="E12" s="175">
        <v>0.12031053069105146</v>
      </c>
      <c r="F12" s="176">
        <f>20301.92-23513.5+23803.92-11095.86</f>
        <v>9496.4799999999959</v>
      </c>
      <c r="G12" s="177">
        <v>0.75</v>
      </c>
      <c r="H12" s="177">
        <f>(49560-6690)/36990</f>
        <v>1.1589618815896188</v>
      </c>
      <c r="I12" s="178">
        <v>0.09</v>
      </c>
      <c r="J12" s="179">
        <f>70844/(8245+83048+93127)</f>
        <v>0.38414488667172758</v>
      </c>
      <c r="K12" s="180">
        <v>0.1283</v>
      </c>
      <c r="L12" s="181">
        <v>1.18</v>
      </c>
      <c r="M12" s="181">
        <f>3699/(12052+3699)</f>
        <v>0.2348422322392229</v>
      </c>
      <c r="N12" s="182">
        <v>4.4800000000000004</v>
      </c>
      <c r="O12" s="182">
        <f>(236680-204-33609)/106840</f>
        <v>1.8987925870460503</v>
      </c>
      <c r="P12" s="183">
        <v>1.5671622326551904</v>
      </c>
      <c r="Q12" s="184">
        <v>28.700181928441481</v>
      </c>
      <c r="R12" s="184">
        <v>10.83</v>
      </c>
      <c r="S12" s="184">
        <v>1.42</v>
      </c>
      <c r="T12" s="185">
        <v>1.2179863674954519</v>
      </c>
    </row>
    <row r="13" spans="2:22" x14ac:dyDescent="0.35">
      <c r="B13" s="172" t="s">
        <v>166</v>
      </c>
      <c r="C13" s="173">
        <v>1.7604348720057572</v>
      </c>
      <c r="D13" s="174">
        <v>4.9000000000000004</v>
      </c>
      <c r="E13" s="175">
        <v>0.11698880976602238</v>
      </c>
      <c r="F13" s="176">
        <f>19248.35-18015.46+17230.49-6966.57</f>
        <v>11496.810000000001</v>
      </c>
      <c r="G13" s="177">
        <v>1</v>
      </c>
      <c r="H13" s="177">
        <f>(61985-6271)/48880</f>
        <v>1.13981178396072</v>
      </c>
      <c r="I13" s="178">
        <v>0.09</v>
      </c>
      <c r="J13" s="179">
        <f>78273/(8245+87986+106840)</f>
        <v>0.38544646946141992</v>
      </c>
      <c r="K13" s="180">
        <v>0.113</v>
      </c>
      <c r="L13" s="181">
        <v>1.27</v>
      </c>
      <c r="M13" s="181">
        <f>3996/(15600+3996)</f>
        <v>0.20391916717697489</v>
      </c>
      <c r="N13" s="182">
        <v>4.53</v>
      </c>
      <c r="O13" s="182">
        <f>(267962-204-44579)/121605</f>
        <v>1.8352781546811399</v>
      </c>
      <c r="P13" s="183">
        <v>1.7604348720057572</v>
      </c>
      <c r="Q13" s="184">
        <v>32.206973923590056</v>
      </c>
      <c r="R13" s="184">
        <v>10.66</v>
      </c>
      <c r="S13" s="184">
        <v>1.37</v>
      </c>
      <c r="T13" s="185">
        <v>1.1437463917525774</v>
      </c>
    </row>
    <row r="14" spans="2:22" x14ac:dyDescent="0.35">
      <c r="B14" s="172" t="s">
        <v>167</v>
      </c>
      <c r="C14" s="173">
        <v>1.9807947484282482</v>
      </c>
      <c r="D14" s="174">
        <v>5.97</v>
      </c>
      <c r="E14" s="175">
        <v>4.6415943426550949E-2</v>
      </c>
      <c r="F14" s="176">
        <f>16030.47-17701.26+24884.83-13839.47</f>
        <v>9374.5700000000015</v>
      </c>
      <c r="G14" s="177">
        <v>0.79</v>
      </c>
      <c r="H14" s="177">
        <f>(69409-8513)/55746</f>
        <v>1.0923833100132745</v>
      </c>
      <c r="I14" s="178">
        <v>7.0000000000000007E-2</v>
      </c>
      <c r="J14" s="179">
        <f>83453/(8245+93532+121605)</f>
        <v>0.37358874036404005</v>
      </c>
      <c r="K14" s="180">
        <v>0.12939999999999999</v>
      </c>
      <c r="L14" s="181">
        <v>1.49</v>
      </c>
      <c r="M14" s="181">
        <f>4717/(8831+4717)</f>
        <v>0.34816947150870975</v>
      </c>
      <c r="N14" s="182">
        <v>2.66</v>
      </c>
      <c r="O14" s="182">
        <f>(291002-204-40787)/142807</f>
        <v>1.7506914927139425</v>
      </c>
      <c r="P14" s="183">
        <v>1.9807947484282482</v>
      </c>
      <c r="Q14" s="184">
        <v>34.697629547960311</v>
      </c>
      <c r="R14" s="184">
        <v>12.77</v>
      </c>
      <c r="S14" s="184">
        <v>1.25</v>
      </c>
      <c r="T14" s="185">
        <v>1.2883931422271224</v>
      </c>
    </row>
    <row r="15" spans="2:22" x14ac:dyDescent="0.35">
      <c r="B15" s="172" t="s">
        <v>168</v>
      </c>
      <c r="C15" s="173">
        <v>0.59523809523809523</v>
      </c>
      <c r="D15" s="174">
        <v>3</v>
      </c>
      <c r="E15" s="175">
        <v>0.20125535008498699</v>
      </c>
      <c r="F15" s="176">
        <f>21583.98-14523.88+28775.62-7667.17</f>
        <v>28168.550000000003</v>
      </c>
      <c r="G15" s="177">
        <v>0.96</v>
      </c>
      <c r="H15" s="177">
        <f>(81951-11319)/55746</f>
        <v>1.2670326122053601</v>
      </c>
      <c r="I15" s="178">
        <v>0.1</v>
      </c>
      <c r="J15" s="179">
        <f>90307/(9895+9754+142807)</f>
        <v>0.55588590141330574</v>
      </c>
      <c r="K15" s="180">
        <v>9.8900000000000002E-2</v>
      </c>
      <c r="L15" s="181">
        <v>1.73</v>
      </c>
      <c r="M15" s="181">
        <f>6799/(19295+6799)</f>
        <v>0.26055798267801028</v>
      </c>
      <c r="N15" s="182">
        <v>3.55</v>
      </c>
      <c r="O15" s="182">
        <f>(327838-385-45557)/168712</f>
        <v>1.6708710702261842</v>
      </c>
      <c r="P15" s="183">
        <v>0.59523809523809523</v>
      </c>
      <c r="Q15" s="184">
        <v>36.608994441637194</v>
      </c>
      <c r="R15" s="184">
        <v>11.72</v>
      </c>
      <c r="S15" s="184">
        <v>0.73</v>
      </c>
      <c r="T15" s="185">
        <v>0.97650631632137452</v>
      </c>
    </row>
    <row r="16" spans="2:22" ht="15" thickBot="1" x14ac:dyDescent="0.4">
      <c r="B16" s="186" t="s">
        <v>169</v>
      </c>
      <c r="C16" s="187">
        <v>3.0362940630797772</v>
      </c>
      <c r="D16" s="188">
        <v>5.65</v>
      </c>
      <c r="E16" s="189">
        <v>-9.695875278092693E-2</v>
      </c>
      <c r="F16" s="190">
        <f>27057.78-18307.09+30431.12-20364.45</f>
        <v>18817.359999999997</v>
      </c>
      <c r="G16" s="191">
        <v>0.97</v>
      </c>
      <c r="H16" s="191">
        <f>(86760-10020)/59911</f>
        <v>1.2809000016691425</v>
      </c>
      <c r="I16" s="192">
        <v>0.09</v>
      </c>
      <c r="J16" s="193">
        <f>99207/(9697+109289+176466)</f>
        <v>0.33578043133910079</v>
      </c>
      <c r="K16" s="194">
        <v>0.13</v>
      </c>
      <c r="L16" s="195">
        <v>1.49</v>
      </c>
      <c r="M16" s="195">
        <f>7459/(15695+7459)</f>
        <v>0.32214736114710202</v>
      </c>
      <c r="N16" s="196">
        <v>2.99</v>
      </c>
      <c r="O16" s="196">
        <f>(343409-420-47958)/176466</f>
        <v>1.6718858023641947</v>
      </c>
      <c r="P16" s="197">
        <v>3.0362940630797772</v>
      </c>
      <c r="Q16" s="198">
        <v>39.591108615761534</v>
      </c>
      <c r="R16" s="198">
        <v>14.2</v>
      </c>
      <c r="S16" s="198">
        <v>0.87</v>
      </c>
      <c r="T16" s="199">
        <v>1.3165485912617394</v>
      </c>
    </row>
    <row r="17" spans="1:19" x14ac:dyDescent="0.35">
      <c r="B17" s="200"/>
      <c r="C17" s="201"/>
      <c r="D17" s="202"/>
      <c r="E17" s="203"/>
      <c r="F17" s="204"/>
    </row>
    <row r="18" spans="1:19" x14ac:dyDescent="0.35">
      <c r="B18" s="205"/>
      <c r="C18" s="95"/>
      <c r="E18" s="95"/>
      <c r="P18" s="171"/>
    </row>
    <row r="19" spans="1:19" ht="15" thickBot="1" x14ac:dyDescent="0.4">
      <c r="E19" s="95"/>
    </row>
    <row r="20" spans="1:19" ht="26.5" thickBot="1" x14ac:dyDescent="0.6">
      <c r="A20" s="206"/>
      <c r="C20" s="235" t="s">
        <v>170</v>
      </c>
      <c r="D20" s="236"/>
      <c r="E20" s="95"/>
      <c r="R20" s="207"/>
      <c r="S20" s="207"/>
    </row>
    <row r="21" spans="1:19" ht="20" x14ac:dyDescent="0.4">
      <c r="B21" s="206"/>
      <c r="E21" s="95"/>
    </row>
    <row r="22" spans="1:19" ht="20.5" thickBot="1" x14ac:dyDescent="0.45">
      <c r="B22" s="206"/>
      <c r="E22" s="95"/>
    </row>
    <row r="23" spans="1:19" ht="43.5" x14ac:dyDescent="0.35">
      <c r="C23" s="208" t="s">
        <v>171</v>
      </c>
      <c r="D23" s="209" t="s">
        <v>172</v>
      </c>
      <c r="E23" s="95"/>
    </row>
    <row r="24" spans="1:19" ht="29" x14ac:dyDescent="0.35">
      <c r="C24" s="210" t="s">
        <v>173</v>
      </c>
      <c r="D24" s="211" t="s">
        <v>174</v>
      </c>
      <c r="E24" s="95"/>
    </row>
    <row r="25" spans="1:19" ht="43.5" x14ac:dyDescent="0.35">
      <c r="C25" s="210" t="s">
        <v>175</v>
      </c>
      <c r="D25" s="211" t="s">
        <v>176</v>
      </c>
      <c r="E25" s="95"/>
    </row>
    <row r="26" spans="1:19" ht="58" x14ac:dyDescent="0.35">
      <c r="C26" s="210" t="s">
        <v>177</v>
      </c>
      <c r="D26" s="212">
        <v>2.1899999999999999E-2</v>
      </c>
    </row>
    <row r="27" spans="1:19" ht="43.5" x14ac:dyDescent="0.35">
      <c r="C27" s="210" t="s">
        <v>178</v>
      </c>
      <c r="D27" s="211" t="s">
        <v>179</v>
      </c>
    </row>
    <row r="28" spans="1:19" ht="43.5" x14ac:dyDescent="0.35">
      <c r="C28" s="210" t="s">
        <v>180</v>
      </c>
      <c r="D28" s="211" t="s">
        <v>181</v>
      </c>
    </row>
    <row r="29" spans="1:19" ht="87" x14ac:dyDescent="0.35">
      <c r="C29" s="210" t="s">
        <v>182</v>
      </c>
      <c r="D29" s="211" t="s">
        <v>183</v>
      </c>
    </row>
    <row r="30" spans="1:19" ht="29.5" thickBot="1" x14ac:dyDescent="0.4">
      <c r="C30" s="213" t="s">
        <v>184</v>
      </c>
      <c r="D30" s="214" t="s">
        <v>185</v>
      </c>
    </row>
    <row r="31" spans="1:19" x14ac:dyDescent="0.35">
      <c r="B31" s="200"/>
      <c r="C31" s="215"/>
      <c r="D31" s="95"/>
    </row>
    <row r="32" spans="1:19" x14ac:dyDescent="0.35">
      <c r="B32" s="200"/>
      <c r="C32" s="215"/>
      <c r="D32" s="95"/>
    </row>
    <row r="33" spans="1:4" x14ac:dyDescent="0.35">
      <c r="B33" s="200"/>
      <c r="C33" s="215"/>
      <c r="D33" s="95"/>
    </row>
    <row r="34" spans="1:4" x14ac:dyDescent="0.35">
      <c r="B34" s="200"/>
      <c r="C34" s="215"/>
      <c r="D34" s="95"/>
    </row>
    <row r="35" spans="1:4" x14ac:dyDescent="0.35">
      <c r="B35" s="200"/>
      <c r="C35" s="215"/>
      <c r="D35" s="95"/>
    </row>
    <row r="36" spans="1:4" ht="20" x14ac:dyDescent="0.4">
      <c r="A36" s="206"/>
      <c r="B36" s="205"/>
    </row>
    <row r="38" spans="1:4" ht="20" x14ac:dyDescent="0.4">
      <c r="B38" s="206"/>
    </row>
    <row r="41" spans="1:4" x14ac:dyDescent="0.35">
      <c r="B41" s="216"/>
      <c r="C41" s="216"/>
    </row>
    <row r="42" spans="1:4" x14ac:dyDescent="0.35">
      <c r="B42" s="200"/>
      <c r="C42" s="217"/>
    </row>
    <row r="43" spans="1:4" x14ac:dyDescent="0.35">
      <c r="B43" s="200"/>
      <c r="C43" s="217"/>
    </row>
    <row r="44" spans="1:4" x14ac:dyDescent="0.35">
      <c r="B44" s="200"/>
      <c r="C44" s="217"/>
    </row>
    <row r="45" spans="1:4" x14ac:dyDescent="0.35">
      <c r="B45" s="200"/>
      <c r="C45" s="217"/>
    </row>
    <row r="46" spans="1:4" x14ac:dyDescent="0.35">
      <c r="B46" s="200"/>
      <c r="C46" s="217"/>
    </row>
    <row r="47" spans="1:4" x14ac:dyDescent="0.35">
      <c r="B47" s="200"/>
      <c r="C47" s="217"/>
    </row>
    <row r="48" spans="1:4" x14ac:dyDescent="0.35">
      <c r="B48" s="200"/>
      <c r="C48" s="217"/>
    </row>
    <row r="49" spans="1:3" x14ac:dyDescent="0.35">
      <c r="B49" s="200"/>
      <c r="C49" s="217"/>
    </row>
    <row r="50" spans="1:3" x14ac:dyDescent="0.35">
      <c r="B50" s="200"/>
      <c r="C50" s="217"/>
    </row>
    <row r="51" spans="1:3" x14ac:dyDescent="0.35">
      <c r="B51" s="200"/>
      <c r="C51" s="217"/>
    </row>
    <row r="52" spans="1:3" ht="20" x14ac:dyDescent="0.4">
      <c r="A52" s="206"/>
    </row>
    <row r="54" spans="1:3" ht="20" x14ac:dyDescent="0.4">
      <c r="B54" s="206"/>
    </row>
    <row r="57" spans="1:3" x14ac:dyDescent="0.35">
      <c r="B57" s="218"/>
      <c r="C57" s="219"/>
    </row>
    <row r="58" spans="1:3" x14ac:dyDescent="0.35">
      <c r="B58" s="218"/>
      <c r="C58" s="219"/>
    </row>
    <row r="59" spans="1:3" x14ac:dyDescent="0.35">
      <c r="B59" s="218"/>
      <c r="C59" s="219"/>
    </row>
    <row r="60" spans="1:3" x14ac:dyDescent="0.35">
      <c r="B60" s="218"/>
      <c r="C60" s="220"/>
    </row>
    <row r="61" spans="1:3" x14ac:dyDescent="0.35">
      <c r="B61" s="218"/>
      <c r="C61" s="219"/>
    </row>
    <row r="62" spans="1:3" x14ac:dyDescent="0.35">
      <c r="B62" s="218"/>
      <c r="C62" s="219"/>
    </row>
    <row r="63" spans="1:3" x14ac:dyDescent="0.35">
      <c r="B63" s="218"/>
      <c r="C63" s="219"/>
    </row>
    <row r="64" spans="1:3" x14ac:dyDescent="0.35">
      <c r="B64" s="218"/>
      <c r="C64" s="219"/>
    </row>
    <row r="65" spans="1:3" ht="20" x14ac:dyDescent="0.4">
      <c r="A65" s="221"/>
    </row>
    <row r="67" spans="1:3" ht="20" x14ac:dyDescent="0.4">
      <c r="B67" s="221"/>
    </row>
    <row r="70" spans="1:3" x14ac:dyDescent="0.35">
      <c r="B70" s="222"/>
      <c r="C70" s="78"/>
    </row>
    <row r="71" spans="1:3" x14ac:dyDescent="0.35">
      <c r="B71" s="200"/>
      <c r="C71" s="223"/>
    </row>
    <row r="72" spans="1:3" x14ac:dyDescent="0.35">
      <c r="B72" s="200"/>
      <c r="C72" s="223"/>
    </row>
    <row r="73" spans="1:3" x14ac:dyDescent="0.35">
      <c r="B73" s="200"/>
      <c r="C73" s="223"/>
    </row>
    <row r="74" spans="1:3" x14ac:dyDescent="0.35">
      <c r="B74" s="200"/>
      <c r="C74" s="223"/>
    </row>
    <row r="75" spans="1:3" x14ac:dyDescent="0.35">
      <c r="B75" s="200"/>
      <c r="C75" s="223"/>
    </row>
    <row r="76" spans="1:3" x14ac:dyDescent="0.35">
      <c r="B76" s="200"/>
      <c r="C76" s="223"/>
    </row>
    <row r="77" spans="1:3" x14ac:dyDescent="0.35">
      <c r="B77" s="200"/>
      <c r="C77" s="223"/>
    </row>
    <row r="78" spans="1:3" x14ac:dyDescent="0.35">
      <c r="B78" s="200"/>
      <c r="C78" s="223"/>
    </row>
    <row r="79" spans="1:3" x14ac:dyDescent="0.35">
      <c r="B79" s="200"/>
      <c r="C79" s="223"/>
    </row>
    <row r="80" spans="1:3" x14ac:dyDescent="0.35">
      <c r="B80" s="200"/>
      <c r="C80" s="223"/>
    </row>
  </sheetData>
  <mergeCells count="6">
    <mergeCell ref="C20:D20"/>
    <mergeCell ref="B1:T1"/>
    <mergeCell ref="G5:H5"/>
    <mergeCell ref="I5:K5"/>
    <mergeCell ref="L5:M5"/>
    <mergeCell ref="N5:S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C1E47-D0B2-4773-A116-40524E79F7AF}">
  <dimension ref="A1:M66"/>
  <sheetViews>
    <sheetView workbookViewId="0">
      <selection activeCell="C9" sqref="C9:H10"/>
    </sheetView>
  </sheetViews>
  <sheetFormatPr defaultRowHeight="14.5" x14ac:dyDescent="0.35"/>
  <cols>
    <col min="2" max="2" width="21.54296875" customWidth="1"/>
    <col min="3" max="3" width="26.54296875" customWidth="1"/>
    <col min="8" max="8" width="46.90625" customWidth="1"/>
  </cols>
  <sheetData>
    <row r="1" spans="1:8" ht="20.5" thickBot="1" x14ac:dyDescent="0.45">
      <c r="A1" s="246" t="s">
        <v>186</v>
      </c>
      <c r="B1" s="247"/>
    </row>
    <row r="3" spans="1:8" ht="15" thickBot="1" x14ac:dyDescent="0.4"/>
    <row r="4" spans="1:8" x14ac:dyDescent="0.35">
      <c r="B4" s="238" t="s">
        <v>187</v>
      </c>
      <c r="C4" s="331" t="s">
        <v>188</v>
      </c>
      <c r="D4" s="331"/>
      <c r="E4" s="331"/>
      <c r="F4" s="331"/>
      <c r="G4" s="331"/>
      <c r="H4" s="332"/>
    </row>
    <row r="5" spans="1:8" ht="15" thickBot="1" x14ac:dyDescent="0.4">
      <c r="B5" s="239"/>
      <c r="C5" s="333" t="s">
        <v>189</v>
      </c>
      <c r="D5" s="333"/>
      <c r="E5" s="333"/>
      <c r="F5" s="333"/>
      <c r="G5" s="333"/>
      <c r="H5" s="334"/>
    </row>
    <row r="6" spans="1:8" ht="15" thickBot="1" x14ac:dyDescent="0.4">
      <c r="B6" s="224" t="s">
        <v>83</v>
      </c>
      <c r="C6" s="335" t="s">
        <v>190</v>
      </c>
      <c r="D6" s="335"/>
      <c r="E6" s="335"/>
      <c r="F6" s="335"/>
      <c r="G6" s="335"/>
      <c r="H6" s="336"/>
    </row>
    <row r="7" spans="1:8" x14ac:dyDescent="0.35">
      <c r="B7" s="238" t="s">
        <v>131</v>
      </c>
      <c r="C7" s="338" t="s">
        <v>191</v>
      </c>
      <c r="D7" s="338"/>
      <c r="E7" s="338"/>
      <c r="F7" s="338"/>
      <c r="G7" s="338"/>
      <c r="H7" s="339"/>
    </row>
    <row r="8" spans="1:8" ht="15" thickBot="1" x14ac:dyDescent="0.4">
      <c r="B8" s="337"/>
      <c r="C8" s="340" t="s">
        <v>192</v>
      </c>
      <c r="D8" s="340"/>
      <c r="E8" s="340"/>
      <c r="F8" s="340"/>
      <c r="G8" s="340"/>
      <c r="H8" s="341"/>
    </row>
    <row r="9" spans="1:8" x14ac:dyDescent="0.35">
      <c r="B9" s="266" t="s">
        <v>193</v>
      </c>
      <c r="C9" s="312" t="s">
        <v>194</v>
      </c>
      <c r="D9" s="313"/>
      <c r="E9" s="313"/>
      <c r="F9" s="313"/>
      <c r="G9" s="313"/>
      <c r="H9" s="314"/>
    </row>
    <row r="10" spans="1:8" ht="15" thickBot="1" x14ac:dyDescent="0.4">
      <c r="B10" s="279"/>
      <c r="C10" s="315"/>
      <c r="D10" s="316"/>
      <c r="E10" s="316"/>
      <c r="F10" s="316"/>
      <c r="G10" s="316"/>
      <c r="H10" s="317"/>
    </row>
    <row r="11" spans="1:8" x14ac:dyDescent="0.35">
      <c r="B11" s="318" t="s">
        <v>195</v>
      </c>
      <c r="C11" s="319" t="s">
        <v>196</v>
      </c>
      <c r="D11" s="320"/>
      <c r="E11" s="320"/>
      <c r="F11" s="320"/>
      <c r="G11" s="320"/>
      <c r="H11" s="321"/>
    </row>
    <row r="12" spans="1:8" ht="15" thickBot="1" x14ac:dyDescent="0.4">
      <c r="B12" s="293"/>
      <c r="C12" s="322" t="s">
        <v>197</v>
      </c>
      <c r="D12" s="323"/>
      <c r="E12" s="323"/>
      <c r="F12" s="323"/>
      <c r="G12" s="323"/>
      <c r="H12" s="324"/>
    </row>
    <row r="13" spans="1:8" x14ac:dyDescent="0.35">
      <c r="B13" s="266" t="s">
        <v>7</v>
      </c>
      <c r="C13" s="325" t="s">
        <v>198</v>
      </c>
      <c r="D13" s="326"/>
      <c r="E13" s="326"/>
      <c r="F13" s="326"/>
      <c r="G13" s="326"/>
      <c r="H13" s="327"/>
    </row>
    <row r="14" spans="1:8" x14ac:dyDescent="0.35">
      <c r="B14" s="249"/>
      <c r="C14" s="328" t="s">
        <v>199</v>
      </c>
      <c r="D14" s="329"/>
      <c r="E14" s="329"/>
      <c r="F14" s="329"/>
      <c r="G14" s="329"/>
      <c r="H14" s="330"/>
    </row>
    <row r="15" spans="1:8" x14ac:dyDescent="0.35">
      <c r="B15" s="249" t="s">
        <v>8</v>
      </c>
      <c r="C15" s="300" t="s">
        <v>200</v>
      </c>
      <c r="D15" s="301"/>
      <c r="E15" s="301"/>
      <c r="F15" s="301"/>
      <c r="G15" s="301"/>
      <c r="H15" s="302"/>
    </row>
    <row r="16" spans="1:8" ht="15" thickBot="1" x14ac:dyDescent="0.4">
      <c r="B16" s="279"/>
      <c r="C16" s="303" t="s">
        <v>201</v>
      </c>
      <c r="D16" s="304"/>
      <c r="E16" s="304"/>
      <c r="F16" s="304"/>
      <c r="G16" s="304"/>
      <c r="H16" s="305"/>
    </row>
    <row r="17" spans="2:8" x14ac:dyDescent="0.35">
      <c r="B17" s="266" t="s">
        <v>9</v>
      </c>
      <c r="C17" s="306" t="s">
        <v>202</v>
      </c>
      <c r="D17" s="307"/>
      <c r="E17" s="307"/>
      <c r="F17" s="307"/>
      <c r="G17" s="307"/>
      <c r="H17" s="308"/>
    </row>
    <row r="18" spans="2:8" x14ac:dyDescent="0.35">
      <c r="B18" s="249"/>
      <c r="C18" s="309" t="s">
        <v>203</v>
      </c>
      <c r="D18" s="310"/>
      <c r="E18" s="310"/>
      <c r="F18" s="310"/>
      <c r="G18" s="310"/>
      <c r="H18" s="311"/>
    </row>
    <row r="19" spans="2:8" x14ac:dyDescent="0.35">
      <c r="B19" s="249" t="s">
        <v>204</v>
      </c>
      <c r="C19" s="286" t="s">
        <v>205</v>
      </c>
      <c r="D19" s="287"/>
      <c r="E19" s="287"/>
      <c r="F19" s="287"/>
      <c r="G19" s="287"/>
      <c r="H19" s="288"/>
    </row>
    <row r="20" spans="2:8" x14ac:dyDescent="0.35">
      <c r="B20" s="249"/>
      <c r="C20" s="289" t="s">
        <v>206</v>
      </c>
      <c r="D20" s="290"/>
      <c r="E20" s="290"/>
      <c r="F20" s="290"/>
      <c r="G20" s="290"/>
      <c r="H20" s="291"/>
    </row>
    <row r="21" spans="2:8" x14ac:dyDescent="0.35">
      <c r="B21" s="249"/>
      <c r="C21" s="289"/>
      <c r="D21" s="290"/>
      <c r="E21" s="290"/>
      <c r="F21" s="290"/>
      <c r="G21" s="290"/>
      <c r="H21" s="291"/>
    </row>
    <row r="22" spans="2:8" x14ac:dyDescent="0.35">
      <c r="B22" s="292" t="s">
        <v>151</v>
      </c>
      <c r="C22" s="294" t="s">
        <v>207</v>
      </c>
      <c r="D22" s="295"/>
      <c r="E22" s="295"/>
      <c r="F22" s="295"/>
      <c r="G22" s="295"/>
      <c r="H22" s="296"/>
    </row>
    <row r="23" spans="2:8" ht="15" thickBot="1" x14ac:dyDescent="0.4">
      <c r="B23" s="293"/>
      <c r="C23" s="297" t="s">
        <v>208</v>
      </c>
      <c r="D23" s="298"/>
      <c r="E23" s="298"/>
      <c r="F23" s="298"/>
      <c r="G23" s="298"/>
      <c r="H23" s="299"/>
    </row>
    <row r="24" spans="2:8" ht="20" customHeight="1" x14ac:dyDescent="0.35">
      <c r="B24" s="266" t="s">
        <v>153</v>
      </c>
      <c r="C24" s="273" t="s">
        <v>209</v>
      </c>
      <c r="D24" s="274"/>
      <c r="E24" s="274"/>
      <c r="F24" s="274"/>
      <c r="G24" s="274"/>
      <c r="H24" s="275"/>
    </row>
    <row r="25" spans="2:8" x14ac:dyDescent="0.35">
      <c r="B25" s="249"/>
      <c r="C25" s="276" t="s">
        <v>210</v>
      </c>
      <c r="D25" s="277"/>
      <c r="E25" s="277"/>
      <c r="F25" s="277"/>
      <c r="G25" s="277"/>
      <c r="H25" s="278"/>
    </row>
    <row r="26" spans="2:8" x14ac:dyDescent="0.35">
      <c r="B26" s="249"/>
      <c r="C26" s="276"/>
      <c r="D26" s="277"/>
      <c r="E26" s="277"/>
      <c r="F26" s="277"/>
      <c r="G26" s="277"/>
      <c r="H26" s="278"/>
    </row>
    <row r="27" spans="2:8" x14ac:dyDescent="0.35">
      <c r="B27" s="249" t="s">
        <v>154</v>
      </c>
      <c r="C27" s="280" t="s">
        <v>211</v>
      </c>
      <c r="D27" s="281"/>
      <c r="E27" s="281"/>
      <c r="F27" s="281"/>
      <c r="G27" s="281"/>
      <c r="H27" s="282"/>
    </row>
    <row r="28" spans="2:8" ht="15" thickBot="1" x14ac:dyDescent="0.4">
      <c r="B28" s="279"/>
      <c r="C28" s="283" t="s">
        <v>212</v>
      </c>
      <c r="D28" s="284"/>
      <c r="E28" s="284"/>
      <c r="F28" s="284"/>
      <c r="G28" s="284"/>
      <c r="H28" s="285"/>
    </row>
    <row r="29" spans="2:8" x14ac:dyDescent="0.35">
      <c r="B29" s="266" t="s">
        <v>155</v>
      </c>
      <c r="C29" s="267" t="s">
        <v>213</v>
      </c>
      <c r="D29" s="268"/>
      <c r="E29" s="268"/>
      <c r="F29" s="268"/>
      <c r="G29" s="268"/>
      <c r="H29" s="269"/>
    </row>
    <row r="30" spans="2:8" x14ac:dyDescent="0.35">
      <c r="B30" s="249"/>
      <c r="C30" s="270" t="s">
        <v>214</v>
      </c>
      <c r="D30" s="271"/>
      <c r="E30" s="271"/>
      <c r="F30" s="271"/>
      <c r="G30" s="271"/>
      <c r="H30" s="272"/>
    </row>
    <row r="31" spans="2:8" x14ac:dyDescent="0.35">
      <c r="B31" s="249"/>
      <c r="C31" s="270"/>
      <c r="D31" s="271"/>
      <c r="E31" s="271"/>
      <c r="F31" s="271"/>
      <c r="G31" s="271"/>
      <c r="H31" s="272"/>
    </row>
    <row r="32" spans="2:8" x14ac:dyDescent="0.35">
      <c r="B32" s="249" t="s">
        <v>156</v>
      </c>
      <c r="C32" s="250" t="s">
        <v>215</v>
      </c>
      <c r="D32" s="251"/>
      <c r="E32" s="251"/>
      <c r="F32" s="251"/>
      <c r="G32" s="251"/>
      <c r="H32" s="252"/>
    </row>
    <row r="33" spans="1:13" x14ac:dyDescent="0.35">
      <c r="B33" s="249"/>
      <c r="C33" s="270" t="s">
        <v>216</v>
      </c>
      <c r="D33" s="271"/>
      <c r="E33" s="271"/>
      <c r="F33" s="271"/>
      <c r="G33" s="271"/>
      <c r="H33" s="272"/>
    </row>
    <row r="34" spans="1:13" x14ac:dyDescent="0.35">
      <c r="B34" s="249"/>
      <c r="C34" s="270"/>
      <c r="D34" s="271"/>
      <c r="E34" s="271"/>
      <c r="F34" s="271"/>
      <c r="G34" s="271"/>
      <c r="H34" s="272"/>
    </row>
    <row r="35" spans="1:13" x14ac:dyDescent="0.35">
      <c r="B35" s="249" t="s">
        <v>217</v>
      </c>
      <c r="C35" s="260" t="s">
        <v>188</v>
      </c>
      <c r="D35" s="261"/>
      <c r="E35" s="261"/>
      <c r="F35" s="261"/>
      <c r="G35" s="261"/>
      <c r="H35" s="262"/>
    </row>
    <row r="36" spans="1:13" x14ac:dyDescent="0.35">
      <c r="B36" s="249"/>
      <c r="C36" s="263" t="s">
        <v>189</v>
      </c>
      <c r="D36" s="264"/>
      <c r="E36" s="264"/>
      <c r="F36" s="264"/>
      <c r="G36" s="264"/>
      <c r="H36" s="265"/>
    </row>
    <row r="37" spans="1:13" x14ac:dyDescent="0.35">
      <c r="B37" s="249" t="s">
        <v>157</v>
      </c>
      <c r="C37" s="250" t="s">
        <v>218</v>
      </c>
      <c r="D37" s="251"/>
      <c r="E37" s="251"/>
      <c r="F37" s="251"/>
      <c r="G37" s="251"/>
      <c r="H37" s="252"/>
    </row>
    <row r="38" spans="1:13" x14ac:dyDescent="0.35">
      <c r="B38" s="249"/>
      <c r="C38" s="253" t="s">
        <v>219</v>
      </c>
      <c r="D38" s="254"/>
      <c r="E38" s="254"/>
      <c r="F38" s="254"/>
      <c r="G38" s="254"/>
      <c r="H38" s="255"/>
    </row>
    <row r="39" spans="1:13" x14ac:dyDescent="0.35">
      <c r="B39" s="249" t="s">
        <v>220</v>
      </c>
      <c r="C39" s="250" t="s">
        <v>221</v>
      </c>
      <c r="D39" s="251"/>
      <c r="E39" s="251"/>
      <c r="F39" s="251"/>
      <c r="G39" s="251"/>
      <c r="H39" s="252"/>
    </row>
    <row r="40" spans="1:13" x14ac:dyDescent="0.35">
      <c r="B40" s="249"/>
      <c r="C40" s="253" t="s">
        <v>222</v>
      </c>
      <c r="D40" s="254"/>
      <c r="E40" s="254"/>
      <c r="F40" s="254"/>
      <c r="G40" s="254"/>
      <c r="H40" s="255"/>
    </row>
    <row r="41" spans="1:13" x14ac:dyDescent="0.35">
      <c r="B41" s="256" t="s">
        <v>223</v>
      </c>
      <c r="C41" s="250" t="s">
        <v>224</v>
      </c>
      <c r="D41" s="251"/>
      <c r="E41" s="251"/>
      <c r="F41" s="251"/>
      <c r="G41" s="251"/>
      <c r="H41" s="252"/>
    </row>
    <row r="42" spans="1:13" ht="14.5" customHeight="1" thickBot="1" x14ac:dyDescent="0.4">
      <c r="B42" s="239"/>
      <c r="C42" s="257" t="s">
        <v>225</v>
      </c>
      <c r="D42" s="258"/>
      <c r="E42" s="258"/>
      <c r="F42" s="258"/>
      <c r="G42" s="258"/>
      <c r="H42" s="259"/>
    </row>
    <row r="43" spans="1:13" x14ac:dyDescent="0.35">
      <c r="B43" s="238" t="s">
        <v>226</v>
      </c>
      <c r="C43" s="240" t="s">
        <v>227</v>
      </c>
      <c r="D43" s="241"/>
      <c r="E43" s="241"/>
      <c r="F43" s="241"/>
      <c r="G43" s="241"/>
      <c r="H43" s="242"/>
    </row>
    <row r="44" spans="1:13" ht="15" thickBot="1" x14ac:dyDescent="0.4">
      <c r="B44" s="239"/>
      <c r="C44" s="243" t="s">
        <v>228</v>
      </c>
      <c r="D44" s="244"/>
      <c r="E44" s="244"/>
      <c r="F44" s="244"/>
      <c r="G44" s="244"/>
      <c r="H44" s="245"/>
    </row>
    <row r="46" spans="1:13" ht="15" thickBot="1" x14ac:dyDescent="0.4"/>
    <row r="47" spans="1:13" ht="20.5" thickBot="1" x14ac:dyDescent="0.45">
      <c r="A47" s="246" t="s">
        <v>229</v>
      </c>
      <c r="B47" s="247"/>
      <c r="K47" s="225"/>
      <c r="L47" s="225"/>
      <c r="M47" s="225"/>
    </row>
    <row r="48" spans="1:13" x14ac:dyDescent="0.35">
      <c r="E48" s="226"/>
      <c r="K48" s="225"/>
      <c r="L48" s="225"/>
      <c r="M48" s="225"/>
    </row>
    <row r="49" spans="2:10" x14ac:dyDescent="0.35">
      <c r="H49" s="225"/>
      <c r="I49" s="225"/>
      <c r="J49" s="225"/>
    </row>
    <row r="50" spans="2:10" x14ac:dyDescent="0.35">
      <c r="B50" s="248" t="s">
        <v>230</v>
      </c>
      <c r="C50" s="248"/>
      <c r="H50" s="225"/>
      <c r="I50" s="225"/>
      <c r="J50" s="225"/>
    </row>
    <row r="51" spans="2:10" x14ac:dyDescent="0.35">
      <c r="B51" s="237" t="s">
        <v>231</v>
      </c>
      <c r="C51" s="237"/>
    </row>
    <row r="52" spans="2:10" x14ac:dyDescent="0.35">
      <c r="B52" s="237" t="s">
        <v>232</v>
      </c>
      <c r="C52" s="237"/>
    </row>
    <row r="53" spans="2:10" x14ac:dyDescent="0.35">
      <c r="B53" s="237" t="s">
        <v>233</v>
      </c>
      <c r="C53" s="237"/>
    </row>
    <row r="54" spans="2:10" x14ac:dyDescent="0.35">
      <c r="B54" s="237" t="s">
        <v>234</v>
      </c>
      <c r="C54" s="237"/>
    </row>
    <row r="55" spans="2:10" x14ac:dyDescent="0.35">
      <c r="B55" s="227" t="s">
        <v>235</v>
      </c>
      <c r="C55" s="228"/>
    </row>
    <row r="57" spans="2:10" x14ac:dyDescent="0.35">
      <c r="B57" s="80"/>
      <c r="C57" s="80"/>
      <c r="D57" s="80"/>
      <c r="E57" s="80"/>
      <c r="F57" s="80"/>
      <c r="G57" s="80"/>
      <c r="H57" s="80"/>
    </row>
    <row r="58" spans="2:10" x14ac:dyDescent="0.35">
      <c r="B58" s="80"/>
      <c r="C58" s="80"/>
      <c r="D58" s="80"/>
      <c r="E58" s="80"/>
      <c r="F58" s="80"/>
      <c r="G58" s="80"/>
      <c r="H58" s="80"/>
    </row>
    <row r="59" spans="2:10" x14ac:dyDescent="0.35">
      <c r="B59" s="80"/>
      <c r="C59" s="80"/>
      <c r="D59" s="80"/>
      <c r="E59" s="80"/>
      <c r="F59" s="80"/>
      <c r="G59" s="80"/>
      <c r="H59" s="80"/>
    </row>
    <row r="60" spans="2:10" x14ac:dyDescent="0.35">
      <c r="B60" s="80"/>
      <c r="C60" s="80"/>
      <c r="D60" s="80"/>
      <c r="E60" s="80"/>
      <c r="F60" s="80"/>
      <c r="G60" s="80"/>
      <c r="H60" s="80"/>
    </row>
    <row r="65" spans="1:2" x14ac:dyDescent="0.35">
      <c r="A65" t="s">
        <v>236</v>
      </c>
    </row>
    <row r="66" spans="1:2" x14ac:dyDescent="0.35">
      <c r="B66" t="s">
        <v>237</v>
      </c>
    </row>
  </sheetData>
  <mergeCells count="61">
    <mergeCell ref="B13:B14"/>
    <mergeCell ref="C13:H13"/>
    <mergeCell ref="C14:H14"/>
    <mergeCell ref="A1:B1"/>
    <mergeCell ref="B4:B5"/>
    <mergeCell ref="C4:H4"/>
    <mergeCell ref="C5:H5"/>
    <mergeCell ref="C6:H6"/>
    <mergeCell ref="B7:B8"/>
    <mergeCell ref="C7:H7"/>
    <mergeCell ref="C8:H8"/>
    <mergeCell ref="B9:B10"/>
    <mergeCell ref="C9:H10"/>
    <mergeCell ref="B11:B12"/>
    <mergeCell ref="C11:H11"/>
    <mergeCell ref="C12:H12"/>
    <mergeCell ref="B15:B16"/>
    <mergeCell ref="C15:H15"/>
    <mergeCell ref="C16:H16"/>
    <mergeCell ref="B17:B18"/>
    <mergeCell ref="C17:H17"/>
    <mergeCell ref="C18:H18"/>
    <mergeCell ref="B19:B21"/>
    <mergeCell ref="C19:H19"/>
    <mergeCell ref="C20:H21"/>
    <mergeCell ref="B22:B23"/>
    <mergeCell ref="C22:H22"/>
    <mergeCell ref="C23:H23"/>
    <mergeCell ref="B24:B26"/>
    <mergeCell ref="C24:H24"/>
    <mergeCell ref="C25:H26"/>
    <mergeCell ref="B27:B28"/>
    <mergeCell ref="C27:H27"/>
    <mergeCell ref="C28:H28"/>
    <mergeCell ref="B29:B31"/>
    <mergeCell ref="C29:H29"/>
    <mergeCell ref="C30:H31"/>
    <mergeCell ref="B32:B34"/>
    <mergeCell ref="C32:H32"/>
    <mergeCell ref="C33:H34"/>
    <mergeCell ref="B35:B36"/>
    <mergeCell ref="C35:H35"/>
    <mergeCell ref="C36:H36"/>
    <mergeCell ref="B37:B38"/>
    <mergeCell ref="C37:H37"/>
    <mergeCell ref="C38:H38"/>
    <mergeCell ref="B39:B40"/>
    <mergeCell ref="C39:H39"/>
    <mergeCell ref="C40:H40"/>
    <mergeCell ref="B41:B42"/>
    <mergeCell ref="C41:H41"/>
    <mergeCell ref="C42:H42"/>
    <mergeCell ref="B52:C52"/>
    <mergeCell ref="B53:C53"/>
    <mergeCell ref="B54:C54"/>
    <mergeCell ref="B43:B44"/>
    <mergeCell ref="C43:H43"/>
    <mergeCell ref="C44:H44"/>
    <mergeCell ref="A47:B47"/>
    <mergeCell ref="B50:C50"/>
    <mergeCell ref="B51:C51"/>
  </mergeCells>
  <hyperlinks>
    <hyperlink ref="C12" r:id="rId1" display="https://corporatefinanceinstitute.com/resources/knowledge/accounting/stockholders-equity-guide/" xr:uid="{C25F2757-3283-48E8-94CA-C37BF8C983F2}"/>
    <hyperlink ref="B55" r:id="rId2" location="balance-sheet" display="https://www.screener.in/company/NTPC/consolidated/ - balance-sheet" xr:uid="{7FDD44F3-465C-4557-BBD1-A1A6314B7B42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B4E6C-CBB5-48ED-B85D-622D7A364590}">
  <dimension ref="A1:L17"/>
  <sheetViews>
    <sheetView workbookViewId="0">
      <selection activeCell="I6" sqref="I6"/>
    </sheetView>
  </sheetViews>
  <sheetFormatPr defaultColWidth="11.81640625" defaultRowHeight="23" x14ac:dyDescent="0.5"/>
  <cols>
    <col min="1" max="1" width="11.81640625" style="101"/>
    <col min="2" max="3" width="12.36328125" style="101" bestFit="1" customWidth="1"/>
    <col min="4" max="6" width="11.81640625" style="101"/>
    <col min="7" max="7" width="23.453125" style="101" customWidth="1"/>
    <col min="8" max="9" width="12.36328125" style="101" bestFit="1" customWidth="1"/>
    <col min="10" max="10" width="12" style="101" bestFit="1" customWidth="1"/>
    <col min="11" max="11" width="11.81640625" style="101"/>
    <col min="12" max="12" width="23.6328125" style="101" customWidth="1"/>
    <col min="13" max="16384" width="11.81640625" style="101"/>
  </cols>
  <sheetData>
    <row r="1" spans="1:12" x14ac:dyDescent="0.5">
      <c r="A1" s="342" t="s">
        <v>87</v>
      </c>
      <c r="B1" s="343"/>
      <c r="C1" s="343"/>
      <c r="D1" s="343"/>
      <c r="E1" s="343"/>
      <c r="F1" s="344"/>
    </row>
    <row r="2" spans="1:12" x14ac:dyDescent="0.5">
      <c r="A2" s="345"/>
      <c r="B2" s="346"/>
      <c r="C2" s="346"/>
      <c r="D2" s="346"/>
      <c r="E2" s="346"/>
      <c r="F2" s="347"/>
    </row>
    <row r="3" spans="1:12" ht="23.5" thickBot="1" x14ac:dyDescent="0.55000000000000004">
      <c r="A3" s="348"/>
      <c r="B3" s="349"/>
      <c r="C3" s="349"/>
      <c r="D3" s="349"/>
      <c r="E3" s="349"/>
      <c r="F3" s="350"/>
    </row>
    <row r="5" spans="1:12" x14ac:dyDescent="0.5">
      <c r="A5" s="102" t="s">
        <v>88</v>
      </c>
      <c r="B5" s="351" t="s">
        <v>45</v>
      </c>
      <c r="C5" s="351"/>
      <c r="D5" s="351" t="s">
        <v>46</v>
      </c>
      <c r="E5" s="351"/>
      <c r="F5" s="351"/>
      <c r="G5" s="102" t="s">
        <v>4</v>
      </c>
      <c r="H5" s="351" t="s">
        <v>5</v>
      </c>
      <c r="I5" s="351"/>
      <c r="J5" s="351"/>
      <c r="K5" s="351"/>
      <c r="L5" s="102" t="s">
        <v>89</v>
      </c>
    </row>
    <row r="6" spans="1:12" x14ac:dyDescent="0.5">
      <c r="A6" s="103"/>
      <c r="B6" s="104" t="s">
        <v>90</v>
      </c>
      <c r="C6" s="104" t="s">
        <v>91</v>
      </c>
      <c r="D6" s="103" t="s">
        <v>9</v>
      </c>
      <c r="E6" s="103" t="s">
        <v>92</v>
      </c>
      <c r="F6" s="103" t="s">
        <v>93</v>
      </c>
      <c r="G6" s="103" t="s">
        <v>94</v>
      </c>
      <c r="H6" s="103" t="s">
        <v>95</v>
      </c>
      <c r="I6" s="103" t="s">
        <v>14</v>
      </c>
      <c r="J6" s="103" t="s">
        <v>96</v>
      </c>
      <c r="K6" s="103" t="s">
        <v>97</v>
      </c>
      <c r="L6" s="103"/>
    </row>
    <row r="7" spans="1:12" x14ac:dyDescent="0.5">
      <c r="A7" s="105">
        <v>2021</v>
      </c>
      <c r="B7" s="106">
        <f>12325.3/6268.4</f>
        <v>1.9662593325250464</v>
      </c>
      <c r="C7" s="106">
        <f>(12325.3-1584.7)/6268.4</f>
        <v>1.7134515984940335</v>
      </c>
      <c r="D7" s="107">
        <f>1430.6/(71.2+10272.5+0)</f>
        <v>0.1383064087318851</v>
      </c>
      <c r="E7" s="107">
        <f>1430.6/13182.1</f>
        <v>0.1085259556519826</v>
      </c>
      <c r="F7" s="108">
        <f>13182.1/(71.2+10272.5+0)</f>
        <v>1.2744085772015816</v>
      </c>
      <c r="G7" s="106">
        <v>0</v>
      </c>
      <c r="H7" s="106">
        <v>37.39</v>
      </c>
      <c r="I7" s="106">
        <v>71.8</v>
      </c>
      <c r="J7" s="106">
        <f>H7/8</f>
        <v>4.6737500000000001</v>
      </c>
      <c r="K7" s="109">
        <f>8/2359</f>
        <v>3.3912674862229758E-3</v>
      </c>
      <c r="L7" s="106">
        <f>12755.9/6581.9</f>
        <v>1.9380270134763518</v>
      </c>
    </row>
    <row r="8" spans="1:12" x14ac:dyDescent="0.5">
      <c r="A8" s="105">
        <v>2020</v>
      </c>
      <c r="B8" s="106">
        <f>12513.1/5684.6</f>
        <v>2.2012278788305246</v>
      </c>
      <c r="C8" s="106">
        <f>(12513.1-1106.4)/5684.6</f>
        <v>2.0065967702212997</v>
      </c>
      <c r="D8" s="107">
        <f>1020.6/(71.2+9402.8)</f>
        <v>0.10772640911969601</v>
      </c>
      <c r="E8" s="107">
        <f>1020.6/10179.3</f>
        <v>0.10026229701452949</v>
      </c>
      <c r="F8" s="108">
        <f>10179.3/(71.2+9402.8)</f>
        <v>1.0744458518049398</v>
      </c>
      <c r="G8" s="106">
        <v>0</v>
      </c>
      <c r="H8" s="106">
        <v>28.28</v>
      </c>
      <c r="I8" s="106">
        <v>57.95</v>
      </c>
      <c r="J8" s="106">
        <f>H8/7</f>
        <v>4.04</v>
      </c>
      <c r="K8" s="109">
        <f>7/2483.75</f>
        <v>2.8183190739808758E-3</v>
      </c>
      <c r="L8" s="106">
        <f>9580.8/5126.6</f>
        <v>1.8688409472164784</v>
      </c>
    </row>
    <row r="9" spans="1:12" x14ac:dyDescent="0.5">
      <c r="A9" s="105">
        <v>2019</v>
      </c>
      <c r="B9" s="106">
        <f>12408.9/5855.8</f>
        <v>2.1190785204412719</v>
      </c>
      <c r="C9" s="106">
        <f>(12408.9-1095)/5855.8</f>
        <v>1.9320844291130159</v>
      </c>
      <c r="D9" s="107">
        <f>1641.6/(71.2+8972.4)</f>
        <v>0.18152063337608915</v>
      </c>
      <c r="E9" s="107">
        <f>1641.6/14078.4</f>
        <v>0.11660415956358677</v>
      </c>
      <c r="F9" s="108">
        <f>14078.4/(71.2+8972.4)</f>
        <v>1.5567251979300278</v>
      </c>
      <c r="G9" s="106">
        <v>0</v>
      </c>
      <c r="H9" s="106">
        <v>36.630000000000003</v>
      </c>
      <c r="I9" s="106">
        <v>50.35</v>
      </c>
      <c r="J9" s="106">
        <f>H9/7</f>
        <v>5.2328571428571431</v>
      </c>
      <c r="K9" s="109">
        <f>7/1537.4</f>
        <v>4.5531416677507481E-3</v>
      </c>
      <c r="L9" s="106">
        <f>13323.1/4375.6</f>
        <v>3.0448624188682691</v>
      </c>
    </row>
    <row r="10" spans="1:12" x14ac:dyDescent="0.5">
      <c r="A10" s="105">
        <v>2018</v>
      </c>
      <c r="B10" s="106">
        <f>11074.4/5668.6</f>
        <v>1.9536393465758739</v>
      </c>
      <c r="C10" s="106">
        <f>(11074.4-1138.9)/5668.6</f>
        <v>1.7527255406978794</v>
      </c>
      <c r="D10" s="107">
        <f>1391.2/(71.2+8234.2)</f>
        <v>0.16750547836347435</v>
      </c>
      <c r="E10" s="107">
        <f>1391.2/13005.1</f>
        <v>0.10697341812058346</v>
      </c>
      <c r="F10" s="108">
        <f>13005.1/(71.2+8234.2)</f>
        <v>1.5658607652852359</v>
      </c>
      <c r="G10" s="106">
        <v>0</v>
      </c>
      <c r="H10" s="106">
        <v>30.63</v>
      </c>
      <c r="I10" s="106">
        <v>27.58</v>
      </c>
      <c r="J10" s="106">
        <f>H10/7</f>
        <v>4.3757142857142854</v>
      </c>
      <c r="K10" s="109">
        <f>7/1029.25</f>
        <v>6.8010687393733303E-3</v>
      </c>
      <c r="L10" s="106">
        <f>12292.7/4030.3</f>
        <v>3.050070714338883</v>
      </c>
    </row>
    <row r="11" spans="1:12" x14ac:dyDescent="0.5">
      <c r="A11" s="105">
        <v>2017</v>
      </c>
      <c r="B11" s="106">
        <f>10261/5157</f>
        <v>1.9897227070001939</v>
      </c>
      <c r="C11" s="106">
        <f>(10261-1016.5)/5157</f>
        <v>1.7926119837114602</v>
      </c>
      <c r="D11" s="107">
        <f>1669.1/(71.2+7633.5)</f>
        <v>0.21663400262177632</v>
      </c>
      <c r="E11" s="107">
        <f>1669.1/11269.5</f>
        <v>0.14810772438883713</v>
      </c>
      <c r="F11" s="108">
        <f>11269.5/(71.2+7633.5)</f>
        <v>1.462678624735551</v>
      </c>
      <c r="G11" s="106">
        <v>0</v>
      </c>
      <c r="H11" s="106">
        <v>37.369999999999997</v>
      </c>
      <c r="I11" s="106">
        <v>37.229999999999997</v>
      </c>
      <c r="J11" s="106">
        <f>H11/7</f>
        <v>5.3385714285714281</v>
      </c>
      <c r="K11" s="109">
        <f>7/1238.95</f>
        <v>5.649945518382501E-3</v>
      </c>
      <c r="L11" s="106">
        <f>10726.62/3960.3</f>
        <v>2.7085372320278767</v>
      </c>
    </row>
    <row r="12" spans="1:12" x14ac:dyDescent="0.5">
      <c r="A12" s="105">
        <v>2016</v>
      </c>
      <c r="B12" s="106">
        <f>9100.2/4905.9</f>
        <v>1.854950162049777</v>
      </c>
      <c r="C12" s="106">
        <f>(9100.2-999.3)/4905.9</f>
        <v>1.6512566501559349</v>
      </c>
      <c r="D12" s="107">
        <f>3897.1/(71.2+6510.7)</f>
        <v>0.59209346845135902</v>
      </c>
      <c r="E12" s="107">
        <f>3897.1/10972.8</f>
        <v>0.35516003207932345</v>
      </c>
      <c r="F12" s="108">
        <f>10972.8/(71.2+6510.7)</f>
        <v>1.6671173977119069</v>
      </c>
      <c r="G12" s="106">
        <v>0</v>
      </c>
      <c r="H12" s="106">
        <v>87.48</v>
      </c>
      <c r="I12" s="106">
        <v>70.02</v>
      </c>
      <c r="J12" s="106">
        <f>H12/33.5</f>
        <v>2.6113432835820896</v>
      </c>
      <c r="K12" s="109">
        <f>33.5/1048.75</f>
        <v>3.1942789034564961E-2</v>
      </c>
      <c r="L12" s="106">
        <f>10544.16/3816.2</f>
        <v>2.7629998427755358</v>
      </c>
    </row>
    <row r="13" spans="1:12" x14ac:dyDescent="0.5">
      <c r="A13" s="105">
        <v>2015</v>
      </c>
      <c r="B13" s="106">
        <f>7746.3/5027.8</f>
        <v>1.5406937427900871</v>
      </c>
      <c r="C13" s="106">
        <f>(7746.3-950.9)/5027.8</f>
        <v>1.3515652969489638</v>
      </c>
      <c r="D13" s="107">
        <f>1696.4/(71.2+5055.4)</f>
        <v>0.3309015721920962</v>
      </c>
      <c r="E13" s="107">
        <f>1696.4/10672.8</f>
        <v>0.15894610598905631</v>
      </c>
      <c r="F13" s="108">
        <f>10672.8/(71.2+5055.4)</f>
        <v>2.0818476183045296</v>
      </c>
      <c r="G13" s="106">
        <v>0</v>
      </c>
      <c r="H13" s="106">
        <v>39.29</v>
      </c>
      <c r="I13" s="106">
        <v>33.24</v>
      </c>
      <c r="J13" s="106">
        <f>H13/10</f>
        <v>3.9289999999999998</v>
      </c>
      <c r="K13" s="109">
        <f>10/1198.5</f>
        <v>8.343763037129746E-3</v>
      </c>
      <c r="L13" s="106">
        <f>10283.02/3477.78</f>
        <v>2.9567770244236264</v>
      </c>
    </row>
    <row r="14" spans="1:12" x14ac:dyDescent="0.5">
      <c r="A14" s="105">
        <v>2014</v>
      </c>
      <c r="B14" s="106">
        <f>7426.2/5564.1</f>
        <v>1.3346632878632663</v>
      </c>
      <c r="C14" s="106">
        <f>(7426.2-1047.2)/5564.1</f>
        <v>1.1464567495192393</v>
      </c>
      <c r="D14" s="107">
        <f>843.6/(71.2+4304.4)</f>
        <v>0.19279641649145263</v>
      </c>
      <c r="E14" s="107">
        <f>843.6/10766.5</f>
        <v>7.8354154089072592E-2</v>
      </c>
      <c r="F14" s="108">
        <f>10766.5/(71.2+4304.4)</f>
        <v>2.4605768351768904</v>
      </c>
      <c r="G14" s="106">
        <v>0</v>
      </c>
      <c r="H14" s="106">
        <v>23.38</v>
      </c>
      <c r="I14" s="106">
        <v>99.35</v>
      </c>
      <c r="J14" s="106">
        <f>H14/6</f>
        <v>3.8966666666666665</v>
      </c>
      <c r="K14" s="109">
        <f>6/669.6</f>
        <v>8.9605734767025085E-3</v>
      </c>
      <c r="L14" s="106">
        <f>10448.27/2916.62</f>
        <v>3.5823213171410746</v>
      </c>
    </row>
    <row r="15" spans="1:12" x14ac:dyDescent="0.5">
      <c r="A15" s="105">
        <v>2013</v>
      </c>
      <c r="B15" s="106">
        <f>6616.4/5476.5</f>
        <v>1.208143887519401</v>
      </c>
      <c r="C15" s="106">
        <f>(6616.4-933.4)/5476.5</f>
        <v>1.0377065644115768</v>
      </c>
      <c r="D15" s="107">
        <f>218.6/(71.2+3959.1)</f>
        <v>5.4239138525668064E-2</v>
      </c>
      <c r="E15" s="107">
        <f>218.6/11387.1</f>
        <v>1.9197161700520764E-2</v>
      </c>
      <c r="F15" s="108">
        <f>11387.1/(71.2+3959.1)</f>
        <v>2.8253728010321817</v>
      </c>
      <c r="G15" s="106">
        <v>0</v>
      </c>
      <c r="H15" s="106">
        <v>12.48</v>
      </c>
      <c r="I15" s="106">
        <v>89.63</v>
      </c>
      <c r="J15" s="106">
        <f>H15/5</f>
        <v>2.496</v>
      </c>
      <c r="K15" s="109">
        <f>5/667</f>
        <v>7.4962518740629685E-3</v>
      </c>
      <c r="L15" s="106">
        <f>11145.24/2069.08</f>
        <v>5.3865679432404745</v>
      </c>
    </row>
    <row r="16" spans="1:12" x14ac:dyDescent="0.5">
      <c r="A16" s="105">
        <v>2012</v>
      </c>
      <c r="B16" s="106">
        <f>7477.5/6269.8</f>
        <v>1.1926217742192733</v>
      </c>
      <c r="C16" s="106">
        <f>(7477.5-943.1)/6269.8</f>
        <v>1.0422023031037673</v>
      </c>
      <c r="D16" s="107">
        <f>600.8/(71.2+3892.2)</f>
        <v>0.15158702124438614</v>
      </c>
      <c r="E16" s="107">
        <f>600.8/12977.4</f>
        <v>4.6295868201642852E-2</v>
      </c>
      <c r="F16" s="108">
        <f>12977.4/(71.2+3892.2)</f>
        <v>3.2743099359136099</v>
      </c>
      <c r="G16" s="106">
        <v>0</v>
      </c>
      <c r="H16" s="106">
        <v>15.98</v>
      </c>
      <c r="I16" s="106">
        <v>39.909999999999997</v>
      </c>
      <c r="J16" s="106">
        <f>H16/6</f>
        <v>2.6633333333333336</v>
      </c>
      <c r="K16" s="109">
        <f>6/657.55</f>
        <v>9.124781385445974E-3</v>
      </c>
      <c r="L16" s="106">
        <f>12708.12/1590.88</f>
        <v>7.9881072111032889</v>
      </c>
    </row>
    <row r="17" spans="7:7" x14ac:dyDescent="0.5">
      <c r="G17" s="101" t="s">
        <v>98</v>
      </c>
    </row>
  </sheetData>
  <mergeCells count="4">
    <mergeCell ref="A1:F3"/>
    <mergeCell ref="B5:C5"/>
    <mergeCell ref="D5:F5"/>
    <mergeCell ref="H5:K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EB576-2CCD-4254-AA58-2AF88C1B86C8}">
  <dimension ref="A1:J26"/>
  <sheetViews>
    <sheetView workbookViewId="0">
      <selection activeCell="F10" sqref="F10"/>
    </sheetView>
  </sheetViews>
  <sheetFormatPr defaultColWidth="11.81640625" defaultRowHeight="23" x14ac:dyDescent="0.5"/>
  <cols>
    <col min="1" max="16384" width="11.81640625" style="101"/>
  </cols>
  <sheetData>
    <row r="1" spans="1:10" x14ac:dyDescent="0.5">
      <c r="A1" s="353" t="s">
        <v>23</v>
      </c>
      <c r="B1" s="354"/>
      <c r="C1" s="354"/>
      <c r="D1" s="110"/>
      <c r="E1" s="110"/>
      <c r="F1" s="110"/>
      <c r="G1" s="111"/>
    </row>
    <row r="2" spans="1:10" x14ac:dyDescent="0.5">
      <c r="A2" s="112" t="s">
        <v>24</v>
      </c>
      <c r="B2" s="113"/>
      <c r="C2" s="113"/>
      <c r="D2" s="113"/>
      <c r="E2" s="113"/>
      <c r="F2" s="113"/>
      <c r="G2" s="114"/>
    </row>
    <row r="3" spans="1:10" ht="23.5" thickBot="1" x14ac:dyDescent="0.55000000000000004">
      <c r="A3" s="115" t="s">
        <v>25</v>
      </c>
      <c r="B3" s="116"/>
      <c r="C3" s="116"/>
      <c r="D3" s="116"/>
      <c r="E3" s="116"/>
      <c r="F3" s="116"/>
      <c r="G3" s="117"/>
    </row>
    <row r="4" spans="1:10" ht="23.5" thickBot="1" x14ac:dyDescent="0.55000000000000004"/>
    <row r="5" spans="1:10" x14ac:dyDescent="0.5">
      <c r="A5" s="355" t="s">
        <v>26</v>
      </c>
      <c r="B5" s="356"/>
      <c r="C5" s="356"/>
      <c r="D5" s="356"/>
      <c r="E5" s="118"/>
      <c r="F5" s="118"/>
      <c r="G5" s="118"/>
      <c r="H5" s="119"/>
    </row>
    <row r="6" spans="1:10" x14ac:dyDescent="0.5">
      <c r="A6" s="120" t="s">
        <v>27</v>
      </c>
      <c r="B6" s="121"/>
      <c r="C6" s="121"/>
      <c r="D6" s="121"/>
      <c r="E6" s="121"/>
      <c r="F6" s="121"/>
      <c r="G6" s="121"/>
      <c r="H6" s="122"/>
    </row>
    <row r="7" spans="1:10" x14ac:dyDescent="0.5">
      <c r="A7" s="120" t="s">
        <v>28</v>
      </c>
      <c r="B7" s="121"/>
      <c r="C7" s="121"/>
      <c r="D7" s="121"/>
      <c r="E7" s="121"/>
      <c r="F7" s="121"/>
      <c r="G7" s="121"/>
      <c r="H7" s="122"/>
    </row>
    <row r="8" spans="1:10" ht="23.5" thickBot="1" x14ac:dyDescent="0.55000000000000004">
      <c r="A8" s="123" t="s">
        <v>29</v>
      </c>
      <c r="B8" s="124"/>
      <c r="C8" s="124"/>
      <c r="D8" s="124"/>
      <c r="E8" s="124"/>
      <c r="F8" s="124"/>
      <c r="G8" s="124"/>
      <c r="H8" s="125"/>
    </row>
    <row r="9" spans="1:10" ht="23.5" thickBot="1" x14ac:dyDescent="0.55000000000000004"/>
    <row r="10" spans="1:10" x14ac:dyDescent="0.5">
      <c r="A10" s="357" t="s">
        <v>30</v>
      </c>
      <c r="B10" s="358"/>
      <c r="C10" s="358"/>
      <c r="D10" s="126"/>
    </row>
    <row r="11" spans="1:10" ht="23.5" thickBot="1" x14ac:dyDescent="0.55000000000000004">
      <c r="A11" s="127" t="s">
        <v>99</v>
      </c>
      <c r="B11" s="128"/>
      <c r="C11" s="128"/>
      <c r="D11" s="129"/>
    </row>
    <row r="12" spans="1:10" ht="23.5" thickBot="1" x14ac:dyDescent="0.55000000000000004"/>
    <row r="13" spans="1:10" x14ac:dyDescent="0.5">
      <c r="A13" s="359" t="s">
        <v>32</v>
      </c>
      <c r="B13" s="360"/>
      <c r="C13" s="360"/>
      <c r="D13" s="130"/>
      <c r="E13" s="130"/>
      <c r="F13" s="130"/>
      <c r="G13" s="130"/>
      <c r="H13" s="130"/>
      <c r="I13" s="130"/>
      <c r="J13" s="131"/>
    </row>
    <row r="14" spans="1:10" x14ac:dyDescent="0.5">
      <c r="A14" s="132" t="s">
        <v>66</v>
      </c>
      <c r="B14" s="133"/>
      <c r="C14" s="133"/>
      <c r="D14" s="133"/>
      <c r="E14" s="133"/>
      <c r="F14" s="133"/>
      <c r="G14" s="133"/>
      <c r="H14" s="133"/>
      <c r="I14" s="133"/>
      <c r="J14" s="134"/>
    </row>
    <row r="15" spans="1:10" x14ac:dyDescent="0.5">
      <c r="A15" s="132" t="s">
        <v>35</v>
      </c>
      <c r="B15" s="133"/>
      <c r="C15" s="133"/>
      <c r="D15" s="133"/>
      <c r="E15" s="133"/>
      <c r="F15" s="133"/>
      <c r="G15" s="133"/>
      <c r="H15" s="133"/>
      <c r="I15" s="133"/>
      <c r="J15" s="134"/>
    </row>
    <row r="16" spans="1:10" x14ac:dyDescent="0.5">
      <c r="A16" s="132" t="s">
        <v>36</v>
      </c>
      <c r="B16" s="133"/>
      <c r="C16" s="133"/>
      <c r="D16" s="133"/>
      <c r="E16" s="133"/>
      <c r="F16" s="133"/>
      <c r="G16" s="133"/>
      <c r="H16" s="133"/>
      <c r="I16" s="133"/>
      <c r="J16" s="134"/>
    </row>
    <row r="17" spans="1:10" ht="23.5" thickBot="1" x14ac:dyDescent="0.55000000000000004">
      <c r="A17" s="135" t="s">
        <v>37</v>
      </c>
      <c r="B17" s="136"/>
      <c r="C17" s="136"/>
      <c r="D17" s="136"/>
      <c r="E17" s="136"/>
      <c r="F17" s="136"/>
      <c r="G17" s="136"/>
      <c r="H17" s="136"/>
      <c r="I17" s="136"/>
      <c r="J17" s="137"/>
    </row>
    <row r="18" spans="1:10" ht="23.5" thickBot="1" x14ac:dyDescent="0.55000000000000004"/>
    <row r="19" spans="1:10" x14ac:dyDescent="0.5">
      <c r="A19" s="361" t="s">
        <v>38</v>
      </c>
      <c r="B19" s="362"/>
      <c r="C19" s="362"/>
      <c r="D19" s="138"/>
      <c r="E19" s="139"/>
    </row>
    <row r="20" spans="1:10" ht="23.5" thickBot="1" x14ac:dyDescent="0.55000000000000004">
      <c r="A20" s="140" t="s">
        <v>100</v>
      </c>
      <c r="B20" s="141"/>
      <c r="C20" s="141"/>
      <c r="D20" s="141"/>
      <c r="E20" s="142"/>
    </row>
    <row r="24" spans="1:10" x14ac:dyDescent="0.5">
      <c r="B24" s="352" t="s">
        <v>101</v>
      </c>
      <c r="C24" s="352"/>
      <c r="D24" s="143"/>
    </row>
    <row r="25" spans="1:10" x14ac:dyDescent="0.5">
      <c r="B25" s="143" t="s">
        <v>102</v>
      </c>
      <c r="C25" s="143"/>
      <c r="D25" s="143"/>
    </row>
    <row r="26" spans="1:10" x14ac:dyDescent="0.5">
      <c r="B26" s="352" t="s">
        <v>103</v>
      </c>
      <c r="C26" s="352"/>
      <c r="D26" s="143"/>
    </row>
  </sheetData>
  <mergeCells count="7">
    <mergeCell ref="B26:C26"/>
    <mergeCell ref="A1:C1"/>
    <mergeCell ref="A5:D5"/>
    <mergeCell ref="A10:C10"/>
    <mergeCell ref="A13:C13"/>
    <mergeCell ref="A19:C19"/>
    <mergeCell ref="B24:C2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F4307-83A5-40FA-B7B8-A06D51EE10AB}">
  <dimension ref="A1:M20"/>
  <sheetViews>
    <sheetView workbookViewId="0">
      <selection activeCell="F9" sqref="F9"/>
    </sheetView>
  </sheetViews>
  <sheetFormatPr defaultRowHeight="14.5" x14ac:dyDescent="0.35"/>
  <cols>
    <col min="1" max="1" width="10.6328125" customWidth="1"/>
    <col min="2" max="2" width="13.6328125" customWidth="1"/>
    <col min="3" max="3" width="13.453125" customWidth="1"/>
    <col min="4" max="4" width="14.81640625" customWidth="1"/>
    <col min="5" max="5" width="15.08984375" customWidth="1"/>
    <col min="6" max="6" width="14.54296875" customWidth="1"/>
    <col min="7" max="7" width="14.1796875" customWidth="1"/>
    <col min="8" max="8" width="19.1796875" customWidth="1"/>
    <col min="9" max="9" width="12.453125" customWidth="1"/>
    <col min="10" max="10" width="12.54296875" customWidth="1"/>
    <col min="11" max="11" width="19.36328125" customWidth="1"/>
    <col min="12" max="12" width="16.36328125" customWidth="1"/>
    <col min="13" max="13" width="19.90625" customWidth="1"/>
  </cols>
  <sheetData>
    <row r="1" spans="1:13" x14ac:dyDescent="0.35">
      <c r="B1" s="363" t="s">
        <v>44</v>
      </c>
      <c r="C1" s="364"/>
      <c r="D1" s="364"/>
      <c r="E1" s="364"/>
      <c r="F1" s="364"/>
      <c r="G1" s="364"/>
      <c r="H1" s="364"/>
      <c r="I1" s="364"/>
      <c r="J1" s="364"/>
    </row>
    <row r="2" spans="1:13" x14ac:dyDescent="0.35">
      <c r="B2" s="364"/>
      <c r="C2" s="364"/>
      <c r="D2" s="364"/>
      <c r="E2" s="364"/>
      <c r="F2" s="364"/>
      <c r="G2" s="364"/>
      <c r="H2" s="364"/>
      <c r="I2" s="364"/>
      <c r="J2" s="364"/>
    </row>
    <row r="3" spans="1:13" x14ac:dyDescent="0.35">
      <c r="B3" s="364"/>
      <c r="C3" s="364"/>
      <c r="D3" s="364"/>
      <c r="E3" s="364"/>
      <c r="F3" s="364"/>
      <c r="G3" s="364"/>
      <c r="H3" s="364"/>
      <c r="I3" s="364"/>
      <c r="J3" s="364"/>
    </row>
    <row r="4" spans="1:13" x14ac:dyDescent="0.35">
      <c r="B4" s="364"/>
      <c r="C4" s="364"/>
      <c r="D4" s="364"/>
      <c r="E4" s="364"/>
      <c r="F4" s="364"/>
      <c r="G4" s="364"/>
      <c r="H4" s="364"/>
      <c r="I4" s="364"/>
      <c r="J4" s="364"/>
    </row>
    <row r="6" spans="1:13" x14ac:dyDescent="0.35">
      <c r="G6" s="46"/>
      <c r="H6" s="46"/>
    </row>
    <row r="7" spans="1:13" ht="41" x14ac:dyDescent="0.35">
      <c r="A7" s="47" t="s">
        <v>1</v>
      </c>
      <c r="B7" s="365" t="s">
        <v>45</v>
      </c>
      <c r="C7" s="366"/>
      <c r="D7" s="365" t="s">
        <v>46</v>
      </c>
      <c r="E7" s="367"/>
      <c r="F7" s="366"/>
      <c r="G7" s="368" t="s">
        <v>47</v>
      </c>
      <c r="H7" s="368"/>
      <c r="I7" s="369" t="s">
        <v>48</v>
      </c>
      <c r="J7" s="370"/>
      <c r="K7" s="370"/>
      <c r="L7" s="371"/>
      <c r="M7" s="48" t="s">
        <v>6</v>
      </c>
    </row>
    <row r="8" spans="1:13" ht="61.5" x14ac:dyDescent="0.45">
      <c r="A8" s="49"/>
      <c r="B8" s="50" t="s">
        <v>7</v>
      </c>
      <c r="C8" s="51" t="s">
        <v>8</v>
      </c>
      <c r="D8" s="50" t="s">
        <v>9</v>
      </c>
      <c r="E8" s="52" t="s">
        <v>10</v>
      </c>
      <c r="F8" s="53" t="s">
        <v>11</v>
      </c>
      <c r="G8" s="52" t="s">
        <v>49</v>
      </c>
      <c r="H8" s="54" t="s">
        <v>50</v>
      </c>
      <c r="I8" s="55" t="s">
        <v>51</v>
      </c>
      <c r="J8" s="55" t="s">
        <v>14</v>
      </c>
      <c r="K8" s="52" t="s">
        <v>16</v>
      </c>
      <c r="L8" s="56" t="s">
        <v>52</v>
      </c>
      <c r="M8" s="55" t="s">
        <v>53</v>
      </c>
    </row>
    <row r="9" spans="1:13" ht="20.5" x14ac:dyDescent="0.45">
      <c r="A9" s="57">
        <v>2011</v>
      </c>
      <c r="B9" s="58">
        <v>4.947106524143015</v>
      </c>
      <c r="C9" s="59">
        <v>1.0997458214588307</v>
      </c>
      <c r="D9" s="60">
        <v>0.44606370932007289</v>
      </c>
      <c r="E9" s="61">
        <v>0.14232608798598287</v>
      </c>
      <c r="F9" s="59">
        <v>2.0793658608635717</v>
      </c>
      <c r="G9" s="62">
        <v>7.7298015853478411E-3</v>
      </c>
      <c r="H9" s="59">
        <v>0.9922223323095215</v>
      </c>
      <c r="I9" s="62">
        <v>16.489999999999998</v>
      </c>
      <c r="J9" s="63">
        <v>16.616130988477867</v>
      </c>
      <c r="K9" s="61">
        <v>1.5045620437956203E-2</v>
      </c>
      <c r="L9" s="62">
        <v>4</v>
      </c>
      <c r="M9" s="64">
        <v>0.29825344844695845</v>
      </c>
    </row>
    <row r="10" spans="1:13" ht="20.5" x14ac:dyDescent="0.45">
      <c r="A10" s="57">
        <v>2012</v>
      </c>
      <c r="B10" s="62">
        <v>4.4629969868450061</v>
      </c>
      <c r="C10" s="59">
        <v>1.1416353725015143</v>
      </c>
      <c r="D10" s="65">
        <v>0.40504694835680749</v>
      </c>
      <c r="E10" s="61">
        <v>0.1467767492285881</v>
      </c>
      <c r="F10" s="59">
        <v>1.8765258215962441</v>
      </c>
      <c r="G10" s="62">
        <v>7.2769953051643197E-3</v>
      </c>
      <c r="H10" s="59">
        <v>0.99272169328822091</v>
      </c>
      <c r="I10" s="62">
        <v>19.3</v>
      </c>
      <c r="J10" s="62">
        <v>7.1450777202072535</v>
      </c>
      <c r="K10" s="61">
        <v>3.0790427846265411E-2</v>
      </c>
      <c r="L10" s="62">
        <v>4.545454545454545</v>
      </c>
      <c r="M10" s="64">
        <v>0.30926023545949743</v>
      </c>
    </row>
    <row r="11" spans="1:13" ht="20.5" x14ac:dyDescent="0.45">
      <c r="A11" s="57">
        <v>2013</v>
      </c>
      <c r="B11" s="62">
        <v>5.4255013114476691</v>
      </c>
      <c r="C11" s="59">
        <v>1.3674867316792596</v>
      </c>
      <c r="D11" s="65">
        <v>0.29926413026459997</v>
      </c>
      <c r="E11" s="61">
        <v>0.13664249860568878</v>
      </c>
      <c r="F11" s="59">
        <v>1.5159229685298261</v>
      </c>
      <c r="G11" s="62">
        <v>4.6657272584938153E-2</v>
      </c>
      <c r="H11" s="59">
        <v>0.9531495815241332</v>
      </c>
      <c r="I11" s="62">
        <v>18.23</v>
      </c>
      <c r="J11" s="62">
        <v>7.3340647284695546</v>
      </c>
      <c r="K11" s="61">
        <v>2.727000747943157E-2</v>
      </c>
      <c r="L11" s="62">
        <v>5</v>
      </c>
      <c r="M11" s="64">
        <v>0.23701606979702253</v>
      </c>
    </row>
    <row r="12" spans="1:13" ht="20.5" x14ac:dyDescent="0.45">
      <c r="A12" s="57">
        <v>2014</v>
      </c>
      <c r="B12" s="62">
        <v>6.7910764872521243</v>
      </c>
      <c r="C12" s="59">
        <v>1.5424975746469765</v>
      </c>
      <c r="D12" s="65">
        <v>0.1438915292144255</v>
      </c>
      <c r="E12" s="61">
        <v>8.851436024654101E-2</v>
      </c>
      <c r="F12" s="59">
        <v>1.0931227285434721</v>
      </c>
      <c r="G12" s="62">
        <v>7.6097288230360632E-2</v>
      </c>
      <c r="H12" s="59">
        <v>0.9235371780106183</v>
      </c>
      <c r="I12" s="62">
        <v>9.5399999999999991</v>
      </c>
      <c r="J12" s="62">
        <v>16.925576519916145</v>
      </c>
      <c r="K12" s="61">
        <v>1.1816436489750417E-2</v>
      </c>
      <c r="L12" s="62">
        <v>5</v>
      </c>
      <c r="M12" s="64">
        <v>0.10901989195659365</v>
      </c>
    </row>
    <row r="13" spans="1:13" ht="20.5" x14ac:dyDescent="0.45">
      <c r="A13" s="57">
        <v>2015</v>
      </c>
      <c r="B13" s="62">
        <v>6.2026947861745754</v>
      </c>
      <c r="C13" s="59">
        <v>1.5489215743270741</v>
      </c>
      <c r="D13" s="65">
        <v>6.5257433558459782E-2</v>
      </c>
      <c r="E13" s="61">
        <v>4.6195917570075205E-2</v>
      </c>
      <c r="F13" s="59">
        <v>0.89807911586702915</v>
      </c>
      <c r="G13" s="62">
        <v>3.4499897669795047E-3</v>
      </c>
      <c r="H13" s="59">
        <v>0.99656023990121712</v>
      </c>
      <c r="I13" s="62">
        <v>3.96</v>
      </c>
      <c r="J13" s="62">
        <v>42.366161616161619</v>
      </c>
      <c r="K13" s="61">
        <v>4.720748643976873E-3</v>
      </c>
      <c r="L13" s="62">
        <v>5</v>
      </c>
      <c r="M13" s="64">
        <v>4.2274291332131737E-2</v>
      </c>
    </row>
    <row r="14" spans="1:13" ht="20.5" x14ac:dyDescent="0.45">
      <c r="A14" s="57">
        <v>2016</v>
      </c>
      <c r="B14" s="62">
        <v>6.1339892484024752</v>
      </c>
      <c r="C14" s="59">
        <v>1.5321467490010898</v>
      </c>
      <c r="D14" s="65">
        <v>-2.4857954545454544E-2</v>
      </c>
      <c r="E14" s="61">
        <v>-2.7879216240625122E-2</v>
      </c>
      <c r="F14" s="59">
        <v>0.78640686758893286</v>
      </c>
      <c r="G14" s="62">
        <v>6.2376482213438739E-3</v>
      </c>
      <c r="H14" s="59">
        <v>0.99377033937703396</v>
      </c>
      <c r="I14" s="62">
        <v>-1.92</v>
      </c>
      <c r="J14" s="62">
        <v>-44.479166666666671</v>
      </c>
      <c r="K14" s="61">
        <v>3.1475409836065576E-3</v>
      </c>
      <c r="L14" s="62">
        <v>-7.1428571428571415</v>
      </c>
      <c r="M14" s="64">
        <v>-2.1428463639518915E-2</v>
      </c>
    </row>
    <row r="15" spans="1:13" ht="20.5" x14ac:dyDescent="0.45">
      <c r="A15" s="57">
        <v>2017</v>
      </c>
      <c r="B15" s="62">
        <v>7.4006215201346626</v>
      </c>
      <c r="C15" s="59">
        <v>1.6965952773201538</v>
      </c>
      <c r="D15" s="65">
        <v>3.2054245646478657E-2</v>
      </c>
      <c r="E15" s="61">
        <v>1.7443291717953228E-2</v>
      </c>
      <c r="F15" s="59">
        <v>0.87640622592078898</v>
      </c>
      <c r="G15" s="62">
        <v>4.6232085067036523E-3</v>
      </c>
      <c r="H15" s="59">
        <v>0.99539056457849961</v>
      </c>
      <c r="I15" s="62">
        <v>1.25</v>
      </c>
      <c r="J15" s="62">
        <v>84.503999999999991</v>
      </c>
      <c r="K15" s="61">
        <v>9.2303322919625123E-3</v>
      </c>
      <c r="L15" s="62">
        <v>1.2820512820512819</v>
      </c>
      <c r="M15" s="64">
        <v>1.5385331203374847E-2</v>
      </c>
    </row>
    <row r="16" spans="1:13" ht="20.5" x14ac:dyDescent="0.45">
      <c r="A16" s="57">
        <v>2018</v>
      </c>
      <c r="B16" s="62">
        <v>8.954944237918216</v>
      </c>
      <c r="C16" s="59">
        <v>1.6991805361453436</v>
      </c>
      <c r="D16" s="65">
        <v>5.8562691131498472E-2</v>
      </c>
      <c r="E16" s="61">
        <v>2.8008190747232153E-2</v>
      </c>
      <c r="F16" s="59">
        <v>0.88113149847094796</v>
      </c>
      <c r="G16" s="62">
        <v>3.0275229357798164E-3</v>
      </c>
      <c r="H16" s="59">
        <v>0.99696001965239822</v>
      </c>
      <c r="I16" s="62">
        <v>1.2</v>
      </c>
      <c r="J16" s="62">
        <v>62.541666666666664</v>
      </c>
      <c r="K16" s="61">
        <v>1.3271152564956694E-2</v>
      </c>
      <c r="L16" s="62">
        <v>1.2048192771084338</v>
      </c>
      <c r="M16" s="64">
        <v>2.4870562130177513E-2</v>
      </c>
    </row>
    <row r="17" spans="1:13" ht="20.5" x14ac:dyDescent="0.45">
      <c r="A17" s="57">
        <v>2019</v>
      </c>
      <c r="B17" s="62">
        <v>7.316532982162097</v>
      </c>
      <c r="C17" s="59">
        <v>1.7037037037037037</v>
      </c>
      <c r="D17" s="65">
        <v>7.1287885469030185E-2</v>
      </c>
      <c r="E17" s="61">
        <v>3.973967064392072E-2</v>
      </c>
      <c r="F17" s="59">
        <v>0.89434694417497129</v>
      </c>
      <c r="G17" s="62">
        <v>7.6020813122850334E-2</v>
      </c>
      <c r="H17" s="59">
        <v>0.92363099630996315</v>
      </c>
      <c r="I17" s="62">
        <v>2.89</v>
      </c>
      <c r="J17" s="62">
        <v>24.290657439446367</v>
      </c>
      <c r="K17" s="61">
        <v>2.3877492877492874E-2</v>
      </c>
      <c r="L17" s="62">
        <v>1.7241379310344829</v>
      </c>
      <c r="M17" s="64">
        <v>3.7762368815592202E-2</v>
      </c>
    </row>
    <row r="18" spans="1:13" ht="20.5" x14ac:dyDescent="0.45">
      <c r="A18" s="57">
        <v>2020</v>
      </c>
      <c r="B18" s="62">
        <v>6.0309060118543609</v>
      </c>
      <c r="C18" s="59">
        <v>1.7915645848252988</v>
      </c>
      <c r="D18" s="65">
        <v>-1.4892250189803189E-3</v>
      </c>
      <c r="E18" s="61">
        <v>-6.8642527610792675E-2</v>
      </c>
      <c r="F18" s="59">
        <v>0.62661332710389539</v>
      </c>
      <c r="G18" s="62">
        <v>0.14790048472814343</v>
      </c>
      <c r="H18" s="59">
        <v>0.85136721042131203</v>
      </c>
      <c r="I18" s="62">
        <v>-4.21</v>
      </c>
      <c r="J18" s="62">
        <v>-6.6508313539192399</v>
      </c>
      <c r="K18" s="61">
        <v>0</v>
      </c>
      <c r="L18" s="62">
        <v>0</v>
      </c>
      <c r="M18" s="64">
        <v>-4.8604236784795092E-2</v>
      </c>
    </row>
    <row r="19" spans="1:13" ht="20.5" x14ac:dyDescent="0.45">
      <c r="A19" s="57">
        <v>2021</v>
      </c>
      <c r="B19" s="62">
        <v>6.6796865124510179</v>
      </c>
      <c r="C19" s="59">
        <v>1.797208111675533</v>
      </c>
      <c r="D19" s="65">
        <v>-0.10013049428689647</v>
      </c>
      <c r="E19" s="61">
        <v>-0.15697943147677373</v>
      </c>
      <c r="F19" s="59">
        <v>0.55087685795219454</v>
      </c>
      <c r="G19" s="62">
        <v>0.15707056239854864</v>
      </c>
      <c r="H19" s="59">
        <v>0.84204800000000002</v>
      </c>
      <c r="I19" s="62">
        <v>-7.75</v>
      </c>
      <c r="J19" s="62">
        <v>-9.2774193548387096</v>
      </c>
      <c r="K19" s="61">
        <v>0</v>
      </c>
      <c r="L19" s="62">
        <v>0</v>
      </c>
      <c r="M19" s="64">
        <v>-9.7619689212251864E-2</v>
      </c>
    </row>
    <row r="20" spans="1:13" ht="20.5" x14ac:dyDescent="0.45">
      <c r="A20" s="57">
        <v>2022</v>
      </c>
      <c r="B20" s="62">
        <v>8.111128048780488</v>
      </c>
      <c r="C20" s="59">
        <v>1.8729272895170033</v>
      </c>
      <c r="D20" s="65">
        <v>2.4904877205119337E-2</v>
      </c>
      <c r="E20" s="61">
        <v>1.9329593135637171E-2</v>
      </c>
      <c r="F20" s="59">
        <v>0.66699160403760893</v>
      </c>
      <c r="G20" s="62">
        <v>0.15188201628879594</v>
      </c>
      <c r="H20" s="59">
        <v>0.84777812795461704</v>
      </c>
      <c r="I20" s="62">
        <v>1.28</v>
      </c>
      <c r="J20" s="62">
        <v>39.9609375</v>
      </c>
      <c r="K20" s="61">
        <v>8.5083088954056706E-3</v>
      </c>
      <c r="L20" s="62">
        <v>2.9411764705882351</v>
      </c>
      <c r="M20" s="64">
        <v>1.5340005612197175E-2</v>
      </c>
    </row>
  </sheetData>
  <mergeCells count="5">
    <mergeCell ref="B1:J4"/>
    <mergeCell ref="B7:C7"/>
    <mergeCell ref="D7:F7"/>
    <mergeCell ref="G7:H7"/>
    <mergeCell ref="I7:L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B5908-BD5D-4AA4-A866-6E8DCF74CC76}">
  <dimension ref="A1:T28"/>
  <sheetViews>
    <sheetView workbookViewId="0">
      <selection activeCell="K10" sqref="K10"/>
    </sheetView>
  </sheetViews>
  <sheetFormatPr defaultRowHeight="14.5" x14ac:dyDescent="0.35"/>
  <sheetData>
    <row r="1" spans="1:20" ht="25.5" x14ac:dyDescent="0.55000000000000004">
      <c r="A1" s="66" t="s">
        <v>54</v>
      </c>
    </row>
    <row r="3" spans="1:20" ht="25.5" x14ac:dyDescent="0.55000000000000004">
      <c r="A3" s="67" t="s">
        <v>55</v>
      </c>
      <c r="B3" s="67"/>
      <c r="C3" s="67"/>
      <c r="D3" s="67"/>
      <c r="E3" s="67"/>
      <c r="F3" s="67"/>
      <c r="G3" s="67"/>
      <c r="H3" s="68"/>
      <c r="I3" s="68"/>
      <c r="J3" s="68"/>
      <c r="K3" s="68"/>
    </row>
    <row r="4" spans="1:20" ht="25.5" x14ac:dyDescent="0.55000000000000004">
      <c r="A4" s="67" t="s">
        <v>56</v>
      </c>
      <c r="B4" s="67"/>
      <c r="C4" s="67"/>
      <c r="D4" s="67"/>
      <c r="E4" s="67"/>
      <c r="F4" s="67"/>
      <c r="G4" s="67"/>
      <c r="H4" s="68"/>
      <c r="I4" s="68"/>
      <c r="J4" s="68"/>
      <c r="K4" s="68"/>
    </row>
    <row r="5" spans="1:20" ht="25.5" x14ac:dyDescent="0.55000000000000004">
      <c r="A5" s="67" t="s">
        <v>57</v>
      </c>
      <c r="B5" s="67"/>
      <c r="C5" s="67"/>
      <c r="D5" s="67"/>
      <c r="E5" s="67"/>
      <c r="F5" s="67"/>
      <c r="G5" s="67"/>
      <c r="H5" s="68"/>
      <c r="I5" s="68"/>
      <c r="J5" s="68"/>
      <c r="K5" s="68"/>
    </row>
    <row r="7" spans="1:20" ht="25.5" x14ac:dyDescent="0.55000000000000004">
      <c r="A7" s="380" t="s">
        <v>58</v>
      </c>
      <c r="B7" s="380"/>
      <c r="C7" s="380"/>
      <c r="D7" s="380"/>
      <c r="E7" s="380"/>
      <c r="F7" s="380"/>
      <c r="G7" s="380"/>
      <c r="H7" s="380"/>
      <c r="I7" s="380"/>
      <c r="J7" s="380"/>
      <c r="K7" s="380"/>
      <c r="L7" s="69"/>
      <c r="M7" s="69"/>
      <c r="N7" s="69"/>
    </row>
    <row r="8" spans="1:20" ht="25.5" x14ac:dyDescent="0.55000000000000004">
      <c r="A8" s="380" t="s">
        <v>59</v>
      </c>
      <c r="B8" s="380"/>
      <c r="C8" s="380"/>
      <c r="D8" s="380"/>
      <c r="E8" s="380"/>
      <c r="F8" s="380"/>
      <c r="G8" s="380"/>
      <c r="H8" s="380"/>
      <c r="I8" s="380"/>
      <c r="J8" s="380"/>
      <c r="K8" s="380"/>
      <c r="L8" s="69"/>
      <c r="M8" s="69"/>
      <c r="N8" s="69"/>
    </row>
    <row r="9" spans="1:20" ht="25.5" x14ac:dyDescent="0.55000000000000004">
      <c r="A9" s="380" t="s">
        <v>60</v>
      </c>
      <c r="B9" s="380"/>
      <c r="C9" s="380"/>
      <c r="D9" s="380"/>
      <c r="E9" s="380"/>
      <c r="F9" s="380"/>
      <c r="G9" s="380"/>
      <c r="H9" s="380"/>
      <c r="I9" s="380"/>
      <c r="J9" s="380"/>
      <c r="K9" s="380"/>
      <c r="L9" s="69"/>
      <c r="M9" s="69"/>
      <c r="N9" s="69"/>
    </row>
    <row r="10" spans="1:20" ht="25.5" x14ac:dyDescent="0.55000000000000004">
      <c r="A10" s="70" t="s">
        <v>61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69"/>
    </row>
    <row r="12" spans="1:20" ht="25.5" x14ac:dyDescent="0.55000000000000004">
      <c r="A12" s="381" t="s">
        <v>62</v>
      </c>
      <c r="B12" s="381"/>
      <c r="C12" s="38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</row>
    <row r="13" spans="1:20" ht="25.5" x14ac:dyDescent="0.55000000000000004">
      <c r="A13" s="381" t="s">
        <v>63</v>
      </c>
      <c r="B13" s="381"/>
      <c r="C13" s="381"/>
      <c r="D13" s="381"/>
      <c r="E13" s="381"/>
      <c r="F13" s="381"/>
      <c r="G13" s="381"/>
      <c r="H13" s="381"/>
      <c r="I13" s="381"/>
      <c r="J13" s="381"/>
      <c r="K13" s="381"/>
      <c r="L13" s="381"/>
      <c r="M13" s="381"/>
      <c r="N13" s="381"/>
      <c r="O13" s="381"/>
      <c r="P13" s="381"/>
      <c r="Q13" s="381"/>
      <c r="R13" s="71"/>
      <c r="S13" s="71"/>
      <c r="T13" s="71"/>
    </row>
    <row r="14" spans="1:20" ht="25.5" x14ac:dyDescent="0.55000000000000004">
      <c r="A14" s="381" t="s">
        <v>64</v>
      </c>
      <c r="B14" s="381"/>
      <c r="C14" s="381"/>
      <c r="D14" s="381"/>
      <c r="E14" s="381"/>
      <c r="F14" s="381"/>
      <c r="G14" s="381"/>
      <c r="H14" s="381"/>
      <c r="I14" s="381"/>
      <c r="J14" s="381"/>
      <c r="K14" s="381"/>
      <c r="L14" s="381"/>
      <c r="M14" s="381"/>
      <c r="N14" s="381"/>
      <c r="O14" s="381"/>
      <c r="P14" s="381"/>
      <c r="Q14" s="381"/>
      <c r="R14" s="381"/>
      <c r="S14" s="381"/>
      <c r="T14" s="381"/>
    </row>
    <row r="17" spans="1:15" ht="25.5" x14ac:dyDescent="0.55000000000000004">
      <c r="A17" s="375" t="s">
        <v>65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72"/>
      <c r="N17" s="72"/>
      <c r="O17" s="73"/>
    </row>
    <row r="18" spans="1:15" ht="25.5" x14ac:dyDescent="0.55000000000000004">
      <c r="A18" s="74" t="s">
        <v>66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3"/>
    </row>
    <row r="19" spans="1:15" ht="25.5" x14ac:dyDescent="0.55000000000000004">
      <c r="A19" s="375" t="s">
        <v>35</v>
      </c>
      <c r="B19" s="377"/>
      <c r="C19" s="377"/>
      <c r="D19" s="377"/>
      <c r="E19" s="377"/>
      <c r="F19" s="377"/>
      <c r="G19" s="377"/>
      <c r="H19" s="377"/>
      <c r="I19" s="377"/>
      <c r="J19" s="378"/>
      <c r="K19" s="378"/>
      <c r="L19" s="378"/>
      <c r="M19" s="378"/>
      <c r="N19" s="378"/>
      <c r="O19" s="378"/>
    </row>
    <row r="20" spans="1:15" ht="25.5" x14ac:dyDescent="0.55000000000000004">
      <c r="A20" s="375" t="s">
        <v>36</v>
      </c>
      <c r="B20" s="377"/>
      <c r="C20" s="377"/>
      <c r="D20" s="377"/>
      <c r="E20" s="377"/>
      <c r="F20" s="377"/>
      <c r="G20" s="377"/>
      <c r="H20" s="377"/>
      <c r="I20" s="377"/>
      <c r="J20" s="378"/>
      <c r="K20" s="378"/>
      <c r="L20" s="378"/>
      <c r="M20" s="378"/>
      <c r="N20" s="378"/>
      <c r="O20" s="378"/>
    </row>
    <row r="21" spans="1:15" ht="26" thickBot="1" x14ac:dyDescent="0.6">
      <c r="A21" s="76" t="s">
        <v>37</v>
      </c>
      <c r="B21" s="77"/>
      <c r="C21" s="77"/>
      <c r="D21" s="77"/>
      <c r="E21" s="77"/>
      <c r="F21" s="77"/>
      <c r="G21" s="77"/>
      <c r="H21" s="77"/>
      <c r="I21" s="379"/>
      <c r="J21" s="379"/>
      <c r="K21" s="379"/>
      <c r="L21" s="379"/>
      <c r="M21" s="379"/>
      <c r="N21" s="379"/>
      <c r="O21" s="379"/>
    </row>
    <row r="23" spans="1:15" ht="25.5" x14ac:dyDescent="0.55000000000000004">
      <c r="A23" s="372" t="s">
        <v>67</v>
      </c>
      <c r="B23" s="372"/>
      <c r="C23" s="372"/>
      <c r="D23" s="372"/>
      <c r="E23" s="372"/>
      <c r="F23" s="372"/>
      <c r="G23" s="372"/>
      <c r="H23" s="372"/>
      <c r="I23" s="372"/>
      <c r="J23" s="372"/>
      <c r="K23" s="372"/>
    </row>
    <row r="26" spans="1:15" ht="25.5" x14ac:dyDescent="0.55000000000000004">
      <c r="A26" s="373" t="s">
        <v>68</v>
      </c>
      <c r="B26" s="373"/>
    </row>
    <row r="28" spans="1:15" ht="25.5" x14ac:dyDescent="0.55000000000000004">
      <c r="A28" s="374" t="s">
        <v>69</v>
      </c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</row>
  </sheetData>
  <mergeCells count="15">
    <mergeCell ref="A14:T14"/>
    <mergeCell ref="A7:K7"/>
    <mergeCell ref="A8:K8"/>
    <mergeCell ref="A9:K9"/>
    <mergeCell ref="A12:C12"/>
    <mergeCell ref="A13:Q13"/>
    <mergeCell ref="A23:K23"/>
    <mergeCell ref="A26:B26"/>
    <mergeCell ref="A28:L28"/>
    <mergeCell ref="A17:L17"/>
    <mergeCell ref="A19:I19"/>
    <mergeCell ref="J19:O19"/>
    <mergeCell ref="A20:I20"/>
    <mergeCell ref="J20:O20"/>
    <mergeCell ref="I21:O21"/>
  </mergeCells>
  <hyperlinks>
    <hyperlink ref="A28" r:id="rId1" location="quarters" display="https://www.screener.in/company/BHEL/ - quarters" xr:uid="{5414A4B9-6C40-4BD5-AE5E-0C2EBBEB533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2F556-C04B-41DE-9C7A-12DE286AC390}">
  <dimension ref="A2:Z33"/>
  <sheetViews>
    <sheetView workbookViewId="0">
      <selection activeCell="C5" sqref="C5"/>
    </sheetView>
  </sheetViews>
  <sheetFormatPr defaultRowHeight="14.5" x14ac:dyDescent="0.35"/>
  <cols>
    <col min="2" max="2" width="10.54296875" style="100" customWidth="1"/>
    <col min="3" max="3" width="10" customWidth="1"/>
    <col min="4" max="5" width="9.90625" bestFit="1" customWidth="1"/>
    <col min="6" max="6" width="11.08984375" customWidth="1"/>
    <col min="8" max="8" width="12" customWidth="1"/>
    <col min="10" max="10" width="9.90625" bestFit="1" customWidth="1"/>
    <col min="13" max="13" width="9.90625" bestFit="1" customWidth="1"/>
    <col min="14" max="14" width="11.36328125" bestFit="1" customWidth="1"/>
    <col min="20" max="20" width="12.1796875" customWidth="1"/>
  </cols>
  <sheetData>
    <row r="2" spans="1:26" ht="43.5" x14ac:dyDescent="0.35">
      <c r="A2" s="78" t="s">
        <v>1</v>
      </c>
      <c r="B2" s="79" t="s">
        <v>70</v>
      </c>
      <c r="C2" s="80" t="s">
        <v>71</v>
      </c>
      <c r="D2" s="81" t="s">
        <v>72</v>
      </c>
      <c r="E2" s="78" t="s">
        <v>73</v>
      </c>
      <c r="F2" s="79" t="s">
        <v>74</v>
      </c>
      <c r="G2" s="79" t="s">
        <v>75</v>
      </c>
      <c r="H2" s="78" t="s">
        <v>76</v>
      </c>
      <c r="I2" s="79" t="s">
        <v>77</v>
      </c>
      <c r="J2" s="79" t="s">
        <v>20</v>
      </c>
      <c r="K2" s="79" t="s">
        <v>78</v>
      </c>
      <c r="L2" s="79" t="s">
        <v>79</v>
      </c>
      <c r="M2" s="79" t="s">
        <v>21</v>
      </c>
      <c r="N2" s="79" t="s">
        <v>80</v>
      </c>
      <c r="O2" s="79" t="s">
        <v>51</v>
      </c>
      <c r="P2" s="79" t="s">
        <v>81</v>
      </c>
      <c r="Q2" s="79" t="s">
        <v>82</v>
      </c>
      <c r="R2" s="79" t="s">
        <v>83</v>
      </c>
      <c r="S2" s="79" t="s">
        <v>84</v>
      </c>
      <c r="T2" s="79" t="s">
        <v>85</v>
      </c>
      <c r="U2" s="79" t="s">
        <v>86</v>
      </c>
      <c r="Z2" s="79"/>
    </row>
    <row r="3" spans="1:26" x14ac:dyDescent="0.35">
      <c r="A3">
        <v>2011</v>
      </c>
      <c r="B3" s="82">
        <v>53686</v>
      </c>
      <c r="C3" s="83">
        <v>10852</v>
      </c>
      <c r="D3" s="83">
        <v>38949</v>
      </c>
      <c r="E3" s="83">
        <v>9005</v>
      </c>
      <c r="F3" s="84">
        <v>55</v>
      </c>
      <c r="G3" s="85">
        <v>490</v>
      </c>
      <c r="H3" s="84">
        <v>19664</v>
      </c>
      <c r="I3" s="84">
        <v>157</v>
      </c>
      <c r="J3" s="84">
        <v>42234</v>
      </c>
      <c r="K3" s="84">
        <f>G3+H3</f>
        <v>20154</v>
      </c>
      <c r="L3" s="86">
        <v>125</v>
      </c>
      <c r="M3" s="84">
        <v>59260</v>
      </c>
      <c r="N3" s="87">
        <v>274</v>
      </c>
      <c r="O3" s="88">
        <v>16.489999999999998</v>
      </c>
      <c r="P3">
        <v>1474</v>
      </c>
      <c r="Q3">
        <v>6011</v>
      </c>
      <c r="R3" s="89">
        <v>0.25</v>
      </c>
      <c r="S3">
        <f>R3*O3</f>
        <v>4.1224999999999996</v>
      </c>
      <c r="T3" s="88">
        <v>20154</v>
      </c>
      <c r="U3">
        <v>33651</v>
      </c>
      <c r="Z3" s="90"/>
    </row>
    <row r="4" spans="1:26" x14ac:dyDescent="0.35">
      <c r="A4">
        <v>2012</v>
      </c>
      <c r="B4" s="82">
        <v>60728</v>
      </c>
      <c r="C4" s="83">
        <v>13607</v>
      </c>
      <c r="D4" s="83">
        <v>41275</v>
      </c>
      <c r="E4" s="83">
        <v>10302</v>
      </c>
      <c r="F4" s="83">
        <v>51</v>
      </c>
      <c r="G4" s="85">
        <v>490</v>
      </c>
      <c r="H4" s="83">
        <v>24884</v>
      </c>
      <c r="I4" s="83">
        <v>186</v>
      </c>
      <c r="J4" s="83">
        <v>47964</v>
      </c>
      <c r="K4" s="84">
        <f t="shared" ref="K4:K14" si="0">G4+H4</f>
        <v>25374</v>
      </c>
      <c r="L4" s="86">
        <v>141</v>
      </c>
      <c r="M4" s="83">
        <v>66834</v>
      </c>
      <c r="N4" s="91">
        <v>137.9</v>
      </c>
      <c r="O4" s="88">
        <v>19.3</v>
      </c>
      <c r="P4">
        <v>1819</v>
      </c>
      <c r="Q4">
        <v>7040</v>
      </c>
      <c r="R4" s="89">
        <v>0.22</v>
      </c>
      <c r="S4">
        <f t="shared" ref="S4:S14" si="1">R4*O4</f>
        <v>4.2460000000000004</v>
      </c>
      <c r="T4" s="88">
        <f>(K4+K3)/2</f>
        <v>22764</v>
      </c>
      <c r="U4">
        <v>38076</v>
      </c>
      <c r="Z4" s="90"/>
    </row>
    <row r="5" spans="1:26" x14ac:dyDescent="0.35">
      <c r="A5">
        <v>2013</v>
      </c>
      <c r="B5" s="82">
        <v>64124</v>
      </c>
      <c r="C5" s="83">
        <v>11819</v>
      </c>
      <c r="D5" s="83">
        <v>38249</v>
      </c>
      <c r="E5" s="83">
        <v>9432</v>
      </c>
      <c r="F5" s="83">
        <v>125</v>
      </c>
      <c r="G5" s="85">
        <v>490</v>
      </c>
      <c r="H5" s="83">
        <v>29955</v>
      </c>
      <c r="I5" s="83">
        <v>1490</v>
      </c>
      <c r="J5" s="83">
        <v>48411</v>
      </c>
      <c r="K5" s="84">
        <f t="shared" si="0"/>
        <v>30445</v>
      </c>
      <c r="L5" s="86">
        <v>152</v>
      </c>
      <c r="M5" s="83">
        <v>70183</v>
      </c>
      <c r="N5" s="91">
        <v>133.69999999999999</v>
      </c>
      <c r="O5" s="88">
        <v>18.23</v>
      </c>
      <c r="P5">
        <v>1674</v>
      </c>
      <c r="Q5">
        <v>6615</v>
      </c>
      <c r="R5" s="89">
        <v>0.2</v>
      </c>
      <c r="S5">
        <f t="shared" si="1"/>
        <v>3.6460000000000004</v>
      </c>
      <c r="T5" s="88">
        <f t="shared" ref="T5:T14" si="2">(K5+K4)/2</f>
        <v>27909.5</v>
      </c>
      <c r="U5">
        <v>39022</v>
      </c>
      <c r="Z5" s="90"/>
    </row>
    <row r="6" spans="1:26" x14ac:dyDescent="0.35">
      <c r="A6">
        <v>2014</v>
      </c>
      <c r="B6" s="82">
        <v>67123</v>
      </c>
      <c r="C6" s="83">
        <v>9884</v>
      </c>
      <c r="D6" s="83">
        <v>37108</v>
      </c>
      <c r="E6" s="83">
        <v>5014</v>
      </c>
      <c r="F6" s="83">
        <v>133</v>
      </c>
      <c r="G6" s="85">
        <v>490</v>
      </c>
      <c r="H6" s="83">
        <v>32558</v>
      </c>
      <c r="I6" s="83">
        <v>2722</v>
      </c>
      <c r="J6" s="83">
        <v>39101</v>
      </c>
      <c r="K6" s="84">
        <f t="shared" si="0"/>
        <v>33048</v>
      </c>
      <c r="L6" s="92">
        <v>171</v>
      </c>
      <c r="M6" s="83">
        <v>72878</v>
      </c>
      <c r="N6" s="91">
        <v>161.47</v>
      </c>
      <c r="O6" s="88">
        <v>9.5399999999999991</v>
      </c>
      <c r="P6">
        <v>1335</v>
      </c>
      <c r="Q6">
        <v>3461</v>
      </c>
      <c r="R6" s="89">
        <v>0.2</v>
      </c>
      <c r="S6">
        <f t="shared" si="1"/>
        <v>1.9079999999999999</v>
      </c>
      <c r="T6" s="88">
        <f t="shared" si="2"/>
        <v>31746.5</v>
      </c>
      <c r="U6">
        <v>34581</v>
      </c>
      <c r="Z6" s="90"/>
    </row>
    <row r="7" spans="1:26" x14ac:dyDescent="0.35">
      <c r="A7">
        <v>2015</v>
      </c>
      <c r="B7" s="82">
        <v>63528</v>
      </c>
      <c r="C7" s="83">
        <v>10242</v>
      </c>
      <c r="D7" s="83">
        <v>34402</v>
      </c>
      <c r="E7" s="83">
        <v>2140</v>
      </c>
      <c r="F7" s="83">
        <v>92</v>
      </c>
      <c r="G7" s="85">
        <v>490</v>
      </c>
      <c r="H7" s="83">
        <v>33595</v>
      </c>
      <c r="I7" s="83">
        <v>118</v>
      </c>
      <c r="J7" s="83">
        <v>30717</v>
      </c>
      <c r="K7" s="84">
        <f t="shared" si="0"/>
        <v>34085</v>
      </c>
      <c r="L7" s="86">
        <v>188</v>
      </c>
      <c r="M7" s="83">
        <v>68604</v>
      </c>
      <c r="N7" s="91">
        <v>167.77</v>
      </c>
      <c r="O7" s="88">
        <v>3.96</v>
      </c>
      <c r="P7">
        <v>614</v>
      </c>
      <c r="Q7">
        <v>1419</v>
      </c>
      <c r="R7" s="89">
        <v>0.2</v>
      </c>
      <c r="S7">
        <f t="shared" si="1"/>
        <v>0.79200000000000004</v>
      </c>
      <c r="T7" s="88">
        <f t="shared" si="2"/>
        <v>33566.5</v>
      </c>
      <c r="U7">
        <v>28619</v>
      </c>
      <c r="Z7" s="90"/>
    </row>
    <row r="8" spans="1:26" x14ac:dyDescent="0.35">
      <c r="A8">
        <v>2016</v>
      </c>
      <c r="B8" s="82">
        <v>60475</v>
      </c>
      <c r="C8" s="83">
        <v>9859</v>
      </c>
      <c r="D8" s="83">
        <v>33036</v>
      </c>
      <c r="E8" s="83">
        <v>-1164</v>
      </c>
      <c r="F8" s="83">
        <v>359</v>
      </c>
      <c r="G8" s="85">
        <v>490</v>
      </c>
      <c r="H8" s="83">
        <v>31692</v>
      </c>
      <c r="I8" s="83">
        <v>202</v>
      </c>
      <c r="J8" s="83">
        <v>25467</v>
      </c>
      <c r="K8" s="84">
        <f t="shared" si="0"/>
        <v>32182</v>
      </c>
      <c r="L8" s="86">
        <v>118</v>
      </c>
      <c r="M8" s="83">
        <v>65419</v>
      </c>
      <c r="N8" s="91">
        <v>85.4</v>
      </c>
      <c r="O8" s="88">
        <v>-1.92</v>
      </c>
      <c r="P8">
        <v>183</v>
      </c>
      <c r="Q8">
        <v>-710</v>
      </c>
      <c r="R8" s="89">
        <v>-0.14000000000000001</v>
      </c>
      <c r="S8">
        <f t="shared" si="1"/>
        <v>0.26880000000000004</v>
      </c>
      <c r="T8" s="88">
        <f t="shared" si="2"/>
        <v>33133.5</v>
      </c>
      <c r="U8">
        <v>26834</v>
      </c>
      <c r="Z8" s="90"/>
    </row>
    <row r="9" spans="1:26" x14ac:dyDescent="0.35">
      <c r="A9">
        <v>2017</v>
      </c>
      <c r="B9" s="82">
        <v>57155</v>
      </c>
      <c r="C9" s="83">
        <v>7723</v>
      </c>
      <c r="D9" s="83">
        <v>29136</v>
      </c>
      <c r="E9" s="83">
        <v>628</v>
      </c>
      <c r="F9" s="83">
        <v>412</v>
      </c>
      <c r="G9" s="85">
        <v>490</v>
      </c>
      <c r="H9" s="83">
        <v>31805</v>
      </c>
      <c r="I9" s="83">
        <v>150</v>
      </c>
      <c r="J9" s="83">
        <v>28435</v>
      </c>
      <c r="K9" s="84">
        <f t="shared" si="0"/>
        <v>32295</v>
      </c>
      <c r="L9" s="86">
        <v>119</v>
      </c>
      <c r="M9" s="83">
        <v>61580</v>
      </c>
      <c r="N9" s="91">
        <v>105.63</v>
      </c>
      <c r="O9" s="88">
        <v>1.25</v>
      </c>
      <c r="P9">
        <v>294</v>
      </c>
      <c r="Q9">
        <v>496</v>
      </c>
      <c r="R9" s="89">
        <v>0.78</v>
      </c>
      <c r="S9">
        <f t="shared" si="1"/>
        <v>0.97500000000000009</v>
      </c>
      <c r="T9" s="88">
        <f t="shared" si="2"/>
        <v>32238.5</v>
      </c>
      <c r="U9">
        <v>27312</v>
      </c>
      <c r="Z9" s="90"/>
    </row>
    <row r="10" spans="1:26" x14ac:dyDescent="0.35">
      <c r="A10">
        <v>2018</v>
      </c>
      <c r="B10" s="82">
        <v>60222</v>
      </c>
      <c r="C10" s="83">
        <v>6725</v>
      </c>
      <c r="D10" s="83">
        <v>31484</v>
      </c>
      <c r="E10" s="83">
        <v>1585</v>
      </c>
      <c r="F10" s="83">
        <v>330</v>
      </c>
      <c r="G10" s="85">
        <v>734</v>
      </c>
      <c r="H10" s="83">
        <v>31867</v>
      </c>
      <c r="I10" s="83">
        <v>99</v>
      </c>
      <c r="J10" s="83">
        <v>28813</v>
      </c>
      <c r="K10" s="84">
        <f t="shared" si="0"/>
        <v>32601</v>
      </c>
      <c r="L10" s="86">
        <v>134</v>
      </c>
      <c r="M10" s="83">
        <v>64184</v>
      </c>
      <c r="N10" s="91">
        <v>75.05</v>
      </c>
      <c r="O10" s="88">
        <v>1.2</v>
      </c>
      <c r="P10">
        <v>485</v>
      </c>
      <c r="Q10">
        <v>807</v>
      </c>
      <c r="R10" s="89">
        <v>0.83</v>
      </c>
      <c r="S10">
        <f t="shared" si="1"/>
        <v>0.99599999999999989</v>
      </c>
      <c r="T10" s="88">
        <f t="shared" si="2"/>
        <v>32448</v>
      </c>
      <c r="U10">
        <v>26806</v>
      </c>
      <c r="Z10" s="90"/>
    </row>
    <row r="11" spans="1:26" x14ac:dyDescent="0.35">
      <c r="A11">
        <v>2019</v>
      </c>
      <c r="B11" s="82">
        <v>61115</v>
      </c>
      <c r="C11" s="83">
        <v>8353</v>
      </c>
      <c r="D11" s="83">
        <v>30969</v>
      </c>
      <c r="E11" s="83">
        <v>2048</v>
      </c>
      <c r="F11" s="83">
        <v>377</v>
      </c>
      <c r="G11" s="85">
        <v>696</v>
      </c>
      <c r="H11" s="83">
        <v>30735</v>
      </c>
      <c r="I11" s="83">
        <v>2586</v>
      </c>
      <c r="J11" s="83">
        <v>30423</v>
      </c>
      <c r="K11" s="84">
        <f t="shared" si="0"/>
        <v>31431</v>
      </c>
      <c r="L11" s="86">
        <v>143</v>
      </c>
      <c r="M11" s="83">
        <v>64987</v>
      </c>
      <c r="N11" s="91">
        <v>70.2</v>
      </c>
      <c r="O11" s="88">
        <v>2.89</v>
      </c>
      <c r="P11">
        <v>787</v>
      </c>
      <c r="Q11">
        <v>1209</v>
      </c>
      <c r="R11" s="89">
        <v>0.57999999999999996</v>
      </c>
      <c r="S11">
        <f t="shared" si="1"/>
        <v>1.6761999999999999</v>
      </c>
      <c r="T11" s="88">
        <f t="shared" si="2"/>
        <v>32016</v>
      </c>
      <c r="U11">
        <v>28268</v>
      </c>
      <c r="Z11" s="90"/>
    </row>
    <row r="12" spans="1:26" x14ac:dyDescent="0.35">
      <c r="A12">
        <v>2020</v>
      </c>
      <c r="B12" s="82">
        <v>56980</v>
      </c>
      <c r="C12" s="83">
        <v>9448</v>
      </c>
      <c r="D12" s="83">
        <v>26531</v>
      </c>
      <c r="E12" s="83">
        <v>-662</v>
      </c>
      <c r="F12" s="83">
        <v>611</v>
      </c>
      <c r="G12" s="85">
        <v>696</v>
      </c>
      <c r="H12" s="83">
        <v>28485</v>
      </c>
      <c r="I12" s="83">
        <v>5065</v>
      </c>
      <c r="J12" s="83">
        <v>21459</v>
      </c>
      <c r="K12" s="84">
        <f t="shared" si="0"/>
        <v>29181</v>
      </c>
      <c r="L12" s="86">
        <v>163</v>
      </c>
      <c r="M12" s="83">
        <v>60778</v>
      </c>
      <c r="N12" s="91">
        <v>28</v>
      </c>
      <c r="O12" s="88">
        <v>-4.21</v>
      </c>
      <c r="P12">
        <v>505</v>
      </c>
      <c r="Q12">
        <v>-1473</v>
      </c>
      <c r="R12" s="89">
        <v>0</v>
      </c>
      <c r="S12">
        <f t="shared" si="1"/>
        <v>0</v>
      </c>
      <c r="T12" s="88">
        <f t="shared" si="2"/>
        <v>30306</v>
      </c>
      <c r="U12">
        <v>21588</v>
      </c>
      <c r="Z12" s="90"/>
    </row>
    <row r="13" spans="1:26" x14ac:dyDescent="0.35">
      <c r="A13">
        <v>2021</v>
      </c>
      <c r="B13" s="82">
        <v>52843</v>
      </c>
      <c r="C13" s="83">
        <v>7911</v>
      </c>
      <c r="D13" s="83">
        <v>25001</v>
      </c>
      <c r="E13" s="83">
        <v>-3612</v>
      </c>
      <c r="F13" s="83">
        <v>466</v>
      </c>
      <c r="G13" s="85">
        <v>696</v>
      </c>
      <c r="H13" s="83">
        <v>25788</v>
      </c>
      <c r="I13" s="83">
        <v>4935</v>
      </c>
      <c r="J13" s="83">
        <v>17308</v>
      </c>
      <c r="K13" s="84">
        <f t="shared" si="0"/>
        <v>26484</v>
      </c>
      <c r="L13" s="86">
        <v>170</v>
      </c>
      <c r="M13" s="83">
        <v>56421</v>
      </c>
      <c r="N13" s="91">
        <v>71.900000000000006</v>
      </c>
      <c r="O13" s="88">
        <v>-7.75</v>
      </c>
      <c r="P13">
        <v>1</v>
      </c>
      <c r="Q13">
        <v>-2717</v>
      </c>
      <c r="R13" s="89">
        <v>0</v>
      </c>
      <c r="S13">
        <f t="shared" si="1"/>
        <v>0</v>
      </c>
      <c r="T13" s="88">
        <f t="shared" si="2"/>
        <v>27832.5</v>
      </c>
      <c r="U13">
        <v>20351</v>
      </c>
      <c r="Z13" s="90"/>
    </row>
    <row r="14" spans="1:26" x14ac:dyDescent="0.35">
      <c r="A14">
        <v>2022</v>
      </c>
      <c r="B14" s="82">
        <v>53209</v>
      </c>
      <c r="C14" s="83">
        <v>6560</v>
      </c>
      <c r="D14" s="83">
        <v>24907</v>
      </c>
      <c r="E14" s="83">
        <v>437</v>
      </c>
      <c r="F14" s="83">
        <v>355</v>
      </c>
      <c r="G14" s="85">
        <v>696</v>
      </c>
      <c r="H14" s="83">
        <v>26275</v>
      </c>
      <c r="I14" s="83">
        <v>4830</v>
      </c>
      <c r="J14" s="83">
        <v>21211</v>
      </c>
      <c r="K14" s="84">
        <f t="shared" si="0"/>
        <v>26971</v>
      </c>
      <c r="L14" s="86">
        <v>71</v>
      </c>
      <c r="M14" s="83">
        <v>56708</v>
      </c>
      <c r="N14" s="91">
        <v>51.15</v>
      </c>
      <c r="O14" s="88">
        <v>1.28</v>
      </c>
      <c r="P14">
        <v>0</v>
      </c>
      <c r="Q14">
        <v>410</v>
      </c>
      <c r="R14" s="89">
        <v>0.34</v>
      </c>
      <c r="S14">
        <f t="shared" si="1"/>
        <v>0.43520000000000003</v>
      </c>
      <c r="T14" s="88">
        <f t="shared" si="2"/>
        <v>26727.5</v>
      </c>
      <c r="U14">
        <v>20473</v>
      </c>
      <c r="Z14" s="90"/>
    </row>
    <row r="18" spans="1:13" x14ac:dyDescent="0.35">
      <c r="A18" s="87"/>
      <c r="B18" s="93"/>
    </row>
    <row r="19" spans="1:13" ht="29" x14ac:dyDescent="0.35">
      <c r="A19" s="90" t="s">
        <v>1</v>
      </c>
      <c r="B19" s="382" t="s">
        <v>45</v>
      </c>
      <c r="C19" s="382"/>
      <c r="D19" s="383" t="s">
        <v>46</v>
      </c>
      <c r="E19" s="383"/>
      <c r="F19" s="383"/>
      <c r="G19" s="383" t="s">
        <v>47</v>
      </c>
      <c r="H19" s="383"/>
      <c r="I19" s="383" t="s">
        <v>48</v>
      </c>
      <c r="J19" s="383"/>
      <c r="K19" s="383"/>
      <c r="L19" s="383"/>
      <c r="M19" s="79" t="s">
        <v>6</v>
      </c>
    </row>
    <row r="20" spans="1:13" ht="43.5" x14ac:dyDescent="0.35">
      <c r="A20" s="78"/>
      <c r="B20" s="94" t="s">
        <v>7</v>
      </c>
      <c r="C20" s="79" t="s">
        <v>8</v>
      </c>
      <c r="D20" s="78" t="s">
        <v>9</v>
      </c>
      <c r="E20" s="79" t="s">
        <v>10</v>
      </c>
      <c r="F20" s="79" t="s">
        <v>11</v>
      </c>
      <c r="G20" s="79" t="s">
        <v>49</v>
      </c>
      <c r="H20" s="79" t="s">
        <v>50</v>
      </c>
      <c r="I20" s="79" t="s">
        <v>51</v>
      </c>
      <c r="J20" s="79" t="s">
        <v>14</v>
      </c>
      <c r="K20" s="79" t="s">
        <v>16</v>
      </c>
      <c r="L20" s="79" t="s">
        <v>52</v>
      </c>
      <c r="M20" s="79" t="s">
        <v>53</v>
      </c>
    </row>
    <row r="21" spans="1:13" x14ac:dyDescent="0.35">
      <c r="A21">
        <v>2011</v>
      </c>
      <c r="B21" s="93">
        <f>B3/C3</f>
        <v>4.947106524143015</v>
      </c>
      <c r="C21" s="95">
        <f>(B3-C3)/D3</f>
        <v>1.0997458214588307</v>
      </c>
      <c r="D21" s="96">
        <f>(E3+F3)/(G3+H3+I3)</f>
        <v>0.44606370932007289</v>
      </c>
      <c r="E21" s="97">
        <f>Q3/J3</f>
        <v>0.14232608798598287</v>
      </c>
      <c r="F21" s="88">
        <f>J3/(G3+H3+I3)</f>
        <v>2.0793658608635717</v>
      </c>
      <c r="G21" s="87">
        <f>I3/(I3+K3)</f>
        <v>7.7298015853478411E-3</v>
      </c>
      <c r="H21" s="98">
        <f>(K3-L3)/(M3-D3-L3)</f>
        <v>0.9922223323095215</v>
      </c>
      <c r="I21" s="88">
        <f>O3</f>
        <v>16.489999999999998</v>
      </c>
      <c r="J21" s="88">
        <f>N3/O3</f>
        <v>16.616130988477867</v>
      </c>
      <c r="K21" s="99">
        <f>S3/N3</f>
        <v>1.5045620437956203E-2</v>
      </c>
      <c r="L21" s="95">
        <f>O3/S3</f>
        <v>4</v>
      </c>
      <c r="M21" s="97">
        <f>Q3/T3</f>
        <v>0.29825344844695845</v>
      </c>
    </row>
    <row r="22" spans="1:13" x14ac:dyDescent="0.35">
      <c r="A22">
        <v>2012</v>
      </c>
      <c r="B22" s="93">
        <f t="shared" ref="B22:B32" si="3">B4/C4</f>
        <v>4.4629969868450061</v>
      </c>
      <c r="C22" s="95">
        <f t="shared" ref="C22:C32" si="4">(B4-C4)/D4</f>
        <v>1.1416353725015143</v>
      </c>
      <c r="D22" s="96">
        <f t="shared" ref="D22:D32" si="5">(E4+F4)/(G4+H4+I4)</f>
        <v>0.40504694835680749</v>
      </c>
      <c r="E22" s="97">
        <f t="shared" ref="E22:E32" si="6">Q4/J4</f>
        <v>0.1467767492285881</v>
      </c>
      <c r="F22" s="88">
        <f t="shared" ref="F22:F32" si="7">J4/(G4+H4+I4)</f>
        <v>1.8765258215962441</v>
      </c>
      <c r="G22" s="87">
        <f t="shared" ref="G22:G32" si="8">I4/(I4+K4)</f>
        <v>7.2769953051643197E-3</v>
      </c>
      <c r="H22" s="98">
        <f t="shared" ref="H22:H32" si="9">(K4-L4)/(M4-D4-L4)</f>
        <v>0.99272169328822091</v>
      </c>
      <c r="I22" s="88">
        <f t="shared" ref="I22:I32" si="10">O4</f>
        <v>19.3</v>
      </c>
      <c r="J22" s="88">
        <f t="shared" ref="J22:J32" si="11">N4/O4</f>
        <v>7.1450777202072535</v>
      </c>
      <c r="K22" s="99">
        <f t="shared" ref="K22:K32" si="12">S4/N4</f>
        <v>3.0790427846265411E-2</v>
      </c>
      <c r="L22" s="95">
        <f t="shared" ref="L22:L32" si="13">O4/S4</f>
        <v>4.545454545454545</v>
      </c>
      <c r="M22" s="97">
        <f t="shared" ref="M22:M32" si="14">Q4/T4</f>
        <v>0.30926023545949743</v>
      </c>
    </row>
    <row r="23" spans="1:13" x14ac:dyDescent="0.35">
      <c r="A23">
        <v>2013</v>
      </c>
      <c r="B23" s="93">
        <f t="shared" si="3"/>
        <v>5.4255013114476691</v>
      </c>
      <c r="C23" s="95">
        <f t="shared" si="4"/>
        <v>1.3674867316792596</v>
      </c>
      <c r="D23" s="96">
        <f t="shared" si="5"/>
        <v>0.29926413026459997</v>
      </c>
      <c r="E23" s="97">
        <f t="shared" si="6"/>
        <v>0.13664249860568878</v>
      </c>
      <c r="F23" s="88">
        <f t="shared" si="7"/>
        <v>1.5159229685298261</v>
      </c>
      <c r="G23" s="87">
        <f t="shared" si="8"/>
        <v>4.6657272584938153E-2</v>
      </c>
      <c r="H23" s="98">
        <f t="shared" si="9"/>
        <v>0.9531495815241332</v>
      </c>
      <c r="I23" s="88">
        <f t="shared" si="10"/>
        <v>18.23</v>
      </c>
      <c r="J23" s="88">
        <f t="shared" si="11"/>
        <v>7.3340647284695546</v>
      </c>
      <c r="K23" s="99">
        <f t="shared" si="12"/>
        <v>2.727000747943157E-2</v>
      </c>
      <c r="L23" s="95">
        <f t="shared" si="13"/>
        <v>5</v>
      </c>
      <c r="M23" s="97">
        <f t="shared" si="14"/>
        <v>0.23701606979702253</v>
      </c>
    </row>
    <row r="24" spans="1:13" x14ac:dyDescent="0.35">
      <c r="A24">
        <v>2014</v>
      </c>
      <c r="B24" s="93">
        <f t="shared" si="3"/>
        <v>6.7910764872521243</v>
      </c>
      <c r="C24" s="95">
        <f t="shared" si="4"/>
        <v>1.5424975746469765</v>
      </c>
      <c r="D24" s="96">
        <f t="shared" si="5"/>
        <v>0.1438915292144255</v>
      </c>
      <c r="E24" s="97">
        <f t="shared" si="6"/>
        <v>8.851436024654101E-2</v>
      </c>
      <c r="F24" s="88">
        <f t="shared" si="7"/>
        <v>1.0931227285434721</v>
      </c>
      <c r="G24" s="87">
        <f t="shared" si="8"/>
        <v>7.6097288230360632E-2</v>
      </c>
      <c r="H24" s="98">
        <f t="shared" si="9"/>
        <v>0.9235371780106183</v>
      </c>
      <c r="I24" s="88">
        <f t="shared" si="10"/>
        <v>9.5399999999999991</v>
      </c>
      <c r="J24" s="88">
        <f t="shared" si="11"/>
        <v>16.925576519916145</v>
      </c>
      <c r="K24" s="99">
        <f t="shared" si="12"/>
        <v>1.1816436489750417E-2</v>
      </c>
      <c r="L24" s="95">
        <f t="shared" si="13"/>
        <v>5</v>
      </c>
      <c r="M24" s="97">
        <f t="shared" si="14"/>
        <v>0.10901989195659365</v>
      </c>
    </row>
    <row r="25" spans="1:13" x14ac:dyDescent="0.35">
      <c r="A25">
        <v>2015</v>
      </c>
      <c r="B25" s="93">
        <f t="shared" si="3"/>
        <v>6.2026947861745754</v>
      </c>
      <c r="C25" s="95">
        <f t="shared" si="4"/>
        <v>1.5489215743270741</v>
      </c>
      <c r="D25" s="96">
        <f t="shared" si="5"/>
        <v>6.5257433558459782E-2</v>
      </c>
      <c r="E25" s="97">
        <f t="shared" si="6"/>
        <v>4.6195917570075205E-2</v>
      </c>
      <c r="F25" s="88">
        <f t="shared" si="7"/>
        <v>0.89807911586702915</v>
      </c>
      <c r="G25" s="87">
        <f t="shared" si="8"/>
        <v>3.4499897669795047E-3</v>
      </c>
      <c r="H25" s="98">
        <f t="shared" si="9"/>
        <v>0.99656023990121712</v>
      </c>
      <c r="I25" s="88">
        <f t="shared" si="10"/>
        <v>3.96</v>
      </c>
      <c r="J25" s="88">
        <f t="shared" si="11"/>
        <v>42.366161616161619</v>
      </c>
      <c r="K25" s="99">
        <f t="shared" si="12"/>
        <v>4.720748643976873E-3</v>
      </c>
      <c r="L25" s="95">
        <f t="shared" si="13"/>
        <v>5</v>
      </c>
      <c r="M25" s="97">
        <f t="shared" si="14"/>
        <v>4.2274291332131737E-2</v>
      </c>
    </row>
    <row r="26" spans="1:13" x14ac:dyDescent="0.35">
      <c r="A26">
        <v>2016</v>
      </c>
      <c r="B26" s="93">
        <f t="shared" si="3"/>
        <v>6.1339892484024752</v>
      </c>
      <c r="C26" s="95">
        <f t="shared" si="4"/>
        <v>1.5321467490010898</v>
      </c>
      <c r="D26" s="96">
        <f t="shared" si="5"/>
        <v>-2.4857954545454544E-2</v>
      </c>
      <c r="E26" s="97">
        <f t="shared" si="6"/>
        <v>-2.7879216240625122E-2</v>
      </c>
      <c r="F26" s="88">
        <f t="shared" si="7"/>
        <v>0.78640686758893286</v>
      </c>
      <c r="G26" s="87">
        <f t="shared" si="8"/>
        <v>6.2376482213438739E-3</v>
      </c>
      <c r="H26" s="98">
        <f t="shared" si="9"/>
        <v>0.99377033937703396</v>
      </c>
      <c r="I26" s="88">
        <f t="shared" si="10"/>
        <v>-1.92</v>
      </c>
      <c r="J26" s="88">
        <f t="shared" si="11"/>
        <v>-44.479166666666671</v>
      </c>
      <c r="K26" s="99">
        <f t="shared" si="12"/>
        <v>3.1475409836065576E-3</v>
      </c>
      <c r="L26" s="95">
        <f t="shared" si="13"/>
        <v>-7.1428571428571415</v>
      </c>
      <c r="M26" s="97">
        <f t="shared" si="14"/>
        <v>-2.1428463639518915E-2</v>
      </c>
    </row>
    <row r="27" spans="1:13" x14ac:dyDescent="0.35">
      <c r="A27">
        <v>2017</v>
      </c>
      <c r="B27" s="93">
        <f t="shared" si="3"/>
        <v>7.4006215201346626</v>
      </c>
      <c r="C27" s="95">
        <f t="shared" si="4"/>
        <v>1.6965952773201538</v>
      </c>
      <c r="D27" s="96">
        <f t="shared" si="5"/>
        <v>3.2054245646478657E-2</v>
      </c>
      <c r="E27" s="97">
        <f t="shared" si="6"/>
        <v>1.7443291717953228E-2</v>
      </c>
      <c r="F27" s="88">
        <f t="shared" si="7"/>
        <v>0.87640622592078898</v>
      </c>
      <c r="G27" s="87">
        <f t="shared" si="8"/>
        <v>4.6232085067036523E-3</v>
      </c>
      <c r="H27" s="98">
        <f t="shared" si="9"/>
        <v>0.99539056457849961</v>
      </c>
      <c r="I27" s="88">
        <f t="shared" si="10"/>
        <v>1.25</v>
      </c>
      <c r="J27" s="88">
        <f t="shared" si="11"/>
        <v>84.503999999999991</v>
      </c>
      <c r="K27" s="99">
        <f t="shared" si="12"/>
        <v>9.2303322919625123E-3</v>
      </c>
      <c r="L27" s="95">
        <f t="shared" si="13"/>
        <v>1.2820512820512819</v>
      </c>
      <c r="M27" s="97">
        <f t="shared" si="14"/>
        <v>1.5385331203374847E-2</v>
      </c>
    </row>
    <row r="28" spans="1:13" x14ac:dyDescent="0.35">
      <c r="A28">
        <v>2018</v>
      </c>
      <c r="B28" s="93">
        <f t="shared" si="3"/>
        <v>8.954944237918216</v>
      </c>
      <c r="C28" s="95">
        <f t="shared" si="4"/>
        <v>1.6991805361453436</v>
      </c>
      <c r="D28" s="96">
        <f t="shared" si="5"/>
        <v>5.8562691131498472E-2</v>
      </c>
      <c r="E28" s="97">
        <f t="shared" si="6"/>
        <v>2.8008190747232153E-2</v>
      </c>
      <c r="F28" s="88">
        <f t="shared" si="7"/>
        <v>0.88113149847094796</v>
      </c>
      <c r="G28" s="87">
        <f t="shared" si="8"/>
        <v>3.0275229357798164E-3</v>
      </c>
      <c r="H28" s="98">
        <f t="shared" si="9"/>
        <v>0.99696001965239822</v>
      </c>
      <c r="I28" s="88">
        <f t="shared" si="10"/>
        <v>1.2</v>
      </c>
      <c r="J28" s="88">
        <f t="shared" si="11"/>
        <v>62.541666666666664</v>
      </c>
      <c r="K28" s="99">
        <f t="shared" si="12"/>
        <v>1.3271152564956694E-2</v>
      </c>
      <c r="L28" s="95">
        <f t="shared" si="13"/>
        <v>1.2048192771084338</v>
      </c>
      <c r="M28" s="97">
        <f t="shared" si="14"/>
        <v>2.4870562130177513E-2</v>
      </c>
    </row>
    <row r="29" spans="1:13" x14ac:dyDescent="0.35">
      <c r="A29">
        <v>2019</v>
      </c>
      <c r="B29" s="93">
        <f t="shared" si="3"/>
        <v>7.316532982162097</v>
      </c>
      <c r="C29" s="95">
        <f t="shared" si="4"/>
        <v>1.7037037037037037</v>
      </c>
      <c r="D29" s="96">
        <f t="shared" si="5"/>
        <v>7.1287885469030185E-2</v>
      </c>
      <c r="E29" s="97">
        <f t="shared" si="6"/>
        <v>3.973967064392072E-2</v>
      </c>
      <c r="F29" s="88">
        <f t="shared" si="7"/>
        <v>0.89434694417497129</v>
      </c>
      <c r="G29" s="87">
        <f t="shared" si="8"/>
        <v>7.6020813122850334E-2</v>
      </c>
      <c r="H29" s="98">
        <f t="shared" si="9"/>
        <v>0.92363099630996315</v>
      </c>
      <c r="I29" s="88">
        <f t="shared" si="10"/>
        <v>2.89</v>
      </c>
      <c r="J29" s="88">
        <f t="shared" si="11"/>
        <v>24.290657439446367</v>
      </c>
      <c r="K29" s="99">
        <f t="shared" si="12"/>
        <v>2.3877492877492874E-2</v>
      </c>
      <c r="L29" s="95">
        <f t="shared" si="13"/>
        <v>1.7241379310344829</v>
      </c>
      <c r="M29" s="97">
        <f t="shared" si="14"/>
        <v>3.7762368815592202E-2</v>
      </c>
    </row>
    <row r="30" spans="1:13" x14ac:dyDescent="0.35">
      <c r="A30">
        <v>2020</v>
      </c>
      <c r="B30" s="93">
        <f t="shared" si="3"/>
        <v>6.0309060118543609</v>
      </c>
      <c r="C30" s="95">
        <f t="shared" si="4"/>
        <v>1.7915645848252988</v>
      </c>
      <c r="D30" s="96">
        <f t="shared" si="5"/>
        <v>-1.4892250189803189E-3</v>
      </c>
      <c r="E30" s="97">
        <f t="shared" si="6"/>
        <v>-6.8642527610792675E-2</v>
      </c>
      <c r="F30" s="88">
        <f t="shared" si="7"/>
        <v>0.62661332710389539</v>
      </c>
      <c r="G30" s="87">
        <f t="shared" si="8"/>
        <v>0.14790048472814343</v>
      </c>
      <c r="H30" s="98">
        <f t="shared" si="9"/>
        <v>0.85136721042131203</v>
      </c>
      <c r="I30" s="88">
        <f t="shared" si="10"/>
        <v>-4.21</v>
      </c>
      <c r="J30" s="88">
        <f t="shared" si="11"/>
        <v>-6.6508313539192399</v>
      </c>
      <c r="K30" s="99">
        <f t="shared" si="12"/>
        <v>0</v>
      </c>
      <c r="L30" s="95">
        <v>0</v>
      </c>
      <c r="M30" s="97">
        <f t="shared" si="14"/>
        <v>-4.8604236784795092E-2</v>
      </c>
    </row>
    <row r="31" spans="1:13" x14ac:dyDescent="0.35">
      <c r="A31">
        <v>2021</v>
      </c>
      <c r="B31" s="93">
        <f t="shared" si="3"/>
        <v>6.6796865124510179</v>
      </c>
      <c r="C31" s="95">
        <f t="shared" si="4"/>
        <v>1.797208111675533</v>
      </c>
      <c r="D31" s="96">
        <f t="shared" si="5"/>
        <v>-0.10013049428689647</v>
      </c>
      <c r="E31" s="97">
        <f t="shared" si="6"/>
        <v>-0.15697943147677373</v>
      </c>
      <c r="F31" s="88">
        <f t="shared" si="7"/>
        <v>0.55087685795219454</v>
      </c>
      <c r="G31" s="87">
        <f t="shared" si="8"/>
        <v>0.15707056239854864</v>
      </c>
      <c r="H31" s="98">
        <f t="shared" si="9"/>
        <v>0.84204800000000002</v>
      </c>
      <c r="I31" s="88">
        <f t="shared" si="10"/>
        <v>-7.75</v>
      </c>
      <c r="J31" s="88">
        <f t="shared" si="11"/>
        <v>-9.2774193548387096</v>
      </c>
      <c r="K31" s="99">
        <f t="shared" si="12"/>
        <v>0</v>
      </c>
      <c r="L31" s="95">
        <v>0</v>
      </c>
      <c r="M31" s="97">
        <f t="shared" si="14"/>
        <v>-9.7619689212251864E-2</v>
      </c>
    </row>
    <row r="32" spans="1:13" x14ac:dyDescent="0.35">
      <c r="A32">
        <v>2022</v>
      </c>
      <c r="B32" s="93">
        <f t="shared" si="3"/>
        <v>8.111128048780488</v>
      </c>
      <c r="C32" s="95">
        <f t="shared" si="4"/>
        <v>1.8729272895170033</v>
      </c>
      <c r="D32" s="96">
        <f t="shared" si="5"/>
        <v>2.4904877205119337E-2</v>
      </c>
      <c r="E32" s="97">
        <f t="shared" si="6"/>
        <v>1.9329593135637171E-2</v>
      </c>
      <c r="F32" s="88">
        <f t="shared" si="7"/>
        <v>0.66699160403760893</v>
      </c>
      <c r="G32" s="87">
        <f t="shared" si="8"/>
        <v>0.15188201628879594</v>
      </c>
      <c r="H32" s="98">
        <f t="shared" si="9"/>
        <v>0.84777812795461704</v>
      </c>
      <c r="I32" s="88">
        <f t="shared" si="10"/>
        <v>1.28</v>
      </c>
      <c r="J32" s="88">
        <f t="shared" si="11"/>
        <v>39.9609375</v>
      </c>
      <c r="K32" s="99">
        <f t="shared" si="12"/>
        <v>8.5083088954056706E-3</v>
      </c>
      <c r="L32" s="95">
        <f t="shared" si="13"/>
        <v>2.9411764705882351</v>
      </c>
      <c r="M32" s="97">
        <f t="shared" si="14"/>
        <v>1.5340005612197175E-2</v>
      </c>
    </row>
    <row r="33" spans="1:1" x14ac:dyDescent="0.35">
      <c r="A33" s="90"/>
    </row>
  </sheetData>
  <mergeCells count="4">
    <mergeCell ref="B19:C19"/>
    <mergeCell ref="D19:F19"/>
    <mergeCell ref="G19:H19"/>
    <mergeCell ref="I19:L1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84B37-277D-4CE1-AF16-345927D1BC85}">
  <dimension ref="A1:O28"/>
  <sheetViews>
    <sheetView workbookViewId="0">
      <selection activeCell="R14" sqref="R14"/>
    </sheetView>
  </sheetViews>
  <sheetFormatPr defaultRowHeight="14.5" x14ac:dyDescent="0.35"/>
  <cols>
    <col min="2" max="2" width="13.81640625" bestFit="1" customWidth="1"/>
    <col min="3" max="3" width="13.1796875" customWidth="1"/>
    <col min="4" max="4" width="10.1796875" bestFit="1" customWidth="1"/>
    <col min="5" max="5" width="13.7265625" bestFit="1" customWidth="1"/>
    <col min="6" max="6" width="23" bestFit="1" customWidth="1"/>
    <col min="7" max="7" width="14" bestFit="1" customWidth="1"/>
    <col min="8" max="8" width="11.54296875" bestFit="1" customWidth="1"/>
    <col min="9" max="9" width="15.453125" bestFit="1" customWidth="1"/>
    <col min="10" max="10" width="23" bestFit="1" customWidth="1"/>
    <col min="11" max="11" width="15" bestFit="1" customWidth="1"/>
    <col min="15" max="15" width="14.453125" bestFit="1" customWidth="1"/>
  </cols>
  <sheetData>
    <row r="1" spans="1:15" ht="31" x14ac:dyDescent="0.7">
      <c r="A1" s="388" t="s">
        <v>0</v>
      </c>
      <c r="B1" s="388"/>
      <c r="C1" s="388"/>
      <c r="D1" s="388"/>
      <c r="E1" s="388"/>
      <c r="F1" s="388"/>
      <c r="G1" s="388"/>
      <c r="H1" s="388"/>
    </row>
    <row r="2" spans="1:15" ht="15" thickBot="1" x14ac:dyDescent="0.4"/>
    <row r="3" spans="1:15" ht="15" thickBot="1" x14ac:dyDescent="0.4">
      <c r="A3" s="1" t="s">
        <v>1</v>
      </c>
      <c r="B3" s="389" t="s">
        <v>2</v>
      </c>
      <c r="C3" s="390"/>
      <c r="D3" s="390" t="s">
        <v>3</v>
      </c>
      <c r="E3" s="390"/>
      <c r="F3" s="390"/>
      <c r="G3" s="2" t="s">
        <v>4</v>
      </c>
      <c r="H3" s="390" t="s">
        <v>5</v>
      </c>
      <c r="I3" s="390"/>
      <c r="J3" s="390"/>
      <c r="K3" s="390"/>
      <c r="L3" s="390" t="s">
        <v>6</v>
      </c>
      <c r="M3" s="391"/>
    </row>
    <row r="4" spans="1:15" x14ac:dyDescent="0.35">
      <c r="A4" s="3"/>
      <c r="B4" s="4" t="s">
        <v>7</v>
      </c>
      <c r="C4" s="5" t="s">
        <v>8</v>
      </c>
      <c r="D4" s="6" t="s">
        <v>9</v>
      </c>
      <c r="E4" s="6" t="s">
        <v>10</v>
      </c>
      <c r="F4" s="6" t="s">
        <v>11</v>
      </c>
      <c r="G4" s="7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392"/>
      <c r="M4" s="393"/>
      <c r="O4" s="9" t="s">
        <v>17</v>
      </c>
    </row>
    <row r="5" spans="1:15" x14ac:dyDescent="0.35">
      <c r="A5" s="10">
        <v>2012</v>
      </c>
      <c r="B5" s="11">
        <f>1423.11/1191.74</f>
        <v>1.1941446959907362</v>
      </c>
      <c r="C5" s="12">
        <f>(1423.11-355.24)/1191.74</f>
        <v>0.89605954318895054</v>
      </c>
      <c r="D5" s="13">
        <f>175.95/(19.93+679.93+40.45)</f>
        <v>0.23767070551525712</v>
      </c>
      <c r="E5" s="13">
        <f>175.95/3113.37</f>
        <v>5.651432370710837E-2</v>
      </c>
      <c r="F5" s="12">
        <f>3113.37/(19.93+679.93+40.45)</f>
        <v>4.20549499533979</v>
      </c>
      <c r="G5" s="12">
        <f>(40.45+0.04)/19.93</f>
        <v>2.031610637230306</v>
      </c>
      <c r="H5" s="12">
        <v>11.85</v>
      </c>
      <c r="I5" s="12">
        <f>O5/H5</f>
        <v>21.09704641350211</v>
      </c>
      <c r="J5" s="12">
        <f>H5/2.8</f>
        <v>4.2321428571428577</v>
      </c>
      <c r="K5" s="14">
        <f>2.8/O5</f>
        <v>1.12E-2</v>
      </c>
      <c r="L5" s="384">
        <f t="shared" ref="L5:L15" si="0">(K18/L18)*(L18/M18)*(M18/N18)</f>
        <v>0.25140742434201119</v>
      </c>
      <c r="M5" s="385"/>
      <c r="O5" s="9">
        <v>250</v>
      </c>
    </row>
    <row r="6" spans="1:15" x14ac:dyDescent="0.35">
      <c r="A6" s="10">
        <v>2013</v>
      </c>
      <c r="B6" s="11">
        <f>1549.82/1369.31</f>
        <v>1.131825517961601</v>
      </c>
      <c r="C6" s="12">
        <f>(1549.82-421.24)/1369.31</f>
        <v>0.82419612797686426</v>
      </c>
      <c r="D6" s="13">
        <f>44.25/(19.95+708.69+34.54)</f>
        <v>5.7981079168741317E-2</v>
      </c>
      <c r="E6" s="13">
        <f>44.25/3404.49</f>
        <v>1.2997541481984086E-2</v>
      </c>
      <c r="F6" s="12">
        <f>3404.49/(19095+708.69+34.54)</f>
        <v>0.17161258842144686</v>
      </c>
      <c r="G6" s="12">
        <f>(34.54+0.06)/19.95</f>
        <v>1.7343358395989976</v>
      </c>
      <c r="H6" s="12">
        <v>5.14</v>
      </c>
      <c r="I6" s="12">
        <f t="shared" ref="I6:I15" si="1">O6/H6</f>
        <v>38.910505836575879</v>
      </c>
      <c r="J6" s="12">
        <f>H6/2</f>
        <v>2.57</v>
      </c>
      <c r="K6" s="14">
        <f>2/O6</f>
        <v>0.01</v>
      </c>
      <c r="L6" s="384">
        <f t="shared" si="0"/>
        <v>6.0729578392621872E-2</v>
      </c>
      <c r="M6" s="385"/>
      <c r="O6" s="9">
        <v>200</v>
      </c>
    </row>
    <row r="7" spans="1:15" x14ac:dyDescent="0.35">
      <c r="A7" s="10">
        <v>2014</v>
      </c>
      <c r="B7" s="11">
        <f>1882.53/1824.56</f>
        <v>1.0317720436708029</v>
      </c>
      <c r="C7" s="12">
        <f>(1882.53-446.7)/1824.56</f>
        <v>0.78694589380453372</v>
      </c>
      <c r="D7" s="13">
        <f>-5.96/(19.99+689.09+130.61)</f>
        <v>-7.0978575426645539E-3</v>
      </c>
      <c r="E7" s="13">
        <f>-5.96/4045.1</f>
        <v>-1.4733875553138364E-3</v>
      </c>
      <c r="F7" s="12">
        <f>4045.1/(19.99+689.09+130.61)</f>
        <v>4.8173730781597968</v>
      </c>
      <c r="G7" s="12">
        <f>(130.61+0.33)/19.99</f>
        <v>6.5502751375687867</v>
      </c>
      <c r="H7" s="12">
        <v>-0.53</v>
      </c>
      <c r="I7" s="12">
        <f t="shared" si="1"/>
        <v>-528.30188679245282</v>
      </c>
      <c r="J7" s="12">
        <f>H7/1.5</f>
        <v>-0.35333333333333333</v>
      </c>
      <c r="K7" s="14">
        <f>1.5/O7</f>
        <v>5.3571428571428572E-3</v>
      </c>
      <c r="L7" s="384">
        <f t="shared" si="0"/>
        <v>-8.4051389809474096E-3</v>
      </c>
      <c r="M7" s="385"/>
      <c r="O7" s="9">
        <v>280</v>
      </c>
    </row>
    <row r="8" spans="1:15" x14ac:dyDescent="0.35">
      <c r="A8" s="10">
        <v>2015</v>
      </c>
      <c r="B8" s="11">
        <f>1972.41/1916.74</f>
        <v>1.0290441061385478</v>
      </c>
      <c r="C8" s="12">
        <f>(1972.41-474.65)/1916.74</f>
        <v>0.78141010256998877</v>
      </c>
      <c r="D8" s="13">
        <f>-20.82/(20.15+666.83+170.91)</f>
        <v>-2.4268845656203009E-2</v>
      </c>
      <c r="E8" s="13">
        <f>-20.82/4282.4</f>
        <v>-4.8617597608817493E-3</v>
      </c>
      <c r="F8" s="12">
        <f>4282.4/(20.15+666.83+170.91)</f>
        <v>4.9917821632143982</v>
      </c>
      <c r="G8" s="12">
        <f>(170.91+11.13)/20.15</f>
        <v>9.034243176178661</v>
      </c>
      <c r="H8" s="12">
        <v>-1.39</v>
      </c>
      <c r="I8" s="12">
        <f t="shared" si="1"/>
        <v>-143.88489208633095</v>
      </c>
      <c r="J8" s="12">
        <f>H8/1.5</f>
        <v>-0.92666666666666664</v>
      </c>
      <c r="K8" s="14">
        <f>1.5/O8</f>
        <v>7.4999999999999997E-3</v>
      </c>
      <c r="L8" s="384">
        <f t="shared" si="0"/>
        <v>-3.0306559142915374E-2</v>
      </c>
      <c r="M8" s="385"/>
      <c r="O8" s="9">
        <v>200</v>
      </c>
    </row>
    <row r="9" spans="1:15" x14ac:dyDescent="0.35">
      <c r="A9" s="10">
        <v>2016</v>
      </c>
      <c r="B9" s="11">
        <f>2019.33/1972.67</f>
        <v>1.0236532212686358</v>
      </c>
      <c r="C9" s="12">
        <f>(2019.33-506.68)/1972.67</f>
        <v>0.76680336802404858</v>
      </c>
      <c r="D9" s="13">
        <f>153.58/(20.19+731.31+95.98)</f>
        <v>0.18121961580214282</v>
      </c>
      <c r="E9" s="13">
        <f>153.58/4634.8</f>
        <v>3.3136273409855872E-2</v>
      </c>
      <c r="F9" s="12">
        <f>4634.8/(20.19+731.31+95.98)</f>
        <v>5.4689196205220183</v>
      </c>
      <c r="G9" s="12">
        <f>(95.98+14.16)/20.19</f>
        <v>5.4551758296186224</v>
      </c>
      <c r="H9" s="12">
        <v>9.48</v>
      </c>
      <c r="I9" s="12">
        <f t="shared" si="1"/>
        <v>21.09704641350211</v>
      </c>
      <c r="J9" s="12">
        <f>H9/2.8</f>
        <v>3.3857142857142861</v>
      </c>
      <c r="K9" s="14">
        <f>2.8/O9</f>
        <v>1.3999999999999999E-2</v>
      </c>
      <c r="L9" s="384">
        <f t="shared" si="0"/>
        <v>0.20436460412508317</v>
      </c>
      <c r="M9" s="385"/>
      <c r="O9" s="9">
        <v>200</v>
      </c>
    </row>
    <row r="10" spans="1:15" x14ac:dyDescent="0.35">
      <c r="A10" s="10">
        <v>2017</v>
      </c>
      <c r="B10" s="11">
        <f>2125.19/2109.85</f>
        <v>1.0072706590515914</v>
      </c>
      <c r="C10" s="12">
        <f>(2125.19-571.2)/2109.85</f>
        <v>0.73654051235869855</v>
      </c>
      <c r="D10" s="13">
        <f>168.04/(20.26+851.24+16.95)</f>
        <v>0.18913838707862005</v>
      </c>
      <c r="E10" s="13">
        <f>168.04/4297.3</f>
        <v>3.9103623205268417E-2</v>
      </c>
      <c r="F10" s="12">
        <f>4297.3/(20.26+851.24+16.95)</f>
        <v>4.8368506950306713</v>
      </c>
      <c r="G10" s="12">
        <f>(16.95+75.02)/20.26</f>
        <v>4.5394866732477785</v>
      </c>
      <c r="H10" s="12">
        <v>10.65</v>
      </c>
      <c r="I10" s="12">
        <f t="shared" si="1"/>
        <v>13.333333333333332</v>
      </c>
      <c r="J10" s="12">
        <f>H10/2.8</f>
        <v>3.8035714285714288</v>
      </c>
      <c r="K10" s="14">
        <f>2.8/O10</f>
        <v>1.9718309859154928E-2</v>
      </c>
      <c r="L10" s="384">
        <f t="shared" si="0"/>
        <v>0.19281698221457255</v>
      </c>
      <c r="M10" s="385"/>
      <c r="O10" s="9">
        <v>142</v>
      </c>
    </row>
    <row r="11" spans="1:15" x14ac:dyDescent="0.35">
      <c r="A11" s="10">
        <v>2018</v>
      </c>
      <c r="B11" s="11">
        <f>2676.41/2437.59</f>
        <v>1.0979738184026024</v>
      </c>
      <c r="C11" s="12">
        <f>(2676.41-579.16)/2437.59</f>
        <v>0.86037848858913923</v>
      </c>
      <c r="D11" s="13">
        <f>253.83/(20.41+924.13+11.47)</f>
        <v>0.26550977500235357</v>
      </c>
      <c r="E11" s="13">
        <f>253.83/4760.64</f>
        <v>5.3318461383343417E-2</v>
      </c>
      <c r="F11" s="12">
        <f>4760.64/(20.41+924.13+11.47)</f>
        <v>4.979696865095554</v>
      </c>
      <c r="G11" s="12">
        <f>(11.47+67.59)/20.41</f>
        <v>3.8735913767760901</v>
      </c>
      <c r="H11" s="12">
        <v>8.23</v>
      </c>
      <c r="I11" s="12">
        <f t="shared" si="1"/>
        <v>24.301336573511541</v>
      </c>
      <c r="J11" s="12">
        <f>H11/3.5</f>
        <v>2.3514285714285714</v>
      </c>
      <c r="K11" s="14">
        <f>3.5/O11</f>
        <v>1.7500000000000002E-2</v>
      </c>
      <c r="L11" s="384">
        <f t="shared" si="0"/>
        <v>0.2687339869142652</v>
      </c>
      <c r="M11" s="385"/>
      <c r="O11" s="9">
        <v>200</v>
      </c>
    </row>
    <row r="12" spans="1:15" x14ac:dyDescent="0.35">
      <c r="A12" s="10">
        <v>2019</v>
      </c>
      <c r="B12" s="11">
        <f>3980.26/3785.54</f>
        <v>1.0514378397797937</v>
      </c>
      <c r="C12" s="12">
        <f>(3980.26-821.03)/3785.54</f>
        <v>0.83455200579045541</v>
      </c>
      <c r="D12" s="13">
        <f>259.44/(20.48+1048.08+212.62)</f>
        <v>0.20250081955697094</v>
      </c>
      <c r="E12" s="13">
        <f>259.44/6738.57</f>
        <v>3.8500750159158395E-2</v>
      </c>
      <c r="F12" s="12">
        <f>6738.57/(20.48+1048.08+212.62)</f>
        <v>5.2596590643000987</v>
      </c>
      <c r="G12" s="12">
        <f>(212.62+67.92)/20.48</f>
        <v>13.6982421875</v>
      </c>
      <c r="H12" s="12">
        <v>16.34</v>
      </c>
      <c r="I12" s="12">
        <f t="shared" si="1"/>
        <v>9.7919216646266829</v>
      </c>
      <c r="J12" s="12">
        <f>H12/3.5</f>
        <v>4.6685714285714282</v>
      </c>
      <c r="K12" s="14">
        <f>3.5/O12</f>
        <v>2.1874999999999999E-2</v>
      </c>
      <c r="L12" s="384">
        <f t="shared" si="0"/>
        <v>0.24073489839472945</v>
      </c>
      <c r="M12" s="385"/>
      <c r="O12" s="9">
        <v>160</v>
      </c>
    </row>
    <row r="13" spans="1:15" x14ac:dyDescent="0.35">
      <c r="A13" s="10">
        <v>2020</v>
      </c>
      <c r="B13" s="11">
        <f>3288.18/2930.81</f>
        <v>1.1219355741245594</v>
      </c>
      <c r="C13" s="12">
        <f>(3288.18-690.77)/2930.81</f>
        <v>0.88624305226200262</v>
      </c>
      <c r="D13" s="13">
        <f>22.39/(22.75+1343.9+79.91)</f>
        <v>1.5478099767724808E-2</v>
      </c>
      <c r="E13" s="13">
        <f>22.39/5029.72</f>
        <v>4.4515400459667733E-3</v>
      </c>
      <c r="F13" s="12">
        <f>5029.72/(22.75+1343.9+79.91)</f>
        <v>3.4770213471961062</v>
      </c>
      <c r="G13" s="12">
        <f>(79.91+146.71)/22.75</f>
        <v>9.9613186813186818</v>
      </c>
      <c r="H13" s="12">
        <v>-0.01</v>
      </c>
      <c r="I13" s="12">
        <f t="shared" si="1"/>
        <v>-13713.999999999998</v>
      </c>
      <c r="J13" s="15" t="s">
        <v>18</v>
      </c>
      <c r="K13" s="16" t="s">
        <v>18</v>
      </c>
      <c r="L13" s="384">
        <f t="shared" si="0"/>
        <v>1.623334251700187E-2</v>
      </c>
      <c r="M13" s="385"/>
      <c r="O13" s="9">
        <v>137.13999999999999</v>
      </c>
    </row>
    <row r="14" spans="1:15" x14ac:dyDescent="0.35">
      <c r="A14" s="10">
        <v>2021</v>
      </c>
      <c r="B14" s="11">
        <f>2949.93/2509.25</f>
        <v>1.1756221978678887</v>
      </c>
      <c r="C14" s="12">
        <f>(2949.93-971.05)/2509.25</f>
        <v>0.78863405400019926</v>
      </c>
      <c r="D14" s="13">
        <f>229.42/(22.91+1569.89+24.58)</f>
        <v>0.14184669032633021</v>
      </c>
      <c r="E14" s="13">
        <f>229.42/4645.75</f>
        <v>4.9382769197653768E-2</v>
      </c>
      <c r="F14" s="12">
        <f>4645.75/(22.91+1569.89+24.58)</f>
        <v>2.872392387688731</v>
      </c>
      <c r="G14" s="12">
        <f>(24.58+90.59)/22.91</f>
        <v>5.0270624181580095</v>
      </c>
      <c r="H14" s="12">
        <v>16.079999999999998</v>
      </c>
      <c r="I14" s="12">
        <f t="shared" si="1"/>
        <v>8.7064676616915424</v>
      </c>
      <c r="J14" s="15" t="s">
        <v>18</v>
      </c>
      <c r="K14" s="16" t="s">
        <v>18</v>
      </c>
      <c r="L14" s="384">
        <f t="shared" si="0"/>
        <v>0.14297555169168832</v>
      </c>
      <c r="M14" s="385"/>
      <c r="O14" s="9">
        <v>140</v>
      </c>
    </row>
    <row r="15" spans="1:15" ht="15" thickBot="1" x14ac:dyDescent="0.4">
      <c r="A15" s="10">
        <v>2022</v>
      </c>
      <c r="B15" s="17">
        <f>2677.14/2104.42</f>
        <v>1.2721509964740878</v>
      </c>
      <c r="C15" s="18">
        <f>(2677.14-945.19)/2104.42</f>
        <v>0.82300586384847119</v>
      </c>
      <c r="D15" s="19">
        <f>218.71/(22.97+1761.63+11.83)</f>
        <v>0.12174702047950657</v>
      </c>
      <c r="E15" s="19">
        <f>218.71/4871.6</f>
        <v>4.4894901059200264E-2</v>
      </c>
      <c r="F15" s="18">
        <f>4871.6/(22.97+1761.63+11.83)</f>
        <v>2.7118228931825898</v>
      </c>
      <c r="G15" s="18">
        <f>(11.83+89.99)/22.97</f>
        <v>4.4327383543752719</v>
      </c>
      <c r="H15" s="18">
        <v>13.38</v>
      </c>
      <c r="I15" s="18">
        <f t="shared" si="1"/>
        <v>10.874439461883407</v>
      </c>
      <c r="J15" s="18">
        <f>H15/3</f>
        <v>4.46</v>
      </c>
      <c r="K15" s="20">
        <f>3/O15</f>
        <v>2.0618556701030927E-2</v>
      </c>
      <c r="L15" s="386">
        <f t="shared" si="0"/>
        <v>0.12255407374201502</v>
      </c>
      <c r="M15" s="387"/>
      <c r="O15" s="9">
        <v>145.5</v>
      </c>
    </row>
    <row r="17" spans="11:14" ht="15" thickBot="1" x14ac:dyDescent="0.4">
      <c r="K17" s="21" t="s">
        <v>19</v>
      </c>
      <c r="L17" s="21" t="s">
        <v>20</v>
      </c>
      <c r="M17" s="21" t="s">
        <v>21</v>
      </c>
      <c r="N17" s="21" t="s">
        <v>22</v>
      </c>
    </row>
    <row r="18" spans="11:14" ht="15" thickBot="1" x14ac:dyDescent="0.4">
      <c r="K18" s="22">
        <v>175.95</v>
      </c>
      <c r="L18" s="23">
        <v>3113.37</v>
      </c>
      <c r="M18" s="23">
        <v>1951.55</v>
      </c>
      <c r="N18" s="24">
        <v>699.86</v>
      </c>
    </row>
    <row r="19" spans="11:14" ht="15" thickBot="1" x14ac:dyDescent="0.4">
      <c r="K19" s="24">
        <v>44.25</v>
      </c>
      <c r="L19" s="25">
        <v>3404.49</v>
      </c>
      <c r="M19" s="25">
        <v>2157.31</v>
      </c>
      <c r="N19" s="24">
        <v>728.64</v>
      </c>
    </row>
    <row r="20" spans="11:14" ht="15" thickBot="1" x14ac:dyDescent="0.4">
      <c r="K20" s="24">
        <v>-5.96</v>
      </c>
      <c r="L20" s="25">
        <v>4045.1</v>
      </c>
      <c r="M20" s="25">
        <v>2692.63</v>
      </c>
      <c r="N20" s="24">
        <v>709.09</v>
      </c>
    </row>
    <row r="21" spans="11:14" ht="15" thickBot="1" x14ac:dyDescent="0.4">
      <c r="K21" s="24">
        <v>-20.82</v>
      </c>
      <c r="L21" s="25">
        <v>4282.3999999999996</v>
      </c>
      <c r="M21" s="25">
        <v>2829.71</v>
      </c>
      <c r="N21" s="24">
        <v>686.98</v>
      </c>
    </row>
    <row r="22" spans="11:14" ht="15" thickBot="1" x14ac:dyDescent="0.4">
      <c r="K22" s="24">
        <v>153.58000000000001</v>
      </c>
      <c r="L22" s="25">
        <v>4634.8</v>
      </c>
      <c r="M22" s="25">
        <v>2879</v>
      </c>
      <c r="N22" s="24">
        <v>751.5</v>
      </c>
    </row>
    <row r="23" spans="11:14" ht="15" thickBot="1" x14ac:dyDescent="0.4">
      <c r="K23" s="24">
        <v>168.04</v>
      </c>
      <c r="L23" s="25">
        <v>4297.3</v>
      </c>
      <c r="M23" s="25">
        <v>3086.72</v>
      </c>
      <c r="N23" s="24">
        <v>871.5</v>
      </c>
    </row>
    <row r="24" spans="11:14" ht="15" thickBot="1" x14ac:dyDescent="0.4">
      <c r="K24" s="24">
        <v>253.83</v>
      </c>
      <c r="L24" s="25">
        <v>4760.6400000000003</v>
      </c>
      <c r="M24" s="25">
        <v>3472.7</v>
      </c>
      <c r="N24" s="24">
        <v>944.54</v>
      </c>
    </row>
    <row r="25" spans="11:14" ht="15" thickBot="1" x14ac:dyDescent="0.4">
      <c r="K25" s="24">
        <v>259.44</v>
      </c>
      <c r="L25" s="25">
        <v>6738.57</v>
      </c>
      <c r="M25" s="25">
        <v>5160.3</v>
      </c>
      <c r="N25" s="25">
        <v>1077.7</v>
      </c>
    </row>
    <row r="26" spans="11:14" ht="15" thickBot="1" x14ac:dyDescent="0.4">
      <c r="K26" s="24">
        <v>22.39</v>
      </c>
      <c r="L26" s="25">
        <v>5029.72</v>
      </c>
      <c r="M26" s="25">
        <v>4558.54</v>
      </c>
      <c r="N26" s="25">
        <v>1379.26</v>
      </c>
    </row>
    <row r="27" spans="11:14" ht="15" thickBot="1" x14ac:dyDescent="0.4">
      <c r="K27" s="24">
        <v>229.42</v>
      </c>
      <c r="L27" s="25">
        <v>4645.75</v>
      </c>
      <c r="M27" s="25">
        <v>4250.09</v>
      </c>
      <c r="N27" s="25">
        <v>1604.61</v>
      </c>
    </row>
    <row r="28" spans="11:14" ht="15" thickBot="1" x14ac:dyDescent="0.4">
      <c r="K28" s="24">
        <v>218.71</v>
      </c>
      <c r="L28" s="25">
        <v>4871.6000000000004</v>
      </c>
      <c r="M28" s="25">
        <v>4013.39</v>
      </c>
      <c r="N28" s="25">
        <v>1784.6</v>
      </c>
    </row>
  </sheetData>
  <mergeCells count="17">
    <mergeCell ref="L10:M10"/>
    <mergeCell ref="A1:H1"/>
    <mergeCell ref="B3:C3"/>
    <mergeCell ref="D3:F3"/>
    <mergeCell ref="H3:K3"/>
    <mergeCell ref="L3:M3"/>
    <mergeCell ref="L4:M4"/>
    <mergeCell ref="L5:M5"/>
    <mergeCell ref="L6:M6"/>
    <mergeCell ref="L7:M7"/>
    <mergeCell ref="L8:M8"/>
    <mergeCell ref="L9:M9"/>
    <mergeCell ref="L11:M11"/>
    <mergeCell ref="L12:M12"/>
    <mergeCell ref="L13:M13"/>
    <mergeCell ref="L14:M14"/>
    <mergeCell ref="L15:M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Jeet(36)</vt:lpstr>
      <vt:lpstr>Devanshu(37)</vt:lpstr>
      <vt:lpstr>Devanshu(37)2</vt:lpstr>
      <vt:lpstr>Drishti(38)</vt:lpstr>
      <vt:lpstr>Drishti(38)2</vt:lpstr>
      <vt:lpstr>Mitali(39)</vt:lpstr>
      <vt:lpstr>Mitali(39)2</vt:lpstr>
      <vt:lpstr>Mitali(39)3</vt:lpstr>
      <vt:lpstr>Avani(40)</vt:lpstr>
      <vt:lpstr>Avani(40)2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2022-05-29T15:19:54Z</dcterms:created>
  <dcterms:modified xsi:type="dcterms:W3CDTF">2022-05-29T15:48:25Z</dcterms:modified>
</cp:coreProperties>
</file>