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fessional\IAQS\SEMESTER 5\Pricing and Reserving\project\"/>
    </mc:Choice>
  </mc:AlternateContent>
  <xr:revisionPtr revIDLastSave="0" documentId="13_ncr:1_{7B1F3BE4-9E94-40BB-A7D8-9F91ABDD62F3}" xr6:coauthVersionLast="47" xr6:coauthVersionMax="47" xr10:uidLastSave="{00000000-0000-0000-0000-000000000000}"/>
  <bookViews>
    <workbookView xWindow="20" yWindow="110" windowWidth="14290" windowHeight="10230" activeTab="1" xr2:uid="{15DA9B52-F250-4DC1-8324-58DBBF6006E4}"/>
  </bookViews>
  <sheets>
    <sheet name="IALM 2012-2014" sheetId="1" r:id="rId1"/>
    <sheet name="Parameters" sheetId="2" r:id="rId2"/>
    <sheet name="30 years" sheetId="3" r:id="rId3"/>
    <sheet name="40 years" sheetId="7" r:id="rId4"/>
    <sheet name="50 years " sheetId="8" r:id="rId5"/>
    <sheet name="Answers" sheetId="4" r:id="rId6"/>
  </sheets>
  <definedNames>
    <definedName name="fie">Parameters!$C$6</definedName>
    <definedName name="fre">Parameters!$C$10</definedName>
    <definedName name="i">Parameters!$C$16</definedName>
    <definedName name="ife">Parameters!$C$6</definedName>
    <definedName name="m">Parameters!$C$18</definedName>
    <definedName name="P_30">'30 years'!$E$4</definedName>
    <definedName name="P_40" localSheetId="3">'40 years'!$E$4</definedName>
    <definedName name="P_50" localSheetId="4">'50 years '!$E$4</definedName>
    <definedName name="pm_30">'30 years'!$E$5</definedName>
    <definedName name="pm_40" localSheetId="3">'40 years'!$E$5</definedName>
    <definedName name="pm_40">#REF!</definedName>
    <definedName name="pm_50" localSheetId="4">'50 years '!$E$5</definedName>
    <definedName name="sa">Parameters!$C$13</definedName>
    <definedName name="v">Parameters!$C$17</definedName>
    <definedName name="vie">Parameters!$C$7</definedName>
    <definedName name="vre">Parameters!$C$11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D3" i="4"/>
  <c r="C3" i="4"/>
  <c r="O9" i="8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7" i="8"/>
  <c r="J57" i="8" s="1"/>
  <c r="I58" i="8"/>
  <c r="J58" i="8" s="1"/>
  <c r="I59" i="8"/>
  <c r="J59" i="8" s="1"/>
  <c r="G50" i="8"/>
  <c r="G51" i="8"/>
  <c r="G52" i="8"/>
  <c r="G53" i="8"/>
  <c r="G54" i="8"/>
  <c r="G55" i="8"/>
  <c r="G56" i="8"/>
  <c r="G57" i="8"/>
  <c r="G58" i="8"/>
  <c r="G59" i="8"/>
  <c r="F54" i="8"/>
  <c r="F53" i="8" s="1"/>
  <c r="F52" i="8" s="1"/>
  <c r="F51" i="8" s="1"/>
  <c r="F50" i="8" s="1"/>
  <c r="F49" i="8" s="1"/>
  <c r="F58" i="8"/>
  <c r="F57" i="8" s="1"/>
  <c r="F56" i="8" s="1"/>
  <c r="F55" i="8" s="1"/>
  <c r="E50" i="8"/>
  <c r="E51" i="8"/>
  <c r="E52" i="8"/>
  <c r="E53" i="8"/>
  <c r="E54" i="8"/>
  <c r="E55" i="8"/>
  <c r="E56" i="8"/>
  <c r="E57" i="8"/>
  <c r="E58" i="8"/>
  <c r="E59" i="8"/>
  <c r="D55" i="8"/>
  <c r="D54" i="8" s="1"/>
  <c r="D53" i="8" s="1"/>
  <c r="D52" i="8" s="1"/>
  <c r="D51" i="8" s="1"/>
  <c r="D50" i="8" s="1"/>
  <c r="D49" i="8" s="1"/>
  <c r="D58" i="8"/>
  <c r="D57" i="8" s="1"/>
  <c r="D56" i="8" s="1"/>
  <c r="B50" i="8"/>
  <c r="B51" i="8"/>
  <c r="B52" i="8"/>
  <c r="B53" i="8" s="1"/>
  <c r="B54" i="8" s="1"/>
  <c r="B55" i="8" s="1"/>
  <c r="B56" i="8" s="1"/>
  <c r="B57" i="8" s="1"/>
  <c r="B58" i="8" s="1"/>
  <c r="B59" i="8" s="1"/>
  <c r="C50" i="8"/>
  <c r="C51" i="8" s="1"/>
  <c r="C52" i="8" s="1"/>
  <c r="C53" i="8" s="1"/>
  <c r="C54" i="8" s="1"/>
  <c r="C55" i="8" s="1"/>
  <c r="C56" i="8" s="1"/>
  <c r="C57" i="8" s="1"/>
  <c r="C58" i="8" s="1"/>
  <c r="C59" i="8" s="1"/>
  <c r="O12" i="8"/>
  <c r="C9" i="8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E4" i="8"/>
  <c r="H9" i="8" s="1"/>
  <c r="J9" i="8" s="1"/>
  <c r="K49" i="7"/>
  <c r="K48" i="7" s="1"/>
  <c r="K47" i="7" s="1"/>
  <c r="K46" i="7" s="1"/>
  <c r="K45" i="7" s="1"/>
  <c r="K44" i="7" s="1"/>
  <c r="K43" i="7" s="1"/>
  <c r="K42" i="7" s="1"/>
  <c r="K41" i="7" s="1"/>
  <c r="K40" i="7" s="1"/>
  <c r="I48" i="7"/>
  <c r="J48" i="7" s="1"/>
  <c r="I49" i="7"/>
  <c r="J49" i="7" s="1"/>
  <c r="G49" i="7"/>
  <c r="F48" i="7"/>
  <c r="F47" i="7" s="1"/>
  <c r="E49" i="7"/>
  <c r="D48" i="7"/>
  <c r="D47" i="7" s="1"/>
  <c r="B40" i="7"/>
  <c r="B41" i="7" s="1"/>
  <c r="B42" i="7" s="1"/>
  <c r="B43" i="7" s="1"/>
  <c r="B44" i="7" s="1"/>
  <c r="B45" i="7" s="1"/>
  <c r="B46" i="7" s="1"/>
  <c r="B47" i="7" s="1"/>
  <c r="B48" i="7" s="1"/>
  <c r="B49" i="7" s="1"/>
  <c r="C49" i="7"/>
  <c r="C40" i="7"/>
  <c r="C41" i="7" s="1"/>
  <c r="C42" i="7" s="1"/>
  <c r="C43" i="7" s="1"/>
  <c r="C44" i="7" s="1"/>
  <c r="C45" i="7" s="1"/>
  <c r="C46" i="7" s="1"/>
  <c r="C47" i="7" s="1"/>
  <c r="C48" i="7" s="1"/>
  <c r="O12" i="7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E4" i="7"/>
  <c r="H9" i="7" s="1"/>
  <c r="J9" i="7" s="1"/>
  <c r="F38" i="3"/>
  <c r="I39" i="3"/>
  <c r="O12" i="3"/>
  <c r="E39" i="3"/>
  <c r="C9" i="3"/>
  <c r="E4" i="3"/>
  <c r="K59" i="8" l="1"/>
  <c r="K58" i="8" s="1"/>
  <c r="K57" i="8" s="1"/>
  <c r="K56" i="8" s="1"/>
  <c r="K55" i="8" s="1"/>
  <c r="K54" i="8" s="1"/>
  <c r="K53" i="8" s="1"/>
  <c r="K52" i="8" s="1"/>
  <c r="K51" i="8" s="1"/>
  <c r="K50" i="8" s="1"/>
  <c r="F48" i="8"/>
  <c r="F47" i="8" s="1"/>
  <c r="F46" i="8" s="1"/>
  <c r="F45" i="8" s="1"/>
  <c r="F44" i="8" s="1"/>
  <c r="F43" i="8" s="1"/>
  <c r="F42" i="8" s="1"/>
  <c r="F41" i="8" s="1"/>
  <c r="F40" i="8" s="1"/>
  <c r="F39" i="8" s="1"/>
  <c r="F38" i="8" s="1"/>
  <c r="F37" i="8" s="1"/>
  <c r="F36" i="8" s="1"/>
  <c r="F35" i="8" s="1"/>
  <c r="F34" i="8" s="1"/>
  <c r="F33" i="8" s="1"/>
  <c r="F32" i="8" s="1"/>
  <c r="F31" i="8" s="1"/>
  <c r="F30" i="8" s="1"/>
  <c r="F29" i="8" s="1"/>
  <c r="F28" i="8" s="1"/>
  <c r="F27" i="8" s="1"/>
  <c r="F26" i="8" s="1"/>
  <c r="F25" i="8" s="1"/>
  <c r="F24" i="8" s="1"/>
  <c r="F23" i="8" s="1"/>
  <c r="F22" i="8" s="1"/>
  <c r="F21" i="8" s="1"/>
  <c r="F20" i="8" s="1"/>
  <c r="F19" i="8" s="1"/>
  <c r="F18" i="8" s="1"/>
  <c r="F17" i="8" s="1"/>
  <c r="F16" i="8" s="1"/>
  <c r="F15" i="8" s="1"/>
  <c r="F14" i="8" s="1"/>
  <c r="F13" i="8" s="1"/>
  <c r="F12" i="8" s="1"/>
  <c r="F11" i="8" s="1"/>
  <c r="F10" i="8" s="1"/>
  <c r="F9" i="8" s="1"/>
  <c r="G49" i="8"/>
  <c r="D48" i="8"/>
  <c r="D47" i="8" s="1"/>
  <c r="D46" i="8" s="1"/>
  <c r="D45" i="8" s="1"/>
  <c r="D44" i="8" s="1"/>
  <c r="D43" i="8" s="1"/>
  <c r="D42" i="8" s="1"/>
  <c r="D41" i="8" s="1"/>
  <c r="D40" i="8" s="1"/>
  <c r="D39" i="8" s="1"/>
  <c r="D38" i="8" s="1"/>
  <c r="D37" i="8" s="1"/>
  <c r="D36" i="8" s="1"/>
  <c r="D35" i="8" s="1"/>
  <c r="D34" i="8" s="1"/>
  <c r="D33" i="8" s="1"/>
  <c r="D32" i="8" s="1"/>
  <c r="D31" i="8" s="1"/>
  <c r="D30" i="8" s="1"/>
  <c r="D29" i="8" s="1"/>
  <c r="D28" i="8" s="1"/>
  <c r="D27" i="8" s="1"/>
  <c r="D26" i="8" s="1"/>
  <c r="D25" i="8" s="1"/>
  <c r="D24" i="8" s="1"/>
  <c r="D23" i="8" s="1"/>
  <c r="D22" i="8" s="1"/>
  <c r="D21" i="8" s="1"/>
  <c r="D20" i="8" s="1"/>
  <c r="D19" i="8" s="1"/>
  <c r="D18" i="8" s="1"/>
  <c r="D17" i="8" s="1"/>
  <c r="D16" i="8" s="1"/>
  <c r="D15" i="8" s="1"/>
  <c r="D14" i="8" s="1"/>
  <c r="D13" i="8" s="1"/>
  <c r="D12" i="8" s="1"/>
  <c r="D11" i="8" s="1"/>
  <c r="D10" i="8" s="1"/>
  <c r="D9" i="8" s="1"/>
  <c r="E49" i="8"/>
  <c r="I49" i="8"/>
  <c r="J49" i="8" s="1"/>
  <c r="B49" i="8"/>
  <c r="D46" i="7"/>
  <c r="I47" i="7"/>
  <c r="J47" i="7" s="1"/>
  <c r="E47" i="7"/>
  <c r="F46" i="7"/>
  <c r="G47" i="7"/>
  <c r="E48" i="7"/>
  <c r="G48" i="7"/>
  <c r="L47" i="7"/>
  <c r="L46" i="7"/>
  <c r="L42" i="7"/>
  <c r="L40" i="7"/>
  <c r="L45" i="7"/>
  <c r="L44" i="7"/>
  <c r="L48" i="7"/>
  <c r="L43" i="7"/>
  <c r="L49" i="7"/>
  <c r="L41" i="7"/>
  <c r="B39" i="7"/>
  <c r="H9" i="3"/>
  <c r="J39" i="3"/>
  <c r="G39" i="3"/>
  <c r="C18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8" i="3" s="1"/>
  <c r="E38" i="3" s="1"/>
  <c r="D53" i="1"/>
  <c r="K39" i="3" s="1"/>
  <c r="K38" i="3" s="1"/>
  <c r="K37" i="3" s="1"/>
  <c r="K36" i="3" s="1"/>
  <c r="K35" i="3" s="1"/>
  <c r="K34" i="3" s="1"/>
  <c r="K33" i="3" s="1"/>
  <c r="K32" i="3" s="1"/>
  <c r="K31" i="3" s="1"/>
  <c r="K30" i="3" s="1"/>
  <c r="K29" i="3" s="1"/>
  <c r="K28" i="3" s="1"/>
  <c r="K27" i="3" s="1"/>
  <c r="K26" i="3" s="1"/>
  <c r="K25" i="3" s="1"/>
  <c r="K24" i="3" s="1"/>
  <c r="K23" i="3" s="1"/>
  <c r="K22" i="3" s="1"/>
  <c r="K21" i="3" s="1"/>
  <c r="K20" i="3" s="1"/>
  <c r="K19" i="3" s="1"/>
  <c r="K18" i="3" s="1"/>
  <c r="K17" i="3" s="1"/>
  <c r="K16" i="3" s="1"/>
  <c r="K15" i="3" s="1"/>
  <c r="K14" i="3" s="1"/>
  <c r="K13" i="3" s="1"/>
  <c r="K12" i="3" s="1"/>
  <c r="K11" i="3" s="1"/>
  <c r="K10" i="3" s="1"/>
  <c r="K9" i="3" s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5" i="1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L52" i="8" l="1"/>
  <c r="L51" i="8"/>
  <c r="L58" i="8"/>
  <c r="L55" i="8"/>
  <c r="L56" i="8"/>
  <c r="L57" i="8"/>
  <c r="L53" i="8"/>
  <c r="L59" i="8"/>
  <c r="L50" i="8"/>
  <c r="L54" i="8"/>
  <c r="I48" i="8"/>
  <c r="J48" i="8" s="1"/>
  <c r="E48" i="8"/>
  <c r="G48" i="8"/>
  <c r="K49" i="8"/>
  <c r="F45" i="7"/>
  <c r="G46" i="7"/>
  <c r="D45" i="7"/>
  <c r="E46" i="7"/>
  <c r="I46" i="7"/>
  <c r="J46" i="7" s="1"/>
  <c r="K39" i="7"/>
  <c r="I38" i="3"/>
  <c r="L38" i="3"/>
  <c r="B39" i="3"/>
  <c r="L39" i="3" s="1"/>
  <c r="J9" i="3"/>
  <c r="C17" i="2"/>
  <c r="D44" i="7" l="1"/>
  <c r="E45" i="7"/>
  <c r="I45" i="7"/>
  <c r="J45" i="7" s="1"/>
  <c r="E47" i="8"/>
  <c r="I47" i="8"/>
  <c r="J47" i="8" s="1"/>
  <c r="F44" i="7"/>
  <c r="G45" i="7"/>
  <c r="K48" i="8"/>
  <c r="L49" i="8"/>
  <c r="G47" i="8"/>
  <c r="K38" i="7"/>
  <c r="L39" i="7"/>
  <c r="G38" i="3"/>
  <c r="L37" i="3"/>
  <c r="D37" i="3"/>
  <c r="J38" i="3"/>
  <c r="F43" i="7" l="1"/>
  <c r="G44" i="7"/>
  <c r="K47" i="8"/>
  <c r="L47" i="8" s="1"/>
  <c r="L48" i="8"/>
  <c r="D43" i="7"/>
  <c r="E44" i="7"/>
  <c r="I44" i="7"/>
  <c r="J44" i="7" s="1"/>
  <c r="E46" i="8"/>
  <c r="I46" i="8"/>
  <c r="J46" i="8" s="1"/>
  <c r="G46" i="8"/>
  <c r="K37" i="7"/>
  <c r="L38" i="7"/>
  <c r="E37" i="3"/>
  <c r="I37" i="3"/>
  <c r="J37" i="3" s="1"/>
  <c r="F37" i="3"/>
  <c r="F36" i="3" s="1"/>
  <c r="L36" i="3"/>
  <c r="D36" i="3"/>
  <c r="D42" i="7" l="1"/>
  <c r="E43" i="7"/>
  <c r="I43" i="7"/>
  <c r="J43" i="7" s="1"/>
  <c r="G45" i="8"/>
  <c r="K46" i="8"/>
  <c r="L46" i="8" s="1"/>
  <c r="I45" i="8"/>
  <c r="J45" i="8" s="1"/>
  <c r="E45" i="8"/>
  <c r="F42" i="7"/>
  <c r="G43" i="7"/>
  <c r="K36" i="7"/>
  <c r="L37" i="7"/>
  <c r="I36" i="3"/>
  <c r="J36" i="3" s="1"/>
  <c r="E36" i="3"/>
  <c r="G37" i="3"/>
  <c r="L35" i="3"/>
  <c r="D35" i="3"/>
  <c r="G36" i="3"/>
  <c r="F35" i="3"/>
  <c r="I44" i="8" l="1"/>
  <c r="J44" i="8" s="1"/>
  <c r="E44" i="8"/>
  <c r="K45" i="8"/>
  <c r="L45" i="8" s="1"/>
  <c r="G44" i="8"/>
  <c r="D41" i="7"/>
  <c r="E42" i="7"/>
  <c r="I42" i="7"/>
  <c r="J42" i="7" s="1"/>
  <c r="F41" i="7"/>
  <c r="G42" i="7"/>
  <c r="K35" i="7"/>
  <c r="L35" i="7" s="1"/>
  <c r="L36" i="7"/>
  <c r="I35" i="3"/>
  <c r="J35" i="3" s="1"/>
  <c r="E35" i="3"/>
  <c r="L34" i="3"/>
  <c r="F34" i="3"/>
  <c r="G35" i="3"/>
  <c r="D34" i="3"/>
  <c r="F40" i="7" l="1"/>
  <c r="G41" i="7"/>
  <c r="E43" i="8"/>
  <c r="I43" i="8"/>
  <c r="J43" i="8" s="1"/>
  <c r="D40" i="7"/>
  <c r="I41" i="7"/>
  <c r="J41" i="7" s="1"/>
  <c r="E41" i="7"/>
  <c r="G43" i="8"/>
  <c r="K44" i="8"/>
  <c r="K34" i="7"/>
  <c r="I34" i="3"/>
  <c r="J34" i="3" s="1"/>
  <c r="E34" i="3"/>
  <c r="L33" i="3"/>
  <c r="D33" i="3"/>
  <c r="F33" i="3"/>
  <c r="G34" i="3"/>
  <c r="D39" i="7" l="1"/>
  <c r="E40" i="7"/>
  <c r="I40" i="7"/>
  <c r="J40" i="7" s="1"/>
  <c r="E42" i="8"/>
  <c r="I42" i="8"/>
  <c r="J42" i="8" s="1"/>
  <c r="K43" i="8"/>
  <c r="L43" i="8" s="1"/>
  <c r="L44" i="8"/>
  <c r="G42" i="8"/>
  <c r="F39" i="7"/>
  <c r="G40" i="7"/>
  <c r="K33" i="7"/>
  <c r="L33" i="7" s="1"/>
  <c r="L34" i="7"/>
  <c r="I33" i="3"/>
  <c r="J33" i="3" s="1"/>
  <c r="E33" i="3"/>
  <c r="L32" i="3"/>
  <c r="F32" i="3"/>
  <c r="G33" i="3"/>
  <c r="D32" i="3"/>
  <c r="I41" i="8" l="1"/>
  <c r="J41" i="8" s="1"/>
  <c r="E41" i="8"/>
  <c r="F38" i="7"/>
  <c r="G39" i="7"/>
  <c r="G41" i="8"/>
  <c r="K42" i="8"/>
  <c r="L42" i="8" s="1"/>
  <c r="E39" i="7"/>
  <c r="I39" i="7"/>
  <c r="J39" i="7" s="1"/>
  <c r="D38" i="7"/>
  <c r="K32" i="7"/>
  <c r="I32" i="3"/>
  <c r="J32" i="3" s="1"/>
  <c r="E32" i="3"/>
  <c r="L31" i="3"/>
  <c r="D31" i="3"/>
  <c r="F31" i="3"/>
  <c r="G32" i="3"/>
  <c r="G40" i="8" l="1"/>
  <c r="D37" i="7"/>
  <c r="I38" i="7"/>
  <c r="J38" i="7" s="1"/>
  <c r="E38" i="7"/>
  <c r="F37" i="7"/>
  <c r="G38" i="7"/>
  <c r="I40" i="8"/>
  <c r="J40" i="8" s="1"/>
  <c r="E40" i="8"/>
  <c r="K41" i="8"/>
  <c r="L41" i="8" s="1"/>
  <c r="K31" i="7"/>
  <c r="L31" i="7" s="1"/>
  <c r="L32" i="7"/>
  <c r="E31" i="3"/>
  <c r="I31" i="3"/>
  <c r="J31" i="3" s="1"/>
  <c r="L30" i="3"/>
  <c r="F30" i="3"/>
  <c r="G31" i="3"/>
  <c r="D30" i="3"/>
  <c r="F36" i="7" l="1"/>
  <c r="G37" i="7"/>
  <c r="E39" i="8"/>
  <c r="I39" i="8"/>
  <c r="J39" i="8" s="1"/>
  <c r="D36" i="7"/>
  <c r="E37" i="7"/>
  <c r="I37" i="7"/>
  <c r="J37" i="7" s="1"/>
  <c r="K40" i="8"/>
  <c r="G39" i="8"/>
  <c r="K30" i="7"/>
  <c r="L30" i="7" s="1"/>
  <c r="E30" i="3"/>
  <c r="I30" i="3"/>
  <c r="J30" i="3" s="1"/>
  <c r="L29" i="3"/>
  <c r="F29" i="3"/>
  <c r="G30" i="3"/>
  <c r="D29" i="3"/>
  <c r="D35" i="7" l="1"/>
  <c r="E36" i="7"/>
  <c r="I36" i="7"/>
  <c r="J36" i="7" s="1"/>
  <c r="E38" i="8"/>
  <c r="I38" i="8"/>
  <c r="J38" i="8" s="1"/>
  <c r="G38" i="8"/>
  <c r="K39" i="8"/>
  <c r="L40" i="8"/>
  <c r="F35" i="7"/>
  <c r="G36" i="7"/>
  <c r="K29" i="7"/>
  <c r="E29" i="3"/>
  <c r="I29" i="3"/>
  <c r="J29" i="3" s="1"/>
  <c r="L28" i="3"/>
  <c r="F28" i="3"/>
  <c r="G29" i="3"/>
  <c r="D28" i="3"/>
  <c r="G37" i="8" l="1"/>
  <c r="I37" i="8"/>
  <c r="J37" i="8" s="1"/>
  <c r="E37" i="8"/>
  <c r="F34" i="7"/>
  <c r="G35" i="7"/>
  <c r="K38" i="8"/>
  <c r="L38" i="8" s="1"/>
  <c r="L39" i="8"/>
  <c r="D34" i="7"/>
  <c r="E35" i="7"/>
  <c r="I35" i="7"/>
  <c r="J35" i="7" s="1"/>
  <c r="K28" i="7"/>
  <c r="L29" i="7"/>
  <c r="I28" i="3"/>
  <c r="J28" i="3" s="1"/>
  <c r="E28" i="3"/>
  <c r="L27" i="3"/>
  <c r="F27" i="3"/>
  <c r="G28" i="3"/>
  <c r="D27" i="3"/>
  <c r="F33" i="7" l="1"/>
  <c r="G34" i="7"/>
  <c r="I36" i="8"/>
  <c r="J36" i="8" s="1"/>
  <c r="E36" i="8"/>
  <c r="D33" i="7"/>
  <c r="I34" i="7"/>
  <c r="J34" i="7" s="1"/>
  <c r="E34" i="7"/>
  <c r="G36" i="8"/>
  <c r="K37" i="8"/>
  <c r="L37" i="8" s="1"/>
  <c r="K27" i="7"/>
  <c r="L28" i="7"/>
  <c r="I27" i="3"/>
  <c r="J27" i="3" s="1"/>
  <c r="E27" i="3"/>
  <c r="L26" i="3"/>
  <c r="D26" i="3"/>
  <c r="F26" i="3"/>
  <c r="G27" i="3"/>
  <c r="D32" i="7" l="1"/>
  <c r="I33" i="7"/>
  <c r="J33" i="7" s="1"/>
  <c r="E33" i="7"/>
  <c r="E35" i="8"/>
  <c r="I35" i="8"/>
  <c r="J35" i="8" s="1"/>
  <c r="K36" i="8"/>
  <c r="L36" i="8" s="1"/>
  <c r="G35" i="8"/>
  <c r="F32" i="7"/>
  <c r="G33" i="7"/>
  <c r="K26" i="7"/>
  <c r="L27" i="7"/>
  <c r="I26" i="3"/>
  <c r="J26" i="3" s="1"/>
  <c r="E26" i="3"/>
  <c r="L25" i="3"/>
  <c r="F25" i="3"/>
  <c r="G26" i="3"/>
  <c r="D25" i="3"/>
  <c r="K35" i="8" l="1"/>
  <c r="E34" i="8"/>
  <c r="I34" i="8"/>
  <c r="J34" i="8" s="1"/>
  <c r="F31" i="7"/>
  <c r="G32" i="7"/>
  <c r="G34" i="8"/>
  <c r="D31" i="7"/>
  <c r="E32" i="7"/>
  <c r="I32" i="7"/>
  <c r="J32" i="7" s="1"/>
  <c r="K25" i="7"/>
  <c r="L26" i="7"/>
  <c r="I25" i="3"/>
  <c r="J25" i="3" s="1"/>
  <c r="E25" i="3"/>
  <c r="L24" i="3"/>
  <c r="D24" i="3"/>
  <c r="F24" i="3"/>
  <c r="G25" i="3"/>
  <c r="F30" i="7" l="1"/>
  <c r="G31" i="7"/>
  <c r="I33" i="8"/>
  <c r="J33" i="8" s="1"/>
  <c r="E33" i="8"/>
  <c r="K34" i="8"/>
  <c r="D30" i="7"/>
  <c r="I31" i="7"/>
  <c r="J31" i="7" s="1"/>
  <c r="E31" i="7"/>
  <c r="G33" i="8"/>
  <c r="L35" i="8"/>
  <c r="K24" i="7"/>
  <c r="L25" i="7"/>
  <c r="I24" i="3"/>
  <c r="J24" i="3" s="1"/>
  <c r="E24" i="3"/>
  <c r="L23" i="3"/>
  <c r="D23" i="3"/>
  <c r="F23" i="3"/>
  <c r="G24" i="3"/>
  <c r="K33" i="8" l="1"/>
  <c r="L33" i="8" s="1"/>
  <c r="L34" i="8"/>
  <c r="I32" i="8"/>
  <c r="J32" i="8" s="1"/>
  <c r="E32" i="8"/>
  <c r="G32" i="8"/>
  <c r="D29" i="7"/>
  <c r="E30" i="7"/>
  <c r="I30" i="7"/>
  <c r="J30" i="7" s="1"/>
  <c r="F29" i="7"/>
  <c r="G30" i="7"/>
  <c r="K23" i="7"/>
  <c r="L23" i="7" s="1"/>
  <c r="L24" i="7"/>
  <c r="E23" i="3"/>
  <c r="I23" i="3"/>
  <c r="J23" i="3" s="1"/>
  <c r="L22" i="3"/>
  <c r="D22" i="3"/>
  <c r="F22" i="3"/>
  <c r="G23" i="3"/>
  <c r="E31" i="8" l="1"/>
  <c r="I31" i="8"/>
  <c r="J31" i="8" s="1"/>
  <c r="G31" i="8"/>
  <c r="F28" i="7"/>
  <c r="G29" i="7"/>
  <c r="D28" i="7"/>
  <c r="E29" i="7"/>
  <c r="I29" i="7"/>
  <c r="J29" i="7" s="1"/>
  <c r="K32" i="8"/>
  <c r="L32" i="8" s="1"/>
  <c r="K22" i="7"/>
  <c r="E22" i="3"/>
  <c r="I22" i="3"/>
  <c r="J22" i="3" s="1"/>
  <c r="L21" i="3"/>
  <c r="F21" i="3"/>
  <c r="G22" i="3"/>
  <c r="D21" i="3"/>
  <c r="F27" i="7" l="1"/>
  <c r="G28" i="7"/>
  <c r="D27" i="7"/>
  <c r="I28" i="7"/>
  <c r="J28" i="7" s="1"/>
  <c r="E28" i="7"/>
  <c r="G30" i="8"/>
  <c r="E30" i="8"/>
  <c r="I30" i="8"/>
  <c r="J30" i="8" s="1"/>
  <c r="K31" i="8"/>
  <c r="K21" i="7"/>
  <c r="L22" i="7"/>
  <c r="E21" i="3"/>
  <c r="I21" i="3"/>
  <c r="J21" i="3" s="1"/>
  <c r="L20" i="3"/>
  <c r="D20" i="3"/>
  <c r="F20" i="3"/>
  <c r="G21" i="3"/>
  <c r="G29" i="8" l="1"/>
  <c r="K30" i="8"/>
  <c r="D26" i="7"/>
  <c r="E27" i="7"/>
  <c r="I27" i="7"/>
  <c r="J27" i="7" s="1"/>
  <c r="L31" i="8"/>
  <c r="I29" i="8"/>
  <c r="J29" i="8" s="1"/>
  <c r="E29" i="8"/>
  <c r="F26" i="7"/>
  <c r="G27" i="7"/>
  <c r="K20" i="7"/>
  <c r="L21" i="7"/>
  <c r="I20" i="3"/>
  <c r="J20" i="3" s="1"/>
  <c r="E20" i="3"/>
  <c r="L19" i="3"/>
  <c r="F19" i="3"/>
  <c r="G20" i="3"/>
  <c r="D19" i="3"/>
  <c r="D25" i="7" l="1"/>
  <c r="I26" i="7"/>
  <c r="J26" i="7" s="1"/>
  <c r="E26" i="7"/>
  <c r="K29" i="8"/>
  <c r="I28" i="8"/>
  <c r="J28" i="8" s="1"/>
  <c r="E28" i="8"/>
  <c r="L30" i="8"/>
  <c r="F25" i="7"/>
  <c r="G26" i="7"/>
  <c r="G28" i="8"/>
  <c r="K19" i="7"/>
  <c r="L20" i="7"/>
  <c r="E19" i="3"/>
  <c r="I19" i="3"/>
  <c r="J19" i="3" s="1"/>
  <c r="L18" i="3"/>
  <c r="F18" i="3"/>
  <c r="G19" i="3"/>
  <c r="D18" i="3"/>
  <c r="E27" i="8" l="1"/>
  <c r="I27" i="8"/>
  <c r="J27" i="8" s="1"/>
  <c r="K28" i="8"/>
  <c r="G27" i="8"/>
  <c r="L29" i="8"/>
  <c r="F24" i="7"/>
  <c r="G25" i="7"/>
  <c r="D24" i="7"/>
  <c r="E25" i="7"/>
  <c r="I25" i="7"/>
  <c r="J25" i="7" s="1"/>
  <c r="K18" i="7"/>
  <c r="L19" i="7"/>
  <c r="I18" i="3"/>
  <c r="J18" i="3" s="1"/>
  <c r="E18" i="3"/>
  <c r="L17" i="3"/>
  <c r="D17" i="3"/>
  <c r="F17" i="3"/>
  <c r="G18" i="3"/>
  <c r="G26" i="8" l="1"/>
  <c r="K27" i="8"/>
  <c r="L28" i="8"/>
  <c r="D23" i="7"/>
  <c r="I24" i="7"/>
  <c r="J24" i="7" s="1"/>
  <c r="E24" i="7"/>
  <c r="E26" i="8"/>
  <c r="I26" i="8"/>
  <c r="J26" i="8" s="1"/>
  <c r="F23" i="7"/>
  <c r="G24" i="7"/>
  <c r="K17" i="7"/>
  <c r="L18" i="7"/>
  <c r="I17" i="3"/>
  <c r="J17" i="3" s="1"/>
  <c r="E17" i="3"/>
  <c r="L16" i="3"/>
  <c r="F16" i="3"/>
  <c r="G17" i="3"/>
  <c r="D16" i="3"/>
  <c r="D22" i="7" l="1"/>
  <c r="E23" i="7"/>
  <c r="I23" i="7"/>
  <c r="J23" i="7" s="1"/>
  <c r="K26" i="8"/>
  <c r="L27" i="8"/>
  <c r="F22" i="7"/>
  <c r="G23" i="7"/>
  <c r="G25" i="8"/>
  <c r="I25" i="8"/>
  <c r="J25" i="8" s="1"/>
  <c r="E25" i="8"/>
  <c r="K16" i="7"/>
  <c r="L16" i="7" s="1"/>
  <c r="L17" i="7"/>
  <c r="I16" i="3"/>
  <c r="J16" i="3" s="1"/>
  <c r="E16" i="3"/>
  <c r="L15" i="3"/>
  <c r="D15" i="3"/>
  <c r="F15" i="3"/>
  <c r="G16" i="3"/>
  <c r="F21" i="7" l="1"/>
  <c r="G22" i="7"/>
  <c r="K25" i="8"/>
  <c r="I24" i="8"/>
  <c r="J24" i="8" s="1"/>
  <c r="E24" i="8"/>
  <c r="L26" i="8"/>
  <c r="G24" i="8"/>
  <c r="D21" i="7"/>
  <c r="I22" i="7"/>
  <c r="J22" i="7" s="1"/>
  <c r="E22" i="7"/>
  <c r="K15" i="7"/>
  <c r="E15" i="3"/>
  <c r="I15" i="3"/>
  <c r="J15" i="3" s="1"/>
  <c r="L14" i="3"/>
  <c r="F14" i="3"/>
  <c r="G15" i="3"/>
  <c r="D14" i="3"/>
  <c r="E23" i="8" l="1"/>
  <c r="I23" i="8"/>
  <c r="J23" i="8" s="1"/>
  <c r="K24" i="8"/>
  <c r="L24" i="8" s="1"/>
  <c r="D20" i="7"/>
  <c r="E21" i="7"/>
  <c r="I21" i="7"/>
  <c r="J21" i="7" s="1"/>
  <c r="L25" i="8"/>
  <c r="G23" i="8"/>
  <c r="F20" i="7"/>
  <c r="G21" i="7"/>
  <c r="K14" i="7"/>
  <c r="L14" i="7" s="1"/>
  <c r="L15" i="7"/>
  <c r="E14" i="3"/>
  <c r="I14" i="3"/>
  <c r="J14" i="3" s="1"/>
  <c r="L13" i="3"/>
  <c r="D13" i="3"/>
  <c r="F13" i="3"/>
  <c r="G14" i="3"/>
  <c r="F19" i="7" l="1"/>
  <c r="G20" i="7"/>
  <c r="D19" i="7"/>
  <c r="E20" i="7"/>
  <c r="I20" i="7"/>
  <c r="J20" i="7" s="1"/>
  <c r="K23" i="8"/>
  <c r="E22" i="8"/>
  <c r="I22" i="8"/>
  <c r="J22" i="8" s="1"/>
  <c r="G22" i="8"/>
  <c r="K13" i="7"/>
  <c r="E13" i="3"/>
  <c r="I13" i="3"/>
  <c r="J13" i="3" s="1"/>
  <c r="L12" i="3"/>
  <c r="F12" i="3"/>
  <c r="G13" i="3"/>
  <c r="D12" i="3"/>
  <c r="K22" i="8" l="1"/>
  <c r="L23" i="8"/>
  <c r="D18" i="7"/>
  <c r="I19" i="7"/>
  <c r="J19" i="7" s="1"/>
  <c r="E19" i="7"/>
  <c r="G21" i="8"/>
  <c r="I21" i="8"/>
  <c r="J21" i="8" s="1"/>
  <c r="E21" i="8"/>
  <c r="F18" i="7"/>
  <c r="G19" i="7"/>
  <c r="K12" i="7"/>
  <c r="L12" i="7" s="1"/>
  <c r="L13" i="7"/>
  <c r="I12" i="3"/>
  <c r="J12" i="3" s="1"/>
  <c r="E12" i="3"/>
  <c r="L11" i="3"/>
  <c r="D11" i="3"/>
  <c r="F11" i="3"/>
  <c r="G12" i="3"/>
  <c r="G20" i="8" l="1"/>
  <c r="D17" i="7"/>
  <c r="I18" i="7"/>
  <c r="J18" i="7" s="1"/>
  <c r="E18" i="7"/>
  <c r="K21" i="8"/>
  <c r="F17" i="7"/>
  <c r="G18" i="7"/>
  <c r="I20" i="8"/>
  <c r="J20" i="8" s="1"/>
  <c r="E20" i="8"/>
  <c r="L22" i="8"/>
  <c r="K11" i="7"/>
  <c r="I11" i="3"/>
  <c r="J11" i="3" s="1"/>
  <c r="E11" i="3"/>
  <c r="L10" i="3"/>
  <c r="F10" i="3"/>
  <c r="F9" i="3" s="1"/>
  <c r="G11" i="3"/>
  <c r="D10" i="3"/>
  <c r="F16" i="7" l="1"/>
  <c r="G17" i="7"/>
  <c r="K20" i="8"/>
  <c r="L21" i="8"/>
  <c r="E19" i="8"/>
  <c r="I19" i="8"/>
  <c r="J19" i="8" s="1"/>
  <c r="G19" i="8"/>
  <c r="D16" i="7"/>
  <c r="E17" i="7"/>
  <c r="I17" i="7"/>
  <c r="J17" i="7" s="1"/>
  <c r="K10" i="7"/>
  <c r="L10" i="7" s="1"/>
  <c r="L11" i="7"/>
  <c r="I10" i="3"/>
  <c r="J10" i="3" s="1"/>
  <c r="O10" i="3" s="1"/>
  <c r="D9" i="3"/>
  <c r="E9" i="3" s="1"/>
  <c r="E10" i="3"/>
  <c r="L9" i="3"/>
  <c r="G9" i="3"/>
  <c r="G10" i="3"/>
  <c r="E18" i="8" l="1"/>
  <c r="I18" i="8"/>
  <c r="J18" i="8" s="1"/>
  <c r="K19" i="8"/>
  <c r="D15" i="7"/>
  <c r="E16" i="7"/>
  <c r="I16" i="7"/>
  <c r="J16" i="7" s="1"/>
  <c r="L20" i="8"/>
  <c r="G18" i="8"/>
  <c r="F15" i="7"/>
  <c r="G16" i="7"/>
  <c r="K9" i="7"/>
  <c r="L9" i="7" s="1"/>
  <c r="O9" i="3"/>
  <c r="O8" i="3"/>
  <c r="D14" i="7" l="1"/>
  <c r="I15" i="7"/>
  <c r="J15" i="7" s="1"/>
  <c r="E15" i="7"/>
  <c r="K18" i="8"/>
  <c r="F14" i="7"/>
  <c r="G15" i="7"/>
  <c r="L19" i="8"/>
  <c r="G17" i="8"/>
  <c r="I17" i="8"/>
  <c r="J17" i="8" s="1"/>
  <c r="E17" i="8"/>
  <c r="O11" i="3"/>
  <c r="K17" i="8" l="1"/>
  <c r="F13" i="7"/>
  <c r="G14" i="7"/>
  <c r="L18" i="8"/>
  <c r="I16" i="8"/>
  <c r="J16" i="8" s="1"/>
  <c r="E16" i="8"/>
  <c r="G16" i="8"/>
  <c r="D13" i="7"/>
  <c r="E14" i="7"/>
  <c r="I14" i="7"/>
  <c r="J14" i="7" s="1"/>
  <c r="E15" i="8" l="1"/>
  <c r="I15" i="8"/>
  <c r="J15" i="8" s="1"/>
  <c r="D12" i="7"/>
  <c r="E13" i="7"/>
  <c r="I13" i="7"/>
  <c r="J13" i="7" s="1"/>
  <c r="F12" i="7"/>
  <c r="G13" i="7"/>
  <c r="G15" i="8"/>
  <c r="K16" i="8"/>
  <c r="L17" i="8"/>
  <c r="F11" i="7" l="1"/>
  <c r="G12" i="7"/>
  <c r="K15" i="8"/>
  <c r="D11" i="7"/>
  <c r="E12" i="7"/>
  <c r="I12" i="7"/>
  <c r="J12" i="7" s="1"/>
  <c r="L16" i="8"/>
  <c r="E14" i="8"/>
  <c r="I14" i="8"/>
  <c r="J14" i="8" s="1"/>
  <c r="G14" i="8"/>
  <c r="G13" i="8" l="1"/>
  <c r="D10" i="7"/>
  <c r="E11" i="7"/>
  <c r="I11" i="7"/>
  <c r="J11" i="7" s="1"/>
  <c r="K14" i="8"/>
  <c r="L15" i="8"/>
  <c r="I13" i="8"/>
  <c r="J13" i="8" s="1"/>
  <c r="E13" i="8"/>
  <c r="F10" i="7"/>
  <c r="G11" i="7"/>
  <c r="K13" i="8" l="1"/>
  <c r="L14" i="8"/>
  <c r="F9" i="7"/>
  <c r="G9" i="7" s="1"/>
  <c r="O9" i="7" s="1"/>
  <c r="G10" i="7"/>
  <c r="D9" i="7"/>
  <c r="E9" i="7" s="1"/>
  <c r="O8" i="7" s="1"/>
  <c r="I10" i="7"/>
  <c r="J10" i="7" s="1"/>
  <c r="O10" i="7" s="1"/>
  <c r="E10" i="7"/>
  <c r="G12" i="8"/>
  <c r="I12" i="8"/>
  <c r="J12" i="8" s="1"/>
  <c r="E12" i="8"/>
  <c r="O11" i="7" l="1"/>
  <c r="E11" i="8"/>
  <c r="I11" i="8"/>
  <c r="J11" i="8" s="1"/>
  <c r="K12" i="8"/>
  <c r="L12" i="8" s="1"/>
  <c r="G11" i="8"/>
  <c r="L13" i="8"/>
  <c r="K11" i="8" l="1"/>
  <c r="E9" i="8"/>
  <c r="I10" i="8"/>
  <c r="J10" i="8" s="1"/>
  <c r="O10" i="8" s="1"/>
  <c r="E10" i="8"/>
  <c r="G10" i="8"/>
  <c r="G9" i="8"/>
  <c r="O8" i="8" l="1"/>
  <c r="O11" i="8" s="1"/>
  <c r="K10" i="8"/>
  <c r="L10" i="8" s="1"/>
  <c r="L11" i="8"/>
  <c r="K9" i="8" l="1"/>
  <c r="L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tc={1062D554-3566-4237-B5D8-83CEAAA53262}</author>
  </authors>
  <commentList>
    <comment ref="D4" authorId="0" shapeId="0" xr:uid="{1062D554-3566-4237-B5D8-83CEAAA5326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calculated.</t>
      </text>
    </comment>
  </commentList>
</comments>
</file>

<file path=xl/sharedStrings.xml><?xml version="1.0" encoding="utf-8"?>
<sst xmlns="http://schemas.openxmlformats.org/spreadsheetml/2006/main" count="100" uniqueCount="56">
  <si>
    <t xml:space="preserve">Age </t>
  </si>
  <si>
    <t>qx</t>
  </si>
  <si>
    <t>Product</t>
  </si>
  <si>
    <t>Term Assurance</t>
  </si>
  <si>
    <t>Initial Expenses</t>
  </si>
  <si>
    <t>Fixed</t>
  </si>
  <si>
    <t>Variable</t>
  </si>
  <si>
    <t>Renewal Expenses</t>
  </si>
  <si>
    <t>Monthly Premium</t>
  </si>
  <si>
    <t>Sum Assured</t>
  </si>
  <si>
    <t>Current Age</t>
  </si>
  <si>
    <t>Monthly Premium (pm)</t>
  </si>
  <si>
    <t>Remaining Term</t>
  </si>
  <si>
    <t>Annuity Due factor</t>
  </si>
  <si>
    <t>Term Assurance factor</t>
  </si>
  <si>
    <t>EPV of Income</t>
  </si>
  <si>
    <t>EPV of benefits</t>
  </si>
  <si>
    <t>EPV of initial expenses</t>
  </si>
  <si>
    <t>EPV of total expenses</t>
  </si>
  <si>
    <t>Total EPV of Income</t>
  </si>
  <si>
    <t>Total EPV of Benefits</t>
  </si>
  <si>
    <t>Total EPV of total expenses</t>
  </si>
  <si>
    <t>Net EPV</t>
  </si>
  <si>
    <t>Reserves</t>
  </si>
  <si>
    <t>Cost of Increase in Reserves</t>
  </si>
  <si>
    <t>EPV of renewable expenses</t>
  </si>
  <si>
    <t>Mortality assumption is taken as IALM 2012-2014 tables</t>
  </si>
  <si>
    <t>source: http://www.actuariesindia.org/publication/Indian_Assured_Lives_Mortality_(2012-14)_Ult._(IALM_2012-14).pdf</t>
  </si>
  <si>
    <t>px</t>
  </si>
  <si>
    <t>Mortality Assumption</t>
  </si>
  <si>
    <t>IALM 2012-2014</t>
  </si>
  <si>
    <t>of Annual Premium</t>
  </si>
  <si>
    <t>*Assumption</t>
  </si>
  <si>
    <t>* Monthly Assumption</t>
  </si>
  <si>
    <t>of Monthly Premium</t>
  </si>
  <si>
    <t>Premium paying term</t>
  </si>
  <si>
    <t>full term; monthly in advance</t>
  </si>
  <si>
    <t>Discounting Factor (v)</t>
  </si>
  <si>
    <t>Interest Rate (i)</t>
  </si>
  <si>
    <t>Monthly Conversion Factor</t>
  </si>
  <si>
    <t>Annual Premium (P)</t>
  </si>
  <si>
    <t>Products</t>
  </si>
  <si>
    <t>30, 40 &amp; 50 years</t>
  </si>
  <si>
    <t>*Every currency is in INR</t>
  </si>
  <si>
    <t>TERM ASSURANCE PRODUCT WITH A TERM OF 30 YEARS</t>
  </si>
  <si>
    <t>Term</t>
  </si>
  <si>
    <t>TERM ASSURANCE PRODUCT WITH A TERM OF 40 YEARS</t>
  </si>
  <si>
    <t>TERM ASSURANCE PRODUCT WITH A TERM OF 50 YEARS</t>
  </si>
  <si>
    <t>30 years</t>
  </si>
  <si>
    <t>40 years</t>
  </si>
  <si>
    <t>50 years</t>
  </si>
  <si>
    <t>Annual Reserves at all durations : present in respective tab</t>
  </si>
  <si>
    <t>Cost of Increase in reserves at all durations: present in respective tab</t>
  </si>
  <si>
    <t>Reserves Graph comparing with each term products : see below</t>
  </si>
  <si>
    <t>*Formula from tables</t>
  </si>
  <si>
    <t>*Since m is 12 here, the monthly conversion factor as per the table book is 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</si>
</sst>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_(* #,##0.00000_);_(* \(#,##0.00000\);_(* &quot;-&quot;??_);_(@_)"/>
    <numFmt numFmtId="167" formatCode="_(* #,##0.000000_);_(* \(#,##0.00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181818"/>
      <name val="Arial"/>
      <family val="2"/>
    </font>
    <font>
      <sz val="11"/>
      <color rgb="FF151515"/>
      <name val="Arial"/>
      <family val="2"/>
    </font>
    <font>
      <sz val="11"/>
      <color rgb="FF000000"/>
      <name val="Arial"/>
      <family val="2"/>
    </font>
    <font>
      <sz val="11"/>
      <color rgb="FF0F0F0F"/>
      <name val="Arial"/>
      <family val="2"/>
    </font>
    <font>
      <sz val="11"/>
      <color rgb="FF131313"/>
      <name val="Arial"/>
      <family val="2"/>
    </font>
    <font>
      <sz val="11"/>
      <color rgb="FF161616"/>
      <name val="Arial"/>
      <family val="2"/>
    </font>
    <font>
      <sz val="11"/>
      <color rgb="FF0A0A0A"/>
      <name val="Arial"/>
      <family val="2"/>
    </font>
    <font>
      <sz val="11"/>
      <color rgb="FF0C0C0C"/>
      <name val="Arial"/>
      <family val="2"/>
    </font>
    <font>
      <sz val="11"/>
      <color rgb="FF1F1F1F"/>
      <name val="Arial"/>
      <family val="2"/>
    </font>
    <font>
      <sz val="11"/>
      <color rgb="FF1C1C1C"/>
      <name val="Arial"/>
      <family val="2"/>
    </font>
    <font>
      <sz val="11"/>
      <color rgb="FF232323"/>
      <name val="Arial"/>
      <family val="2"/>
    </font>
    <font>
      <sz val="11"/>
      <color rgb="FF1A1A1A"/>
      <name val="Arial"/>
      <family val="2"/>
    </font>
    <font>
      <sz val="11"/>
      <color rgb="FF0E0E0E"/>
      <name val="Arial"/>
      <family val="2"/>
    </font>
    <font>
      <sz val="11"/>
      <color rgb="FF111111"/>
      <name val="Arial"/>
      <family val="2"/>
    </font>
    <font>
      <sz val="11"/>
      <color rgb="FF242424"/>
      <name val="Arial"/>
      <family val="2"/>
    </font>
    <font>
      <sz val="11"/>
      <color rgb="FF4B4B4B"/>
      <name val="Arial"/>
      <family val="2"/>
    </font>
    <font>
      <sz val="11"/>
      <color rgb="FF212121"/>
      <name val="Arial"/>
      <family val="2"/>
    </font>
    <font>
      <sz val="11"/>
      <color rgb="FF1D1D1D"/>
      <name val="Arial"/>
      <family val="2"/>
    </font>
    <font>
      <sz val="11"/>
      <color rgb="FF050505"/>
      <name val="Arial"/>
      <family val="2"/>
    </font>
    <font>
      <sz val="11"/>
      <color rgb="FF2A2A2A"/>
      <name val="Arial"/>
      <family val="2"/>
    </font>
    <font>
      <sz val="11"/>
      <color rgb="FF343434"/>
      <name val="Arial"/>
      <family val="2"/>
    </font>
    <font>
      <sz val="11"/>
      <color rgb="FF080808"/>
      <name val="Arial"/>
      <family val="2"/>
    </font>
    <font>
      <sz val="11"/>
      <color rgb="FF282828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sz val="11"/>
      <color rgb="FF262626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2" borderId="1" applyNumberFormat="0" applyAlignment="0" applyProtection="0"/>
  </cellStyleXfs>
  <cellXfs count="85">
    <xf numFmtId="0" fontId="0" fillId="0" borderId="0" xfId="0"/>
    <xf numFmtId="0" fontId="29" fillId="0" borderId="0" xfId="0" applyFont="1"/>
    <xf numFmtId="9" fontId="0" fillId="0" borderId="0" xfId="0" applyNumberFormat="1"/>
    <xf numFmtId="0" fontId="30" fillId="0" borderId="0" xfId="0" applyFont="1"/>
    <xf numFmtId="0" fontId="2" fillId="2" borderId="2" xfId="2"/>
    <xf numFmtId="0" fontId="2" fillId="2" borderId="4" xfId="2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shrinkToFit="1"/>
    </xf>
    <xf numFmtId="1" fontId="9" fillId="0" borderId="3" xfId="0" applyNumberFormat="1" applyFont="1" applyBorder="1" applyAlignment="1">
      <alignment horizontal="center" vertical="top" shrinkToFit="1"/>
    </xf>
    <xf numFmtId="1" fontId="10" fillId="0" borderId="3" xfId="0" applyNumberFormat="1" applyFont="1" applyBorder="1" applyAlignment="1">
      <alignment horizontal="center" vertical="top" shrinkToFit="1"/>
    </xf>
    <xf numFmtId="164" fontId="11" fillId="0" borderId="3" xfId="0" applyNumberFormat="1" applyFont="1" applyBorder="1" applyAlignment="1">
      <alignment horizontal="center" vertical="top" shrinkToFit="1"/>
    </xf>
    <xf numFmtId="1" fontId="12" fillId="0" borderId="3" xfId="0" applyNumberFormat="1" applyFont="1" applyBorder="1" applyAlignment="1">
      <alignment horizontal="center" vertical="top" shrinkToFit="1"/>
    </xf>
    <xf numFmtId="164" fontId="5" fillId="0" borderId="3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shrinkToFit="1"/>
    </xf>
    <xf numFmtId="1" fontId="8" fillId="0" borderId="3" xfId="0" applyNumberFormat="1" applyFont="1" applyBorder="1" applyAlignment="1">
      <alignment horizontal="center" vertical="top" shrinkToFit="1"/>
    </xf>
    <xf numFmtId="1" fontId="14" fillId="0" borderId="3" xfId="0" applyNumberFormat="1" applyFont="1" applyBorder="1" applyAlignment="1">
      <alignment horizontal="center" vertical="top" shrinkToFit="1"/>
    </xf>
    <xf numFmtId="1" fontId="16" fillId="0" borderId="3" xfId="0" applyNumberFormat="1" applyFont="1" applyBorder="1" applyAlignment="1">
      <alignment horizontal="center" vertical="top" shrinkToFit="1"/>
    </xf>
    <xf numFmtId="1" fontId="17" fillId="0" borderId="3" xfId="0" applyNumberFormat="1" applyFont="1" applyBorder="1" applyAlignment="1">
      <alignment horizontal="center" vertical="top" shrinkToFit="1"/>
    </xf>
    <xf numFmtId="1" fontId="13" fillId="0" borderId="3" xfId="0" applyNumberFormat="1" applyFont="1" applyBorder="1" applyAlignment="1">
      <alignment horizontal="center" vertical="top" shrinkToFit="1"/>
    </xf>
    <xf numFmtId="1" fontId="18" fillId="0" borderId="3" xfId="0" applyNumberFormat="1" applyFont="1" applyBorder="1" applyAlignment="1">
      <alignment horizontal="center" vertical="top" shrinkToFit="1"/>
    </xf>
    <xf numFmtId="1" fontId="19" fillId="0" borderId="3" xfId="0" applyNumberFormat="1" applyFont="1" applyBorder="1" applyAlignment="1">
      <alignment horizontal="center" vertical="top" shrinkToFit="1"/>
    </xf>
    <xf numFmtId="1" fontId="11" fillId="0" borderId="3" xfId="0" applyNumberFormat="1" applyFont="1" applyBorder="1" applyAlignment="1">
      <alignment horizontal="center" vertical="top" shrinkToFit="1"/>
    </xf>
    <xf numFmtId="164" fontId="24" fillId="0" borderId="3" xfId="0" applyNumberFormat="1" applyFont="1" applyBorder="1" applyAlignment="1">
      <alignment horizontal="center" vertical="top" shrinkToFit="1"/>
    </xf>
    <xf numFmtId="1" fontId="23" fillId="0" borderId="3" xfId="0" applyNumberFormat="1" applyFont="1" applyBorder="1" applyAlignment="1">
      <alignment horizontal="center" vertical="top" shrinkToFit="1"/>
    </xf>
    <xf numFmtId="1" fontId="15" fillId="0" borderId="3" xfId="0" applyNumberFormat="1" applyFont="1" applyBorder="1" applyAlignment="1">
      <alignment horizontal="center" vertical="top" shrinkToFit="1"/>
    </xf>
    <xf numFmtId="164" fontId="12" fillId="0" borderId="3" xfId="0" applyNumberFormat="1" applyFont="1" applyBorder="1" applyAlignment="1">
      <alignment horizontal="center" vertical="top" shrinkToFit="1"/>
    </xf>
    <xf numFmtId="1" fontId="20" fillId="0" borderId="3" xfId="0" applyNumberFormat="1" applyFont="1" applyBorder="1" applyAlignment="1">
      <alignment horizontal="center" vertical="top" shrinkToFit="1"/>
    </xf>
    <xf numFmtId="1" fontId="22" fillId="0" borderId="3" xfId="0" applyNumberFormat="1" applyFont="1" applyBorder="1" applyAlignment="1">
      <alignment horizontal="center" vertical="top" shrinkToFit="1"/>
    </xf>
    <xf numFmtId="164" fontId="18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6" fillId="0" borderId="3" xfId="0" applyNumberFormat="1" applyFont="1" applyBorder="1" applyAlignment="1">
      <alignment horizontal="center" vertical="top" shrinkToFit="1"/>
    </xf>
    <xf numFmtId="164" fontId="27" fillId="0" borderId="3" xfId="0" applyNumberFormat="1" applyFont="1" applyBorder="1" applyAlignment="1">
      <alignment horizontal="center" vertical="top" shrinkToFit="1"/>
    </xf>
    <xf numFmtId="164" fontId="13" fillId="0" borderId="3" xfId="0" applyNumberFormat="1" applyFont="1" applyBorder="1" applyAlignment="1">
      <alignment horizontal="center" vertical="top" shrinkToFit="1"/>
    </xf>
    <xf numFmtId="1" fontId="28" fillId="0" borderId="3" xfId="0" applyNumberFormat="1" applyFont="1" applyBorder="1" applyAlignment="1">
      <alignment horizontal="center" vertical="top" shrinkToFit="1"/>
    </xf>
    <xf numFmtId="164" fontId="7" fillId="0" borderId="3" xfId="0" applyNumberFormat="1" applyFont="1" applyBorder="1" applyAlignment="1">
      <alignment horizontal="center" vertical="top" shrinkToFit="1"/>
    </xf>
    <xf numFmtId="1" fontId="21" fillId="0" borderId="3" xfId="0" applyNumberFormat="1" applyFont="1" applyBorder="1" applyAlignment="1">
      <alignment horizontal="center" vertical="top" shrinkToFit="1"/>
    </xf>
    <xf numFmtId="1" fontId="31" fillId="0" borderId="3" xfId="0" applyNumberFormat="1" applyFont="1" applyBorder="1" applyAlignment="1">
      <alignment horizontal="center" vertical="top" shrinkToFit="1"/>
    </xf>
    <xf numFmtId="164" fontId="12" fillId="0" borderId="3" xfId="0" applyNumberFormat="1" applyFont="1" applyBorder="1" applyAlignment="1">
      <alignment horizontal="center" vertical="top" wrapText="1"/>
    </xf>
    <xf numFmtId="164" fontId="19" fillId="0" borderId="3" xfId="0" applyNumberFormat="1" applyFont="1" applyBorder="1" applyAlignment="1">
      <alignment horizontal="center" vertical="top" shrinkToFit="1"/>
    </xf>
    <xf numFmtId="164" fontId="9" fillId="0" borderId="3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2" fillId="2" borderId="4" xfId="2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top"/>
    </xf>
    <xf numFmtId="0" fontId="2" fillId="2" borderId="2" xfId="2" applyAlignment="1">
      <alignment wrapText="1"/>
    </xf>
    <xf numFmtId="0" fontId="0" fillId="0" borderId="3" xfId="0" applyBorder="1"/>
    <xf numFmtId="9" fontId="0" fillId="0" borderId="3" xfId="0" applyNumberFormat="1" applyBorder="1"/>
    <xf numFmtId="0" fontId="0" fillId="0" borderId="3" xfId="0" applyBorder="1" applyAlignment="1"/>
    <xf numFmtId="0" fontId="30" fillId="0" borderId="3" xfId="0" applyFont="1" applyBorder="1"/>
    <xf numFmtId="0" fontId="2" fillId="2" borderId="3" xfId="2" applyBorder="1"/>
    <xf numFmtId="165" fontId="2" fillId="2" borderId="2" xfId="2" applyNumberFormat="1"/>
    <xf numFmtId="0" fontId="0" fillId="0" borderId="0" xfId="0" applyAlignment="1">
      <alignment wrapText="1"/>
    </xf>
    <xf numFmtId="9" fontId="2" fillId="2" borderId="2" xfId="2" applyNumberFormat="1" applyAlignment="1">
      <alignment wrapText="1"/>
    </xf>
    <xf numFmtId="0" fontId="3" fillId="2" borderId="5" xfId="3" applyBorder="1"/>
    <xf numFmtId="0" fontId="2" fillId="2" borderId="6" xfId="2" applyBorder="1" applyAlignment="1">
      <alignment wrapText="1"/>
    </xf>
    <xf numFmtId="0" fontId="3" fillId="2" borderId="3" xfId="3" applyBorder="1"/>
    <xf numFmtId="0" fontId="2" fillId="2" borderId="2" xfId="2" applyAlignment="1"/>
    <xf numFmtId="43" fontId="2" fillId="2" borderId="2" xfId="1" applyFont="1" applyFill="1" applyBorder="1" applyAlignment="1"/>
    <xf numFmtId="0" fontId="0" fillId="0" borderId="12" xfId="0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6" fontId="0" fillId="0" borderId="12" xfId="1" applyNumberFormat="1" applyFont="1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7" fontId="0" fillId="0" borderId="12" xfId="1" applyNumberFormat="1" applyFont="1" applyBorder="1" applyAlignment="1">
      <alignment horizontal="center"/>
    </xf>
    <xf numFmtId="167" fontId="0" fillId="0" borderId="13" xfId="1" applyNumberFormat="1" applyFon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5" xfId="2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center"/>
    </xf>
    <xf numFmtId="166" fontId="0" fillId="0" borderId="16" xfId="1" applyNumberFormat="1" applyFont="1" applyBorder="1" applyAlignment="1">
      <alignment horizontal="center"/>
    </xf>
    <xf numFmtId="43" fontId="2" fillId="2" borderId="2" xfId="2" applyNumberFormat="1"/>
    <xf numFmtId="0" fontId="3" fillId="2" borderId="1" xfId="3" applyAlignment="1">
      <alignment wrapText="1"/>
    </xf>
    <xf numFmtId="0" fontId="2" fillId="2" borderId="2" xfId="2" applyAlignment="1">
      <alignment horizontal="center" wrapText="1"/>
    </xf>
    <xf numFmtId="0" fontId="3" fillId="2" borderId="7" xfId="3" applyBorder="1" applyAlignment="1">
      <alignment horizontal="center"/>
    </xf>
    <xf numFmtId="0" fontId="3" fillId="2" borderId="8" xfId="3" applyBorder="1" applyAlignment="1">
      <alignment horizontal="center"/>
    </xf>
    <xf numFmtId="0" fontId="3" fillId="2" borderId="5" xfId="3" applyBorder="1" applyAlignment="1">
      <alignment horizontal="center"/>
    </xf>
    <xf numFmtId="0" fontId="32" fillId="0" borderId="0" xfId="0" applyFont="1"/>
  </cellXfs>
  <cellStyles count="4">
    <cellStyle name="Calculation" xfId="3" builtinId="22"/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'30 years'!$K$9:$K$39</c:f>
              <c:numCache>
                <c:formatCode>_(* #,##0.00_);_(* \(#,##0.00\);_(* "-"??_);_(@_)</c:formatCode>
                <c:ptCount val="31"/>
                <c:pt idx="0">
                  <c:v>-3305797.4549891981</c:v>
                </c:pt>
                <c:pt idx="1">
                  <c:v>-3290775.4181693261</c:v>
                </c:pt>
                <c:pt idx="2">
                  <c:v>-3237243.6390440986</c:v>
                </c:pt>
                <c:pt idx="3">
                  <c:v>-3181022.303301936</c:v>
                </c:pt>
                <c:pt idx="4">
                  <c:v>-3121921.4013060941</c:v>
                </c:pt>
                <c:pt idx="5">
                  <c:v>-3059768.0994155924</c:v>
                </c:pt>
                <c:pt idx="6">
                  <c:v>-2994420.173975782</c:v>
                </c:pt>
                <c:pt idx="7">
                  <c:v>-2925740.911870962</c:v>
                </c:pt>
                <c:pt idx="8">
                  <c:v>-2853599.0834158594</c:v>
                </c:pt>
                <c:pt idx="9">
                  <c:v>-2777881.6665239567</c:v>
                </c:pt>
                <c:pt idx="10">
                  <c:v>-2698481.362440086</c:v>
                </c:pt>
                <c:pt idx="11">
                  <c:v>-2615296.4395910092</c:v>
                </c:pt>
                <c:pt idx="12">
                  <c:v>-2528217.9850529768</c:v>
                </c:pt>
                <c:pt idx="13">
                  <c:v>-2437154.2634555851</c:v>
                </c:pt>
                <c:pt idx="14">
                  <c:v>-2341981.2326544663</c:v>
                </c:pt>
                <c:pt idx="15">
                  <c:v>-2242602.725802043</c:v>
                </c:pt>
                <c:pt idx="16">
                  <c:v>-2138889.6718851901</c:v>
                </c:pt>
                <c:pt idx="17">
                  <c:v>-2030739.2123826763</c:v>
                </c:pt>
                <c:pt idx="18">
                  <c:v>-1918026.7176918748</c:v>
                </c:pt>
                <c:pt idx="19">
                  <c:v>-1800640.2482646364</c:v>
                </c:pt>
                <c:pt idx="20">
                  <c:v>-1678456.5172522208</c:v>
                </c:pt>
                <c:pt idx="21">
                  <c:v>-1551351.4780053198</c:v>
                </c:pt>
                <c:pt idx="22">
                  <c:v>-1419210.7838857777</c:v>
                </c:pt>
                <c:pt idx="23">
                  <c:v>-1281951.3496950553</c:v>
                </c:pt>
                <c:pt idx="24">
                  <c:v>-1139497.8650098282</c:v>
                </c:pt>
                <c:pt idx="25">
                  <c:v>-991814.42750024656</c:v>
                </c:pt>
                <c:pt idx="26">
                  <c:v>-838924.59982564813</c:v>
                </c:pt>
                <c:pt idx="27">
                  <c:v>-680887.90564335859</c:v>
                </c:pt>
                <c:pt idx="28">
                  <c:v>-517818.61470434885</c:v>
                </c:pt>
                <c:pt idx="29">
                  <c:v>-349872.55921639444</c:v>
                </c:pt>
                <c:pt idx="30">
                  <c:v>-177213.46246910578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E-4FE9-BEA1-FD3BB9C07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989856"/>
        <c:axId val="1610980704"/>
      </c:lineChart>
      <c:catAx>
        <c:axId val="161098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80704"/>
        <c:crosses val="autoZero"/>
        <c:auto val="1"/>
        <c:lblAlgn val="ctr"/>
        <c:lblOffset val="100"/>
        <c:noMultiLvlLbl val="0"/>
      </c:catAx>
      <c:valAx>
        <c:axId val="161098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('INR)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8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'40 years'!$K$9:$K$49</c:f>
              <c:numCache>
                <c:formatCode>_(* #,##0.00_);_(* \(#,##0.00\);_(* "-"??_);_(@_)</c:formatCode>
                <c:ptCount val="41"/>
                <c:pt idx="0">
                  <c:v>-7514603.0337545862</c:v>
                </c:pt>
                <c:pt idx="1">
                  <c:v>-7519301.2977670627</c:v>
                </c:pt>
                <c:pt idx="2">
                  <c:v>-7445140.585947494</c:v>
                </c:pt>
                <c:pt idx="3">
                  <c:v>-7367251.191596197</c:v>
                </c:pt>
                <c:pt idx="4">
                  <c:v>-7285373.3225907553</c:v>
                </c:pt>
                <c:pt idx="5">
                  <c:v>-7199269.3690263974</c:v>
                </c:pt>
                <c:pt idx="6">
                  <c:v>-7108741.5378342438</c:v>
                </c:pt>
                <c:pt idx="7">
                  <c:v>-7013598.7371350313</c:v>
                </c:pt>
                <c:pt idx="8">
                  <c:v>-6913656.4911393095</c:v>
                </c:pt>
                <c:pt idx="9">
                  <c:v>-6808753.6235945038</c:v>
                </c:pt>
                <c:pt idx="10">
                  <c:v>-6698735.7581438171</c:v>
                </c:pt>
                <c:pt idx="11">
                  <c:v>-6583455.0436134208</c:v>
                </c:pt>
                <c:pt idx="12">
                  <c:v>-6462753.3248703899</c:v>
                </c:pt>
                <c:pt idx="13">
                  <c:v>-6336494.0799299991</c:v>
                </c:pt>
                <c:pt idx="14">
                  <c:v>-6204497.3300116947</c:v>
                </c:pt>
                <c:pt idx="15">
                  <c:v>-6066618.6037053065</c:v>
                </c:pt>
                <c:pt idx="16">
                  <c:v>-5922669.0440663425</c:v>
                </c:pt>
                <c:pt idx="17">
                  <c:v>-5772492.8866849858</c:v>
                </c:pt>
                <c:pt idx="18">
                  <c:v>-5615904.391167243</c:v>
                </c:pt>
                <c:pt idx="19">
                  <c:v>-5452732.8936048159</c:v>
                </c:pt>
                <c:pt idx="20">
                  <c:v>-5282791.1544708339</c:v>
                </c:pt>
                <c:pt idx="21">
                  <c:v>-5105889.0678131049</c:v>
                </c:pt>
                <c:pt idx="22">
                  <c:v>-4921847.1357399309</c:v>
                </c:pt>
                <c:pt idx="23">
                  <c:v>-4730524.3569706054</c:v>
                </c:pt>
                <c:pt idx="24">
                  <c:v>-4531787.1885361597</c:v>
                </c:pt>
                <c:pt idx="25">
                  <c:v>-4325550.4256960275</c:v>
                </c:pt>
                <c:pt idx="26">
                  <c:v>-4111802.7482533762</c:v>
                </c:pt>
                <c:pt idx="27">
                  <c:v>-3890575.3780536782</c:v>
                </c:pt>
                <c:pt idx="28">
                  <c:v>-3661965.7163304989</c:v>
                </c:pt>
                <c:pt idx="29">
                  <c:v>-3426119.2216997561</c:v>
                </c:pt>
                <c:pt idx="30">
                  <c:v>-3183184.689771662</c:v>
                </c:pt>
                <c:pt idx="31">
                  <c:v>-2933296.4894723459</c:v>
                </c:pt>
                <c:pt idx="32">
                  <c:v>-2676531.4607592779</c:v>
                </c:pt>
                <c:pt idx="33">
                  <c:v>-2412829.7006204873</c:v>
                </c:pt>
                <c:pt idx="34">
                  <c:v>-2142016.457243334</c:v>
                </c:pt>
                <c:pt idx="35">
                  <c:v>-1863738.9428086285</c:v>
                </c:pt>
                <c:pt idx="36">
                  <c:v>-1577488.0194237926</c:v>
                </c:pt>
                <c:pt idx="37">
                  <c:v>-1282595.557094645</c:v>
                </c:pt>
                <c:pt idx="38">
                  <c:v>-978287.00848490663</c:v>
                </c:pt>
                <c:pt idx="39">
                  <c:v>-663697.16220640764</c:v>
                </c:pt>
                <c:pt idx="40">
                  <c:v>-337904.32191923639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4-4B0C-98D5-930CA6C3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78768"/>
        <c:axId val="1458677104"/>
      </c:lineChart>
      <c:catAx>
        <c:axId val="145867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677104"/>
        <c:crosses val="autoZero"/>
        <c:auto val="1"/>
        <c:lblAlgn val="ctr"/>
        <c:lblOffset val="100"/>
        <c:noMultiLvlLbl val="0"/>
      </c:catAx>
      <c:valAx>
        <c:axId val="145867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('INR)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67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'50 years '!$K$9:$K$59</c:f>
              <c:numCache>
                <c:formatCode>_(* #,##0.00_);_(* \(#,##0.00\);_(* "-"??_);_(@_)</c:formatCode>
                <c:ptCount val="51"/>
                <c:pt idx="0">
                  <c:v>-14712279.688173896</c:v>
                </c:pt>
                <c:pt idx="1">
                  <c:v>-14759772.718208354</c:v>
                </c:pt>
                <c:pt idx="2">
                  <c:v>-14661793.575774938</c:v>
                </c:pt>
                <c:pt idx="3">
                  <c:v>-14558893.04380212</c:v>
                </c:pt>
                <c:pt idx="4">
                  <c:v>-14450721.677939171</c:v>
                </c:pt>
                <c:pt idx="5">
                  <c:v>-14336962.254075574</c:v>
                </c:pt>
                <c:pt idx="6">
                  <c:v>-14217354.830583017</c:v>
                </c:pt>
                <c:pt idx="7">
                  <c:v>-14091650.004722958</c:v>
                </c:pt>
                <c:pt idx="8">
                  <c:v>-13959608.88611513</c:v>
                </c:pt>
                <c:pt idx="9">
                  <c:v>-13821026.844164481</c:v>
                </c:pt>
                <c:pt idx="10">
                  <c:v>-13675710.271848986</c:v>
                </c:pt>
                <c:pt idx="11">
                  <c:v>-13523476.328270547</c:v>
                </c:pt>
                <c:pt idx="12">
                  <c:v>-13364129.200987458</c:v>
                </c:pt>
                <c:pt idx="13">
                  <c:v>-13197505.568295388</c:v>
                </c:pt>
                <c:pt idx="14">
                  <c:v>-13023382.346394734</c:v>
                </c:pt>
                <c:pt idx="15">
                  <c:v>-12841588.9816099</c:v>
                </c:pt>
                <c:pt idx="16">
                  <c:v>-12651894.11387166</c:v>
                </c:pt>
                <c:pt idx="17">
                  <c:v>-12454115.923824511</c:v>
                </c:pt>
                <c:pt idx="18">
                  <c:v>-12248032.654817371</c:v>
                </c:pt>
                <c:pt idx="19">
                  <c:v>-12033446.992494728</c:v>
                </c:pt>
                <c:pt idx="20">
                  <c:v>-11810141.268955428</c:v>
                </c:pt>
                <c:pt idx="21">
                  <c:v>-11577897.306334233</c:v>
                </c:pt>
                <c:pt idx="22">
                  <c:v>-11336516.054746702</c:v>
                </c:pt>
                <c:pt idx="23">
                  <c:v>-11085858.018378617</c:v>
                </c:pt>
                <c:pt idx="24">
                  <c:v>-10825799.53996763</c:v>
                </c:pt>
                <c:pt idx="25">
                  <c:v>-10556292.128463652</c:v>
                </c:pt>
                <c:pt idx="26">
                  <c:v>-10277400.256605012</c:v>
                </c:pt>
                <c:pt idx="27">
                  <c:v>-9989257.7497361545</c:v>
                </c:pt>
                <c:pt idx="28">
                  <c:v>-9692103.3270193506</c:v>
                </c:pt>
                <c:pt idx="29">
                  <c:v>-9386256.4024658296</c:v>
                </c:pt>
                <c:pt idx="30">
                  <c:v>-9072054.5208389945</c:v>
                </c:pt>
                <c:pt idx="31">
                  <c:v>-8749829.5974315424</c:v>
                </c:pt>
                <c:pt idx="32">
                  <c:v>-8419847.4055175278</c:v>
                </c:pt>
                <c:pt idx="33">
                  <c:v>-8082194.0592787946</c:v>
                </c:pt>
                <c:pt idx="34">
                  <c:v>-7736808.9270145139</c:v>
                </c:pt>
                <c:pt idx="35">
                  <c:v>-7383393.4404130932</c:v>
                </c:pt>
                <c:pt idx="36">
                  <c:v>-7021443.3225726271</c:v>
                </c:pt>
                <c:pt idx="37">
                  <c:v>-6650245.4104684163</c:v>
                </c:pt>
                <c:pt idx="38">
                  <c:v>-6268956.221727143</c:v>
                </c:pt>
                <c:pt idx="39">
                  <c:v>-5876627.4709924394</c:v>
                </c:pt>
                <c:pt idx="40">
                  <c:v>-5472260.1507451469</c:v>
                </c:pt>
                <c:pt idx="41">
                  <c:v>-5054914.2172315335</c:v>
                </c:pt>
                <c:pt idx="42">
                  <c:v>-4623688.9678051621</c:v>
                </c:pt>
                <c:pt idx="43">
                  <c:v>-4177786.7038488965</c:v>
                </c:pt>
                <c:pt idx="44">
                  <c:v>-3716481.513531494</c:v>
                </c:pt>
                <c:pt idx="45">
                  <c:v>-3239137.01032113</c:v>
                </c:pt>
                <c:pt idx="46">
                  <c:v>-2745147.6598096658</c:v>
                </c:pt>
                <c:pt idx="47">
                  <c:v>-2233899.6262253737</c:v>
                </c:pt>
                <c:pt idx="48">
                  <c:v>-1704709.9845552198</c:v>
                </c:pt>
                <c:pt idx="49">
                  <c:v>-1156756.3385312445</c:v>
                </c:pt>
                <c:pt idx="50">
                  <c:v>-588973.23194629431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3-4522-A096-779B6D16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163088"/>
        <c:axId val="1729141872"/>
      </c:lineChart>
      <c:catAx>
        <c:axId val="1729163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141872"/>
        <c:crosses val="autoZero"/>
        <c:auto val="1"/>
        <c:lblAlgn val="ctr"/>
        <c:lblOffset val="100"/>
        <c:noMultiLvlLbl val="0"/>
      </c:catAx>
      <c:valAx>
        <c:axId val="172914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('INR)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16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30 years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'50 years '!$B$9:$B$59</c:f>
              <c:numCache>
                <c:formatCode>General</c:formatCode>
                <c:ptCount val="5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</c:numCache>
            </c:numRef>
          </c:cat>
          <c:val>
            <c:numRef>
              <c:f>'30 years'!$K$9:$K$39</c:f>
              <c:numCache>
                <c:formatCode>_(* #,##0.00_);_(* \(#,##0.00\);_(* "-"??_);_(@_)</c:formatCode>
                <c:ptCount val="31"/>
                <c:pt idx="0">
                  <c:v>-3305797.4549891981</c:v>
                </c:pt>
                <c:pt idx="1">
                  <c:v>-3290775.4181693261</c:v>
                </c:pt>
                <c:pt idx="2">
                  <c:v>-3237243.6390440986</c:v>
                </c:pt>
                <c:pt idx="3">
                  <c:v>-3181022.303301936</c:v>
                </c:pt>
                <c:pt idx="4">
                  <c:v>-3121921.4013060941</c:v>
                </c:pt>
                <c:pt idx="5">
                  <c:v>-3059768.0994155924</c:v>
                </c:pt>
                <c:pt idx="6">
                  <c:v>-2994420.173975782</c:v>
                </c:pt>
                <c:pt idx="7">
                  <c:v>-2925740.911870962</c:v>
                </c:pt>
                <c:pt idx="8">
                  <c:v>-2853599.0834158594</c:v>
                </c:pt>
                <c:pt idx="9">
                  <c:v>-2777881.6665239567</c:v>
                </c:pt>
                <c:pt idx="10">
                  <c:v>-2698481.362440086</c:v>
                </c:pt>
                <c:pt idx="11">
                  <c:v>-2615296.4395910092</c:v>
                </c:pt>
                <c:pt idx="12">
                  <c:v>-2528217.9850529768</c:v>
                </c:pt>
                <c:pt idx="13">
                  <c:v>-2437154.2634555851</c:v>
                </c:pt>
                <c:pt idx="14">
                  <c:v>-2341981.2326544663</c:v>
                </c:pt>
                <c:pt idx="15">
                  <c:v>-2242602.725802043</c:v>
                </c:pt>
                <c:pt idx="16">
                  <c:v>-2138889.6718851901</c:v>
                </c:pt>
                <c:pt idx="17">
                  <c:v>-2030739.2123826763</c:v>
                </c:pt>
                <c:pt idx="18">
                  <c:v>-1918026.7176918748</c:v>
                </c:pt>
                <c:pt idx="19">
                  <c:v>-1800640.2482646364</c:v>
                </c:pt>
                <c:pt idx="20">
                  <c:v>-1678456.5172522208</c:v>
                </c:pt>
                <c:pt idx="21">
                  <c:v>-1551351.4780053198</c:v>
                </c:pt>
                <c:pt idx="22">
                  <c:v>-1419210.7838857777</c:v>
                </c:pt>
                <c:pt idx="23">
                  <c:v>-1281951.3496950553</c:v>
                </c:pt>
                <c:pt idx="24">
                  <c:v>-1139497.8650098282</c:v>
                </c:pt>
                <c:pt idx="25">
                  <c:v>-991814.42750024656</c:v>
                </c:pt>
                <c:pt idx="26">
                  <c:v>-838924.59982564813</c:v>
                </c:pt>
                <c:pt idx="27">
                  <c:v>-680887.90564335859</c:v>
                </c:pt>
                <c:pt idx="28">
                  <c:v>-517818.61470434885</c:v>
                </c:pt>
                <c:pt idx="29">
                  <c:v>-349872.55921639444</c:v>
                </c:pt>
                <c:pt idx="30">
                  <c:v>-177213.46246910578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C49-8B76-520941143731}"/>
            </c:ext>
          </c:extLst>
        </c:ser>
        <c:ser>
          <c:idx val="1"/>
          <c:order val="1"/>
          <c:tx>
            <c:v>40 years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'50 years '!$B$9:$B$59</c:f>
              <c:numCache>
                <c:formatCode>General</c:formatCode>
                <c:ptCount val="5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</c:numCache>
            </c:numRef>
          </c:cat>
          <c:val>
            <c:numRef>
              <c:f>'40 years'!$K$9:$K$49</c:f>
              <c:numCache>
                <c:formatCode>_(* #,##0.00_);_(* \(#,##0.00\);_(* "-"??_);_(@_)</c:formatCode>
                <c:ptCount val="41"/>
                <c:pt idx="0">
                  <c:v>-7514603.0337545862</c:v>
                </c:pt>
                <c:pt idx="1">
                  <c:v>-7519301.2977670627</c:v>
                </c:pt>
                <c:pt idx="2">
                  <c:v>-7445140.585947494</c:v>
                </c:pt>
                <c:pt idx="3">
                  <c:v>-7367251.191596197</c:v>
                </c:pt>
                <c:pt idx="4">
                  <c:v>-7285373.3225907553</c:v>
                </c:pt>
                <c:pt idx="5">
                  <c:v>-7199269.3690263974</c:v>
                </c:pt>
                <c:pt idx="6">
                  <c:v>-7108741.5378342438</c:v>
                </c:pt>
                <c:pt idx="7">
                  <c:v>-7013598.7371350313</c:v>
                </c:pt>
                <c:pt idx="8">
                  <c:v>-6913656.4911393095</c:v>
                </c:pt>
                <c:pt idx="9">
                  <c:v>-6808753.6235945038</c:v>
                </c:pt>
                <c:pt idx="10">
                  <c:v>-6698735.7581438171</c:v>
                </c:pt>
                <c:pt idx="11">
                  <c:v>-6583455.0436134208</c:v>
                </c:pt>
                <c:pt idx="12">
                  <c:v>-6462753.3248703899</c:v>
                </c:pt>
                <c:pt idx="13">
                  <c:v>-6336494.0799299991</c:v>
                </c:pt>
                <c:pt idx="14">
                  <c:v>-6204497.3300116947</c:v>
                </c:pt>
                <c:pt idx="15">
                  <c:v>-6066618.6037053065</c:v>
                </c:pt>
                <c:pt idx="16">
                  <c:v>-5922669.0440663425</c:v>
                </c:pt>
                <c:pt idx="17">
                  <c:v>-5772492.8866849858</c:v>
                </c:pt>
                <c:pt idx="18">
                  <c:v>-5615904.391167243</c:v>
                </c:pt>
                <c:pt idx="19">
                  <c:v>-5452732.8936048159</c:v>
                </c:pt>
                <c:pt idx="20">
                  <c:v>-5282791.1544708339</c:v>
                </c:pt>
                <c:pt idx="21">
                  <c:v>-5105889.0678131049</c:v>
                </c:pt>
                <c:pt idx="22">
                  <c:v>-4921847.1357399309</c:v>
                </c:pt>
                <c:pt idx="23">
                  <c:v>-4730524.3569706054</c:v>
                </c:pt>
                <c:pt idx="24">
                  <c:v>-4531787.1885361597</c:v>
                </c:pt>
                <c:pt idx="25">
                  <c:v>-4325550.4256960275</c:v>
                </c:pt>
                <c:pt idx="26">
                  <c:v>-4111802.7482533762</c:v>
                </c:pt>
                <c:pt idx="27">
                  <c:v>-3890575.3780536782</c:v>
                </c:pt>
                <c:pt idx="28">
                  <c:v>-3661965.7163304989</c:v>
                </c:pt>
                <c:pt idx="29">
                  <c:v>-3426119.2216997561</c:v>
                </c:pt>
                <c:pt idx="30">
                  <c:v>-3183184.689771662</c:v>
                </c:pt>
                <c:pt idx="31">
                  <c:v>-2933296.4894723459</c:v>
                </c:pt>
                <c:pt idx="32">
                  <c:v>-2676531.4607592779</c:v>
                </c:pt>
                <c:pt idx="33">
                  <c:v>-2412829.7006204873</c:v>
                </c:pt>
                <c:pt idx="34">
                  <c:v>-2142016.457243334</c:v>
                </c:pt>
                <c:pt idx="35">
                  <c:v>-1863738.9428086285</c:v>
                </c:pt>
                <c:pt idx="36">
                  <c:v>-1577488.0194237926</c:v>
                </c:pt>
                <c:pt idx="37">
                  <c:v>-1282595.557094645</c:v>
                </c:pt>
                <c:pt idx="38">
                  <c:v>-978287.00848490663</c:v>
                </c:pt>
                <c:pt idx="39">
                  <c:v>-663697.16220640764</c:v>
                </c:pt>
                <c:pt idx="40">
                  <c:v>-337904.32191923639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9-4C49-8B76-520941143731}"/>
            </c:ext>
          </c:extLst>
        </c:ser>
        <c:ser>
          <c:idx val="2"/>
          <c:order val="2"/>
          <c:tx>
            <c:v>50 years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'50 years '!$B$9:$B$59</c:f>
              <c:numCache>
                <c:formatCode>General</c:formatCode>
                <c:ptCount val="5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</c:numCache>
            </c:numRef>
          </c:cat>
          <c:val>
            <c:numRef>
              <c:f>'50 years '!$K$9:$K$59</c:f>
              <c:numCache>
                <c:formatCode>_(* #,##0.00_);_(* \(#,##0.00\);_(* "-"??_);_(@_)</c:formatCode>
                <c:ptCount val="51"/>
                <c:pt idx="0">
                  <c:v>-14712279.688173896</c:v>
                </c:pt>
                <c:pt idx="1">
                  <c:v>-14759772.718208354</c:v>
                </c:pt>
                <c:pt idx="2">
                  <c:v>-14661793.575774938</c:v>
                </c:pt>
                <c:pt idx="3">
                  <c:v>-14558893.04380212</c:v>
                </c:pt>
                <c:pt idx="4">
                  <c:v>-14450721.677939171</c:v>
                </c:pt>
                <c:pt idx="5">
                  <c:v>-14336962.254075574</c:v>
                </c:pt>
                <c:pt idx="6">
                  <c:v>-14217354.830583017</c:v>
                </c:pt>
                <c:pt idx="7">
                  <c:v>-14091650.004722958</c:v>
                </c:pt>
                <c:pt idx="8">
                  <c:v>-13959608.88611513</c:v>
                </c:pt>
                <c:pt idx="9">
                  <c:v>-13821026.844164481</c:v>
                </c:pt>
                <c:pt idx="10">
                  <c:v>-13675710.271848986</c:v>
                </c:pt>
                <c:pt idx="11">
                  <c:v>-13523476.328270547</c:v>
                </c:pt>
                <c:pt idx="12">
                  <c:v>-13364129.200987458</c:v>
                </c:pt>
                <c:pt idx="13">
                  <c:v>-13197505.568295388</c:v>
                </c:pt>
                <c:pt idx="14">
                  <c:v>-13023382.346394734</c:v>
                </c:pt>
                <c:pt idx="15">
                  <c:v>-12841588.9816099</c:v>
                </c:pt>
                <c:pt idx="16">
                  <c:v>-12651894.11387166</c:v>
                </c:pt>
                <c:pt idx="17">
                  <c:v>-12454115.923824511</c:v>
                </c:pt>
                <c:pt idx="18">
                  <c:v>-12248032.654817371</c:v>
                </c:pt>
                <c:pt idx="19">
                  <c:v>-12033446.992494728</c:v>
                </c:pt>
                <c:pt idx="20">
                  <c:v>-11810141.268955428</c:v>
                </c:pt>
                <c:pt idx="21">
                  <c:v>-11577897.306334233</c:v>
                </c:pt>
                <c:pt idx="22">
                  <c:v>-11336516.054746702</c:v>
                </c:pt>
                <c:pt idx="23">
                  <c:v>-11085858.018378617</c:v>
                </c:pt>
                <c:pt idx="24">
                  <c:v>-10825799.53996763</c:v>
                </c:pt>
                <c:pt idx="25">
                  <c:v>-10556292.128463652</c:v>
                </c:pt>
                <c:pt idx="26">
                  <c:v>-10277400.256605012</c:v>
                </c:pt>
                <c:pt idx="27">
                  <c:v>-9989257.7497361545</c:v>
                </c:pt>
                <c:pt idx="28">
                  <c:v>-9692103.3270193506</c:v>
                </c:pt>
                <c:pt idx="29">
                  <c:v>-9386256.4024658296</c:v>
                </c:pt>
                <c:pt idx="30">
                  <c:v>-9072054.5208389945</c:v>
                </c:pt>
                <c:pt idx="31">
                  <c:v>-8749829.5974315424</c:v>
                </c:pt>
                <c:pt idx="32">
                  <c:v>-8419847.4055175278</c:v>
                </c:pt>
                <c:pt idx="33">
                  <c:v>-8082194.0592787946</c:v>
                </c:pt>
                <c:pt idx="34">
                  <c:v>-7736808.9270145139</c:v>
                </c:pt>
                <c:pt idx="35">
                  <c:v>-7383393.4404130932</c:v>
                </c:pt>
                <c:pt idx="36">
                  <c:v>-7021443.3225726271</c:v>
                </c:pt>
                <c:pt idx="37">
                  <c:v>-6650245.4104684163</c:v>
                </c:pt>
                <c:pt idx="38">
                  <c:v>-6268956.221727143</c:v>
                </c:pt>
                <c:pt idx="39">
                  <c:v>-5876627.4709924394</c:v>
                </c:pt>
                <c:pt idx="40">
                  <c:v>-5472260.1507451469</c:v>
                </c:pt>
                <c:pt idx="41">
                  <c:v>-5054914.2172315335</c:v>
                </c:pt>
                <c:pt idx="42">
                  <c:v>-4623688.9678051621</c:v>
                </c:pt>
                <c:pt idx="43">
                  <c:v>-4177786.7038488965</c:v>
                </c:pt>
                <c:pt idx="44">
                  <c:v>-3716481.513531494</c:v>
                </c:pt>
                <c:pt idx="45">
                  <c:v>-3239137.01032113</c:v>
                </c:pt>
                <c:pt idx="46">
                  <c:v>-2745147.6598096658</c:v>
                </c:pt>
                <c:pt idx="47">
                  <c:v>-2233899.6262253737</c:v>
                </c:pt>
                <c:pt idx="48">
                  <c:v>-1704709.9845552198</c:v>
                </c:pt>
                <c:pt idx="49">
                  <c:v>-1156756.3385312445</c:v>
                </c:pt>
                <c:pt idx="50">
                  <c:v>-588973.23194629431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89-4C49-8B76-520941143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2591"/>
        <c:axId val="810012607"/>
      </c:lineChart>
      <c:catAx>
        <c:axId val="810022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12607"/>
        <c:crosses val="autoZero"/>
        <c:auto val="1"/>
        <c:lblAlgn val="ctr"/>
        <c:lblOffset val="100"/>
        <c:noMultiLvlLbl val="0"/>
      </c:catAx>
      <c:valAx>
        <c:axId val="81001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in</a:t>
                </a:r>
                <a:r>
                  <a:rPr lang="en-US" baseline="0"/>
                  <a:t> INR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22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276679</xdr:colOff>
      <xdr:row>13</xdr:row>
      <xdr:rowOff>93437</xdr:rowOff>
    </xdr:from>
    <xdr:to>
      <xdr:col>17</xdr:col>
      <xdr:colOff>72571</xdr:colOff>
      <xdr:row>27</xdr:row>
      <xdr:rowOff>117929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25F36B-B3B9-4B96-A17F-F4DD460AA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294819</xdr:colOff>
      <xdr:row>13</xdr:row>
      <xdr:rowOff>27215</xdr:rowOff>
    </xdr:from>
    <xdr:to>
      <xdr:col>16</xdr:col>
      <xdr:colOff>253998</xdr:colOff>
      <xdr:row>27</xdr:row>
      <xdr:rowOff>69852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551EC3-FE2B-4EF4-BF94-96252E229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376465</xdr:colOff>
      <xdr:row>13</xdr:row>
      <xdr:rowOff>54429</xdr:rowOff>
    </xdr:from>
    <xdr:to>
      <xdr:col>16</xdr:col>
      <xdr:colOff>526143</xdr:colOff>
      <xdr:row>26</xdr:row>
      <xdr:rowOff>169635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922E6D-488D-4B9C-B958-673FCC0DE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460607</xdr:colOff>
      <xdr:row>6</xdr:row>
      <xdr:rowOff>144501</xdr:rowOff>
    </xdr:from>
    <xdr:to>
      <xdr:col>5</xdr:col>
      <xdr:colOff>301857</xdr:colOff>
      <xdr:row>21</xdr:row>
      <xdr:rowOff>125451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8B447D-F6C8-4F2D-B5C7-27604F43F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harini shah" id="{0AA6CC29-3DD4-4026-A05C-3F726C10556D}" userId="9a8ddb4e88e4929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1-11-23T15:21:05.24" personId="{0AA6CC29-3DD4-4026-A05C-3F726C10556D}" id="{1062D554-3566-4237-B5D8-83CEAAA53262}">
    <text>This is calculated.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409A-C3C4-4971-BC58-B0489828ECF7}">
  <dimension ref="B1:D118"/>
  <sheetViews>
    <sheetView workbookViewId="0">
      <selection activeCell="I9" sqref="I9"/>
    </sheetView>
  </sheetViews>
  <sheetFormatPr defaultRowHeight="14.5" x14ac:dyDescent="0.35"/>
  <cols>
    <col min="1" max="1" width="3" customWidth="1"/>
    <col min="2" max="2" width="11.1796875" bestFit="1" customWidth="1"/>
    <col min="3" max="3" width="9.26953125" bestFit="1" customWidth="1"/>
    <col min="4" max="4" width="11.54296875" customWidth="1"/>
    <col min="5" max="5" width="9" bestFit="1" customWidth="1"/>
    <col min="6" max="6" width="8.90625" bestFit="1" customWidth="1"/>
    <col min="7" max="7" width="10.36328125" bestFit="1" customWidth="1"/>
    <col min="8" max="8" width="8.81640625" bestFit="1" customWidth="1"/>
    <col min="9" max="9" width="9" bestFit="1" customWidth="1"/>
  </cols>
  <sheetData>
    <row r="1" spans="2:4" x14ac:dyDescent="0.35">
      <c r="B1" s="1" t="s">
        <v>26</v>
      </c>
    </row>
    <row r="2" spans="2:4" x14ac:dyDescent="0.35">
      <c r="B2" s="84" t="s">
        <v>27</v>
      </c>
    </row>
    <row r="4" spans="2:4" x14ac:dyDescent="0.35">
      <c r="B4" s="5" t="s">
        <v>0</v>
      </c>
      <c r="C4" s="5" t="s">
        <v>1</v>
      </c>
      <c r="D4" s="43" t="s">
        <v>28</v>
      </c>
    </row>
    <row r="5" spans="2:4" x14ac:dyDescent="0.35">
      <c r="B5" s="6">
        <v>2</v>
      </c>
      <c r="C5" s="7">
        <v>9.1500000000000001E-4</v>
      </c>
      <c r="D5" s="44">
        <f>1-C5</f>
        <v>0.999085</v>
      </c>
    </row>
    <row r="6" spans="2:4" x14ac:dyDescent="0.35">
      <c r="B6" s="8">
        <v>3</v>
      </c>
      <c r="C6" s="7">
        <v>4.6999999999999999E-4</v>
      </c>
      <c r="D6" s="44">
        <f t="shared" ref="D6:D69" si="0">1-C6</f>
        <v>0.99953000000000003</v>
      </c>
    </row>
    <row r="7" spans="2:4" x14ac:dyDescent="0.35">
      <c r="B7" s="9">
        <v>4</v>
      </c>
      <c r="C7" s="7">
        <v>2.7099999999999997E-4</v>
      </c>
      <c r="D7" s="44">
        <f t="shared" si="0"/>
        <v>0.99972899999999998</v>
      </c>
    </row>
    <row r="8" spans="2:4" x14ac:dyDescent="0.35">
      <c r="B8" s="6">
        <v>5</v>
      </c>
      <c r="C8" s="10">
        <v>1.85E-4</v>
      </c>
      <c r="D8" s="44">
        <f t="shared" si="0"/>
        <v>0.99981500000000001</v>
      </c>
    </row>
    <row r="9" spans="2:4" x14ac:dyDescent="0.35">
      <c r="B9" s="11">
        <v>6</v>
      </c>
      <c r="C9" s="12">
        <v>1.5200000000000001E-4</v>
      </c>
      <c r="D9" s="44">
        <f t="shared" si="0"/>
        <v>0.99984799999999996</v>
      </c>
    </row>
    <row r="10" spans="2:4" x14ac:dyDescent="0.35">
      <c r="B10" s="13">
        <v>7</v>
      </c>
      <c r="C10" s="12">
        <v>1.4899999999999999E-4</v>
      </c>
      <c r="D10" s="44">
        <f t="shared" si="0"/>
        <v>0.99985100000000005</v>
      </c>
    </row>
    <row r="11" spans="2:4" x14ac:dyDescent="0.35">
      <c r="B11" s="14">
        <v>8</v>
      </c>
      <c r="C11" s="7">
        <v>1.6699999999999999E-4</v>
      </c>
      <c r="D11" s="44">
        <f t="shared" si="0"/>
        <v>0.99983299999999997</v>
      </c>
    </row>
    <row r="12" spans="2:4" x14ac:dyDescent="0.35">
      <c r="B12" s="15">
        <v>9</v>
      </c>
      <c r="C12" s="7">
        <v>2.0599999999999999E-4</v>
      </c>
      <c r="D12" s="44">
        <f t="shared" si="0"/>
        <v>0.99979399999999996</v>
      </c>
    </row>
    <row r="13" spans="2:4" x14ac:dyDescent="0.35">
      <c r="B13" s="8">
        <v>10</v>
      </c>
      <c r="C13" s="7">
        <v>2.6499999999999999E-4</v>
      </c>
      <c r="D13" s="44">
        <f t="shared" si="0"/>
        <v>0.99973500000000004</v>
      </c>
    </row>
    <row r="14" spans="2:4" x14ac:dyDescent="0.35">
      <c r="B14" s="16">
        <v>11</v>
      </c>
      <c r="C14" s="7">
        <v>3.4099999999999999E-4</v>
      </c>
      <c r="D14" s="44">
        <f t="shared" si="0"/>
        <v>0.99965899999999996</v>
      </c>
    </row>
    <row r="15" spans="2:4" x14ac:dyDescent="0.35">
      <c r="B15" s="17">
        <v>12</v>
      </c>
      <c r="C15" s="12">
        <v>4.2900000000000002E-4</v>
      </c>
      <c r="D15" s="44">
        <f t="shared" si="0"/>
        <v>0.99957099999999999</v>
      </c>
    </row>
    <row r="16" spans="2:4" x14ac:dyDescent="0.35">
      <c r="B16" s="18">
        <v>13</v>
      </c>
      <c r="C16" s="12">
        <v>5.22E-4</v>
      </c>
      <c r="D16" s="44">
        <f t="shared" si="0"/>
        <v>0.99947799999999998</v>
      </c>
    </row>
    <row r="17" spans="2:4" x14ac:dyDescent="0.35">
      <c r="B17" s="18">
        <v>14</v>
      </c>
      <c r="C17" s="7">
        <v>6.1399999999999996E-4</v>
      </c>
      <c r="D17" s="44">
        <f t="shared" si="0"/>
        <v>0.999386</v>
      </c>
    </row>
    <row r="18" spans="2:4" x14ac:dyDescent="0.35">
      <c r="B18" s="14">
        <v>15</v>
      </c>
      <c r="C18" s="7">
        <v>6.9800000000000005E-4</v>
      </c>
      <c r="D18" s="44">
        <f t="shared" si="0"/>
        <v>0.99930200000000002</v>
      </c>
    </row>
    <row r="19" spans="2:4" x14ac:dyDescent="0.35">
      <c r="B19" s="14">
        <v>16</v>
      </c>
      <c r="C19" s="7">
        <v>7.6999999999999996E-4</v>
      </c>
      <c r="D19" s="44">
        <f t="shared" si="0"/>
        <v>0.99922999999999995</v>
      </c>
    </row>
    <row r="20" spans="2:4" x14ac:dyDescent="0.35">
      <c r="B20" s="9">
        <v>17</v>
      </c>
      <c r="C20" s="7">
        <v>8.2899999999999998E-4</v>
      </c>
      <c r="D20" s="44">
        <f t="shared" si="0"/>
        <v>0.99917100000000003</v>
      </c>
    </row>
    <row r="21" spans="2:4" x14ac:dyDescent="0.35">
      <c r="B21" s="19">
        <v>18</v>
      </c>
      <c r="C21" s="7">
        <v>8.7399999999999999E-4</v>
      </c>
      <c r="D21" s="44">
        <f t="shared" si="0"/>
        <v>0.99912599999999996</v>
      </c>
    </row>
    <row r="22" spans="2:4" x14ac:dyDescent="0.35">
      <c r="B22" s="20">
        <v>19</v>
      </c>
      <c r="C22" s="7">
        <v>9.0499999999999999E-4</v>
      </c>
      <c r="D22" s="44">
        <f t="shared" si="0"/>
        <v>0.99909499999999996</v>
      </c>
    </row>
    <row r="23" spans="2:4" x14ac:dyDescent="0.35">
      <c r="B23" s="19">
        <v>20</v>
      </c>
      <c r="C23" s="7">
        <v>9.2400000000000002E-4</v>
      </c>
      <c r="D23" s="44">
        <f t="shared" si="0"/>
        <v>0.99907599999999996</v>
      </c>
    </row>
    <row r="24" spans="2:4" x14ac:dyDescent="0.35">
      <c r="B24" s="14">
        <v>21</v>
      </c>
      <c r="C24" s="7">
        <v>9.3400000000000004E-4</v>
      </c>
      <c r="D24" s="44">
        <f t="shared" si="0"/>
        <v>0.99906600000000001</v>
      </c>
    </row>
    <row r="25" spans="2:4" x14ac:dyDescent="0.35">
      <c r="B25" s="13">
        <v>22</v>
      </c>
      <c r="C25" s="7">
        <v>9.3700000000000001E-4</v>
      </c>
      <c r="D25" s="44">
        <f t="shared" si="0"/>
        <v>0.99906300000000003</v>
      </c>
    </row>
    <row r="26" spans="2:4" x14ac:dyDescent="0.35">
      <c r="B26" s="6">
        <v>23</v>
      </c>
      <c r="C26" s="7">
        <v>9.3599999999999998E-4</v>
      </c>
      <c r="D26" s="44">
        <f t="shared" si="0"/>
        <v>0.99906399999999995</v>
      </c>
    </row>
    <row r="27" spans="2:4" x14ac:dyDescent="0.35">
      <c r="B27" s="14">
        <v>24</v>
      </c>
      <c r="C27" s="7">
        <v>9.3300000000000002E-4</v>
      </c>
      <c r="D27" s="44">
        <f t="shared" si="0"/>
        <v>0.99906700000000004</v>
      </c>
    </row>
    <row r="28" spans="2:4" x14ac:dyDescent="0.35">
      <c r="B28" s="14">
        <v>25</v>
      </c>
      <c r="C28" s="7">
        <v>9.3099999999999997E-4</v>
      </c>
      <c r="D28" s="44">
        <f t="shared" si="0"/>
        <v>0.99906899999999998</v>
      </c>
    </row>
    <row r="29" spans="2:4" x14ac:dyDescent="0.35">
      <c r="B29" s="21">
        <v>26</v>
      </c>
      <c r="C29" s="22">
        <v>9.3099999999999997E-4</v>
      </c>
      <c r="D29" s="44">
        <f t="shared" si="0"/>
        <v>0.99906899999999998</v>
      </c>
    </row>
    <row r="30" spans="2:4" x14ac:dyDescent="0.35">
      <c r="B30" s="18">
        <v>27</v>
      </c>
      <c r="C30" s="12">
        <v>9.3400000000000004E-4</v>
      </c>
      <c r="D30" s="44">
        <f t="shared" si="0"/>
        <v>0.99906600000000001</v>
      </c>
    </row>
    <row r="31" spans="2:4" x14ac:dyDescent="0.35">
      <c r="B31" s="15">
        <v>28</v>
      </c>
      <c r="C31" s="7">
        <v>9.4200000000000002E-4</v>
      </c>
      <c r="D31" s="44">
        <f t="shared" si="0"/>
        <v>0.999058</v>
      </c>
    </row>
    <row r="32" spans="2:4" x14ac:dyDescent="0.35">
      <c r="B32" s="14">
        <v>29</v>
      </c>
      <c r="C32" s="7">
        <v>9.5600000000000004E-4</v>
      </c>
      <c r="D32" s="44">
        <f t="shared" si="0"/>
        <v>0.99904400000000004</v>
      </c>
    </row>
    <row r="33" spans="2:4" x14ac:dyDescent="0.35">
      <c r="B33" s="20">
        <v>30</v>
      </c>
      <c r="C33" s="7">
        <v>9.77E-4</v>
      </c>
      <c r="D33" s="44">
        <f t="shared" si="0"/>
        <v>0.99902299999999999</v>
      </c>
    </row>
    <row r="34" spans="2:4" x14ac:dyDescent="0.35">
      <c r="B34" s="23">
        <v>31</v>
      </c>
      <c r="C34" s="12">
        <v>1.005E-3</v>
      </c>
      <c r="D34" s="44">
        <f t="shared" si="0"/>
        <v>0.99899499999999997</v>
      </c>
    </row>
    <row r="35" spans="2:4" x14ac:dyDescent="0.35">
      <c r="B35" s="8">
        <v>32</v>
      </c>
      <c r="C35" s="7">
        <v>1.042E-3</v>
      </c>
      <c r="D35" s="44">
        <f t="shared" si="0"/>
        <v>0.99895800000000001</v>
      </c>
    </row>
    <row r="36" spans="2:4" x14ac:dyDescent="0.35">
      <c r="B36" s="19">
        <v>33</v>
      </c>
      <c r="C36" s="7">
        <v>1.0859999999999999E-3</v>
      </c>
      <c r="D36" s="44">
        <f t="shared" si="0"/>
        <v>0.99891399999999997</v>
      </c>
    </row>
    <row r="37" spans="2:4" x14ac:dyDescent="0.35">
      <c r="B37" s="11">
        <v>34</v>
      </c>
      <c r="C37" s="7">
        <v>1.14E-3</v>
      </c>
      <c r="D37" s="44">
        <f t="shared" si="0"/>
        <v>0.99885999999999997</v>
      </c>
    </row>
    <row r="38" spans="2:4" x14ac:dyDescent="0.35">
      <c r="B38" s="14">
        <v>35</v>
      </c>
      <c r="C38" s="7">
        <v>1.2019999999999999E-3</v>
      </c>
      <c r="D38" s="44">
        <f t="shared" si="0"/>
        <v>0.99879799999999996</v>
      </c>
    </row>
    <row r="39" spans="2:4" x14ac:dyDescent="0.35">
      <c r="B39" s="14">
        <v>36</v>
      </c>
      <c r="C39" s="7">
        <v>1.2750000000000001E-3</v>
      </c>
      <c r="D39" s="44">
        <f t="shared" si="0"/>
        <v>0.99872499999999997</v>
      </c>
    </row>
    <row r="40" spans="2:4" x14ac:dyDescent="0.35">
      <c r="B40" s="14">
        <v>37</v>
      </c>
      <c r="C40" s="7">
        <v>1.358E-3</v>
      </c>
      <c r="D40" s="44">
        <f t="shared" si="0"/>
        <v>0.99864200000000003</v>
      </c>
    </row>
    <row r="41" spans="2:4" x14ac:dyDescent="0.35">
      <c r="B41" s="14">
        <v>38</v>
      </c>
      <c r="C41" s="7">
        <v>1.4530000000000001E-3</v>
      </c>
      <c r="D41" s="44">
        <f t="shared" si="0"/>
        <v>0.99854699999999996</v>
      </c>
    </row>
    <row r="42" spans="2:4" x14ac:dyDescent="0.35">
      <c r="B42" s="6">
        <v>39</v>
      </c>
      <c r="C42" s="12">
        <v>1.56E-3</v>
      </c>
      <c r="D42" s="44">
        <f t="shared" si="0"/>
        <v>0.99843999999999999</v>
      </c>
    </row>
    <row r="43" spans="2:4" x14ac:dyDescent="0.35">
      <c r="B43" s="6">
        <v>40</v>
      </c>
      <c r="C43" s="7">
        <v>1.6800000000000001E-3</v>
      </c>
      <c r="D43" s="44">
        <f t="shared" si="0"/>
        <v>0.99831999999999999</v>
      </c>
    </row>
    <row r="44" spans="2:4" x14ac:dyDescent="0.35">
      <c r="B44" s="21">
        <v>41</v>
      </c>
      <c r="C44" s="7">
        <v>1.815E-3</v>
      </c>
      <c r="D44" s="44">
        <f t="shared" si="0"/>
        <v>0.99818499999999999</v>
      </c>
    </row>
    <row r="45" spans="2:4" x14ac:dyDescent="0.35">
      <c r="B45" s="14">
        <v>42</v>
      </c>
      <c r="C45" s="12">
        <v>1.9689999999999998E-3</v>
      </c>
      <c r="D45" s="44">
        <f t="shared" si="0"/>
        <v>0.998031</v>
      </c>
    </row>
    <row r="46" spans="2:4" x14ac:dyDescent="0.35">
      <c r="B46" s="18">
        <v>43</v>
      </c>
      <c r="C46" s="12">
        <v>2.1440000000000001E-3</v>
      </c>
      <c r="D46" s="44">
        <f t="shared" si="0"/>
        <v>0.99785599999999997</v>
      </c>
    </row>
    <row r="47" spans="2:4" x14ac:dyDescent="0.35">
      <c r="B47" s="24">
        <v>44</v>
      </c>
      <c r="C47" s="7">
        <v>2.3449999999999999E-3</v>
      </c>
      <c r="D47" s="44">
        <f t="shared" si="0"/>
        <v>0.99765499999999996</v>
      </c>
    </row>
    <row r="48" spans="2:4" x14ac:dyDescent="0.35">
      <c r="B48" s="6">
        <v>45</v>
      </c>
      <c r="C48" s="7">
        <v>2.5790000000000001E-3</v>
      </c>
      <c r="D48" s="44">
        <f t="shared" si="0"/>
        <v>0.997421</v>
      </c>
    </row>
    <row r="49" spans="2:4" x14ac:dyDescent="0.35">
      <c r="B49" s="18">
        <v>46</v>
      </c>
      <c r="C49" s="7">
        <v>2.8509999999999998E-3</v>
      </c>
      <c r="D49" s="44">
        <f t="shared" si="0"/>
        <v>0.99714899999999995</v>
      </c>
    </row>
    <row r="50" spans="2:4" x14ac:dyDescent="0.35">
      <c r="B50" s="14">
        <v>47</v>
      </c>
      <c r="C50" s="7">
        <v>3.1679999999999998E-3</v>
      </c>
      <c r="D50" s="44">
        <f t="shared" si="0"/>
        <v>0.99683200000000005</v>
      </c>
    </row>
    <row r="51" spans="2:4" x14ac:dyDescent="0.35">
      <c r="B51" s="13">
        <v>48</v>
      </c>
      <c r="C51" s="7">
        <v>3.5360000000000001E-3</v>
      </c>
      <c r="D51" s="44">
        <f t="shared" si="0"/>
        <v>0.99646400000000002</v>
      </c>
    </row>
    <row r="52" spans="2:4" x14ac:dyDescent="0.35">
      <c r="B52" s="9">
        <v>49</v>
      </c>
      <c r="C52" s="7">
        <v>3.9579999999999997E-3</v>
      </c>
      <c r="D52" s="44">
        <f t="shared" si="0"/>
        <v>0.99604199999999998</v>
      </c>
    </row>
    <row r="53" spans="2:4" x14ac:dyDescent="0.35">
      <c r="B53" s="6">
        <v>50</v>
      </c>
      <c r="C53" s="7">
        <v>4.4359999999999998E-3</v>
      </c>
      <c r="D53" s="44">
        <f t="shared" si="0"/>
        <v>0.995564</v>
      </c>
    </row>
    <row r="54" spans="2:4" x14ac:dyDescent="0.35">
      <c r="B54" s="6">
        <v>51</v>
      </c>
      <c r="C54" s="7">
        <v>4.9690000000000003E-3</v>
      </c>
      <c r="D54" s="44">
        <f t="shared" si="0"/>
        <v>0.995031</v>
      </c>
    </row>
    <row r="55" spans="2:4" x14ac:dyDescent="0.35">
      <c r="B55" s="21">
        <v>52</v>
      </c>
      <c r="C55" s="25">
        <v>5.5500000000000002E-3</v>
      </c>
      <c r="D55" s="44">
        <f t="shared" si="0"/>
        <v>0.99444999999999995</v>
      </c>
    </row>
    <row r="56" spans="2:4" x14ac:dyDescent="0.35">
      <c r="B56" s="18">
        <v>53</v>
      </c>
      <c r="C56" s="7">
        <v>6.1739999999999998E-3</v>
      </c>
      <c r="D56" s="44">
        <f t="shared" si="0"/>
        <v>0.99382599999999999</v>
      </c>
    </row>
    <row r="57" spans="2:4" x14ac:dyDescent="0.35">
      <c r="B57" s="26">
        <v>54</v>
      </c>
      <c r="C57" s="7">
        <v>6.8310000000000003E-3</v>
      </c>
      <c r="D57" s="44">
        <f t="shared" si="0"/>
        <v>0.99316899999999997</v>
      </c>
    </row>
    <row r="58" spans="2:4" x14ac:dyDescent="0.35">
      <c r="B58" s="20">
        <v>55</v>
      </c>
      <c r="C58" s="7">
        <v>7.5129999999999997E-3</v>
      </c>
      <c r="D58" s="44">
        <f t="shared" si="0"/>
        <v>0.99248700000000001</v>
      </c>
    </row>
    <row r="59" spans="2:4" x14ac:dyDescent="0.35">
      <c r="B59" s="9">
        <v>56</v>
      </c>
      <c r="C59" s="12">
        <v>8.2120000000000005E-3</v>
      </c>
      <c r="D59" s="44">
        <f t="shared" si="0"/>
        <v>0.991788</v>
      </c>
    </row>
    <row r="60" spans="2:4" x14ac:dyDescent="0.35">
      <c r="B60" s="27">
        <v>57</v>
      </c>
      <c r="C60" s="7">
        <v>8.9250000000000006E-3</v>
      </c>
      <c r="D60" s="44">
        <f t="shared" si="0"/>
        <v>0.99107500000000004</v>
      </c>
    </row>
    <row r="61" spans="2:4" x14ac:dyDescent="0.35">
      <c r="B61" s="21">
        <v>58</v>
      </c>
      <c r="C61" s="28">
        <v>9.6509999999999999E-3</v>
      </c>
      <c r="D61" s="44">
        <f t="shared" si="0"/>
        <v>0.99034900000000003</v>
      </c>
    </row>
    <row r="62" spans="2:4" x14ac:dyDescent="0.35">
      <c r="B62" s="9">
        <v>59</v>
      </c>
      <c r="C62" s="7">
        <v>1.0392999999999999E-2</v>
      </c>
      <c r="D62" s="44">
        <f t="shared" si="0"/>
        <v>0.98960700000000001</v>
      </c>
    </row>
    <row r="63" spans="2:4" x14ac:dyDescent="0.35">
      <c r="B63" s="29">
        <v>60</v>
      </c>
      <c r="C63" s="12">
        <v>1.1162E-2</v>
      </c>
      <c r="D63" s="44">
        <f t="shared" si="0"/>
        <v>0.98883799999999999</v>
      </c>
    </row>
    <row r="64" spans="2:4" x14ac:dyDescent="0.35">
      <c r="B64" s="13">
        <v>61</v>
      </c>
      <c r="C64" s="7">
        <v>1.1969E-2</v>
      </c>
      <c r="D64" s="44">
        <f t="shared" si="0"/>
        <v>0.98803099999999999</v>
      </c>
    </row>
    <row r="65" spans="2:4" x14ac:dyDescent="0.35">
      <c r="B65" s="29">
        <v>62</v>
      </c>
      <c r="C65" s="7">
        <v>1.2831E-2</v>
      </c>
      <c r="D65" s="44">
        <f t="shared" si="0"/>
        <v>0.98716899999999996</v>
      </c>
    </row>
    <row r="66" spans="2:4" x14ac:dyDescent="0.35">
      <c r="B66" s="30">
        <v>63</v>
      </c>
      <c r="C66" s="7">
        <v>1.3764999999999999E-2</v>
      </c>
      <c r="D66" s="44">
        <f t="shared" si="0"/>
        <v>0.98623499999999997</v>
      </c>
    </row>
    <row r="67" spans="2:4" x14ac:dyDescent="0.35">
      <c r="B67" s="20">
        <v>64</v>
      </c>
      <c r="C67" s="12">
        <v>1.4792E-2</v>
      </c>
      <c r="D67" s="44">
        <f t="shared" si="0"/>
        <v>0.98520799999999997</v>
      </c>
    </row>
    <row r="68" spans="2:4" x14ac:dyDescent="0.35">
      <c r="B68" s="31">
        <v>65</v>
      </c>
      <c r="C68" s="7">
        <v>1.5932000000000002E-2</v>
      </c>
      <c r="D68" s="44">
        <f t="shared" si="0"/>
        <v>0.98406799999999994</v>
      </c>
    </row>
    <row r="69" spans="2:4" x14ac:dyDescent="0.35">
      <c r="B69" s="18">
        <v>66</v>
      </c>
      <c r="C69" s="7">
        <v>1.7205999999999999E-2</v>
      </c>
      <c r="D69" s="44">
        <f t="shared" si="0"/>
        <v>0.98279399999999995</v>
      </c>
    </row>
    <row r="70" spans="2:4" x14ac:dyDescent="0.35">
      <c r="B70" s="29">
        <v>67</v>
      </c>
      <c r="C70" s="32">
        <v>1.8634999999999999E-2</v>
      </c>
      <c r="D70" s="44">
        <f t="shared" ref="D70:D118" si="1">1-C70</f>
        <v>0.98136500000000004</v>
      </c>
    </row>
    <row r="71" spans="2:4" x14ac:dyDescent="0.35">
      <c r="B71" s="21">
        <v>68</v>
      </c>
      <c r="C71" s="33">
        <v>2.0240000000000001E-2</v>
      </c>
      <c r="D71" s="44">
        <f t="shared" si="1"/>
        <v>0.97975999999999996</v>
      </c>
    </row>
    <row r="72" spans="2:4" x14ac:dyDescent="0.35">
      <c r="B72" s="34">
        <v>69</v>
      </c>
      <c r="C72" s="12">
        <v>2.2040000000000001E-2</v>
      </c>
      <c r="D72" s="44">
        <f t="shared" si="1"/>
        <v>0.97796000000000005</v>
      </c>
    </row>
    <row r="73" spans="2:4" x14ac:dyDescent="0.35">
      <c r="B73" s="9">
        <v>70</v>
      </c>
      <c r="C73" s="12">
        <v>2.4058E-2</v>
      </c>
      <c r="D73" s="44">
        <f t="shared" si="1"/>
        <v>0.97594199999999998</v>
      </c>
    </row>
    <row r="74" spans="2:4" x14ac:dyDescent="0.35">
      <c r="B74" s="14">
        <v>71</v>
      </c>
      <c r="C74" s="7">
        <v>2.6314000000000001E-2</v>
      </c>
      <c r="D74" s="44">
        <f t="shared" si="1"/>
        <v>0.97368600000000005</v>
      </c>
    </row>
    <row r="75" spans="2:4" x14ac:dyDescent="0.35">
      <c r="B75" s="14">
        <v>72</v>
      </c>
      <c r="C75" s="7">
        <v>2.8832E-2</v>
      </c>
      <c r="D75" s="44">
        <f t="shared" si="1"/>
        <v>0.97116800000000003</v>
      </c>
    </row>
    <row r="76" spans="2:4" x14ac:dyDescent="0.35">
      <c r="B76" s="8">
        <v>73</v>
      </c>
      <c r="C76" s="12">
        <v>3.1637999999999999E-2</v>
      </c>
      <c r="D76" s="44">
        <f t="shared" si="1"/>
        <v>0.96836199999999995</v>
      </c>
    </row>
    <row r="77" spans="2:4" x14ac:dyDescent="0.35">
      <c r="B77" s="9">
        <v>74</v>
      </c>
      <c r="C77" s="7">
        <v>3.4757000000000003E-2</v>
      </c>
      <c r="D77" s="44">
        <f t="shared" si="1"/>
        <v>0.96524299999999996</v>
      </c>
    </row>
    <row r="78" spans="2:4" x14ac:dyDescent="0.35">
      <c r="B78" s="14">
        <v>75</v>
      </c>
      <c r="C78" s="12">
        <v>3.8220999999999998E-2</v>
      </c>
      <c r="D78" s="44">
        <f t="shared" si="1"/>
        <v>0.96177900000000005</v>
      </c>
    </row>
    <row r="79" spans="2:4" x14ac:dyDescent="0.35">
      <c r="B79" s="18">
        <v>76</v>
      </c>
      <c r="C79" s="7">
        <v>4.2061000000000001E-2</v>
      </c>
      <c r="D79" s="44">
        <f t="shared" si="1"/>
        <v>0.95793899999999998</v>
      </c>
    </row>
    <row r="80" spans="2:4" x14ac:dyDescent="0.35">
      <c r="B80" s="21">
        <v>77</v>
      </c>
      <c r="C80" s="7">
        <v>4.6316000000000003E-2</v>
      </c>
      <c r="D80" s="44">
        <f t="shared" si="1"/>
        <v>0.95368399999999998</v>
      </c>
    </row>
    <row r="81" spans="2:4" x14ac:dyDescent="0.35">
      <c r="B81" s="14">
        <v>78</v>
      </c>
      <c r="C81" s="7">
        <v>5.1024E-2</v>
      </c>
      <c r="D81" s="44">
        <f t="shared" si="1"/>
        <v>0.94897600000000004</v>
      </c>
    </row>
    <row r="82" spans="2:4" x14ac:dyDescent="0.35">
      <c r="B82" s="14">
        <v>79</v>
      </c>
      <c r="C82" s="7">
        <v>5.6231000000000003E-2</v>
      </c>
      <c r="D82" s="44">
        <f t="shared" si="1"/>
        <v>0.94376899999999997</v>
      </c>
    </row>
    <row r="83" spans="2:4" x14ac:dyDescent="0.35">
      <c r="B83" s="21">
        <v>80</v>
      </c>
      <c r="C83" s="33">
        <v>6.1984999999999998E-2</v>
      </c>
      <c r="D83" s="44">
        <f t="shared" si="1"/>
        <v>0.93801500000000004</v>
      </c>
    </row>
    <row r="84" spans="2:4" x14ac:dyDescent="0.35">
      <c r="B84" s="6">
        <v>81</v>
      </c>
      <c r="C84" s="12">
        <v>6.8337999999999996E-2</v>
      </c>
      <c r="D84" s="44">
        <f t="shared" si="1"/>
        <v>0.93166199999999999</v>
      </c>
    </row>
    <row r="85" spans="2:4" x14ac:dyDescent="0.35">
      <c r="B85" s="14">
        <v>82</v>
      </c>
      <c r="C85" s="25">
        <v>7.535E-2</v>
      </c>
      <c r="D85" s="44">
        <f t="shared" si="1"/>
        <v>0.92464999999999997</v>
      </c>
    </row>
    <row r="86" spans="2:4" x14ac:dyDescent="0.35">
      <c r="B86" s="6">
        <v>83</v>
      </c>
      <c r="C86" s="7">
        <v>8.3082000000000003E-2</v>
      </c>
      <c r="D86" s="44">
        <f t="shared" si="1"/>
        <v>0.91691800000000001</v>
      </c>
    </row>
    <row r="87" spans="2:4" x14ac:dyDescent="0.35">
      <c r="B87" s="17">
        <v>84</v>
      </c>
      <c r="C87" s="33">
        <v>9.1601000000000002E-2</v>
      </c>
      <c r="D87" s="44">
        <f t="shared" si="1"/>
        <v>0.90839899999999996</v>
      </c>
    </row>
    <row r="88" spans="2:4" x14ac:dyDescent="0.35">
      <c r="B88" s="21">
        <v>85</v>
      </c>
      <c r="C88" s="35">
        <v>0.100979</v>
      </c>
      <c r="D88" s="44">
        <f t="shared" si="1"/>
        <v>0.89902099999999996</v>
      </c>
    </row>
    <row r="89" spans="2:4" x14ac:dyDescent="0.35">
      <c r="B89" s="6">
        <v>86</v>
      </c>
      <c r="C89" s="7">
        <v>0.111291</v>
      </c>
      <c r="D89" s="44">
        <f t="shared" si="1"/>
        <v>0.88870899999999997</v>
      </c>
    </row>
    <row r="90" spans="2:4" x14ac:dyDescent="0.35">
      <c r="B90" s="18">
        <v>87</v>
      </c>
      <c r="C90" s="7">
        <v>0.122616</v>
      </c>
      <c r="D90" s="44">
        <f t="shared" si="1"/>
        <v>0.87738399999999994</v>
      </c>
    </row>
    <row r="91" spans="2:4" x14ac:dyDescent="0.35">
      <c r="B91" s="6">
        <v>88</v>
      </c>
      <c r="C91" s="33">
        <v>0.13503699999999999</v>
      </c>
      <c r="D91" s="44">
        <f t="shared" si="1"/>
        <v>0.86496300000000004</v>
      </c>
    </row>
    <row r="92" spans="2:4" x14ac:dyDescent="0.35">
      <c r="B92" s="36">
        <v>89</v>
      </c>
      <c r="C92" s="12">
        <v>0.14863899999999999</v>
      </c>
      <c r="D92" s="44">
        <f t="shared" si="1"/>
        <v>0.85136100000000003</v>
      </c>
    </row>
    <row r="93" spans="2:4" x14ac:dyDescent="0.35">
      <c r="B93" s="37">
        <v>90</v>
      </c>
      <c r="C93" s="12">
        <v>0.16350700000000001</v>
      </c>
      <c r="D93" s="44">
        <f t="shared" si="1"/>
        <v>0.83649299999999993</v>
      </c>
    </row>
    <row r="94" spans="2:4" x14ac:dyDescent="0.35">
      <c r="B94" s="20">
        <v>91</v>
      </c>
      <c r="C94" s="12">
        <v>0.179726</v>
      </c>
      <c r="D94" s="44">
        <f t="shared" si="1"/>
        <v>0.82027399999999995</v>
      </c>
    </row>
    <row r="95" spans="2:4" x14ac:dyDescent="0.35">
      <c r="B95" s="23">
        <v>92</v>
      </c>
      <c r="C95" s="7">
        <v>0.19738</v>
      </c>
      <c r="D95" s="44">
        <f t="shared" si="1"/>
        <v>0.80262</v>
      </c>
    </row>
    <row r="96" spans="2:4" x14ac:dyDescent="0.35">
      <c r="B96" s="21">
        <v>93</v>
      </c>
      <c r="C96" s="7">
        <v>0.21654699999999999</v>
      </c>
      <c r="D96" s="44">
        <f t="shared" si="1"/>
        <v>0.78345299999999995</v>
      </c>
    </row>
    <row r="97" spans="2:4" x14ac:dyDescent="0.35">
      <c r="B97" s="18">
        <v>94</v>
      </c>
      <c r="C97" s="38">
        <v>0.23730200000000001</v>
      </c>
      <c r="D97" s="44">
        <f t="shared" si="1"/>
        <v>0.76269799999999999</v>
      </c>
    </row>
    <row r="98" spans="2:4" x14ac:dyDescent="0.35">
      <c r="B98" s="20">
        <v>95</v>
      </c>
      <c r="C98" s="7">
        <v>0.25970599999999999</v>
      </c>
      <c r="D98" s="44">
        <f t="shared" si="1"/>
        <v>0.74029400000000001</v>
      </c>
    </row>
    <row r="99" spans="2:4" x14ac:dyDescent="0.35">
      <c r="B99" s="14">
        <v>96</v>
      </c>
      <c r="C99" s="39">
        <v>0.28381299999999998</v>
      </c>
      <c r="D99" s="44">
        <f t="shared" si="1"/>
        <v>0.71618700000000002</v>
      </c>
    </row>
    <row r="100" spans="2:4" x14ac:dyDescent="0.35">
      <c r="B100" s="8">
        <v>97</v>
      </c>
      <c r="C100" s="7">
        <v>0.30965900000000002</v>
      </c>
      <c r="D100" s="44">
        <f t="shared" si="1"/>
        <v>0.69034099999999998</v>
      </c>
    </row>
    <row r="101" spans="2:4" x14ac:dyDescent="0.35">
      <c r="B101" s="9">
        <v>98</v>
      </c>
      <c r="C101" s="12">
        <v>0.33726499999999998</v>
      </c>
      <c r="D101" s="44">
        <f t="shared" si="1"/>
        <v>0.66273500000000007</v>
      </c>
    </row>
    <row r="102" spans="2:4" x14ac:dyDescent="0.35">
      <c r="B102" s="18">
        <v>99</v>
      </c>
      <c r="C102" s="7">
        <v>0.36663000000000001</v>
      </c>
      <c r="D102" s="44">
        <f t="shared" si="1"/>
        <v>0.63336999999999999</v>
      </c>
    </row>
    <row r="103" spans="2:4" x14ac:dyDescent="0.35">
      <c r="B103" s="14">
        <v>100</v>
      </c>
      <c r="C103" s="7">
        <v>0.397733</v>
      </c>
      <c r="D103" s="44">
        <f t="shared" si="1"/>
        <v>0.602267</v>
      </c>
    </row>
    <row r="104" spans="2:4" x14ac:dyDescent="0.35">
      <c r="B104" s="18">
        <v>101</v>
      </c>
      <c r="C104" s="40">
        <v>0.430529</v>
      </c>
      <c r="D104" s="44">
        <f t="shared" si="1"/>
        <v>0.56947100000000006</v>
      </c>
    </row>
    <row r="105" spans="2:4" x14ac:dyDescent="0.35">
      <c r="B105" s="14">
        <v>102</v>
      </c>
      <c r="C105" s="25">
        <v>0.46494999999999997</v>
      </c>
      <c r="D105" s="44">
        <f t="shared" si="1"/>
        <v>0.53505000000000003</v>
      </c>
    </row>
    <row r="106" spans="2:4" x14ac:dyDescent="0.35">
      <c r="B106" s="14">
        <v>103</v>
      </c>
      <c r="C106" s="7">
        <v>0.50090400000000002</v>
      </c>
      <c r="D106" s="44">
        <f t="shared" si="1"/>
        <v>0.49909599999999998</v>
      </c>
    </row>
    <row r="107" spans="2:4" x14ac:dyDescent="0.35">
      <c r="B107" s="14">
        <v>104</v>
      </c>
      <c r="C107" s="7">
        <v>0.53827800000000003</v>
      </c>
      <c r="D107" s="44">
        <f t="shared" si="1"/>
        <v>0.46172199999999997</v>
      </c>
    </row>
    <row r="108" spans="2:4" x14ac:dyDescent="0.35">
      <c r="B108" s="24">
        <v>105</v>
      </c>
      <c r="C108" s="7">
        <v>0.57694199999999995</v>
      </c>
      <c r="D108" s="44">
        <f t="shared" si="1"/>
        <v>0.42305800000000005</v>
      </c>
    </row>
    <row r="109" spans="2:4" x14ac:dyDescent="0.35">
      <c r="B109" s="14">
        <v>106</v>
      </c>
      <c r="C109" s="12">
        <v>0.61675199999999997</v>
      </c>
      <c r="D109" s="44">
        <f t="shared" si="1"/>
        <v>0.38324800000000003</v>
      </c>
    </row>
    <row r="110" spans="2:4" x14ac:dyDescent="0.35">
      <c r="B110" s="14">
        <v>107</v>
      </c>
      <c r="C110" s="7">
        <v>0.65755300000000005</v>
      </c>
      <c r="D110" s="44">
        <f t="shared" si="1"/>
        <v>0.34244699999999995</v>
      </c>
    </row>
    <row r="111" spans="2:4" x14ac:dyDescent="0.35">
      <c r="B111" s="6">
        <v>108</v>
      </c>
      <c r="C111" s="12">
        <v>0.69919100000000001</v>
      </c>
      <c r="D111" s="44">
        <f t="shared" si="1"/>
        <v>0.30080899999999999</v>
      </c>
    </row>
    <row r="112" spans="2:4" x14ac:dyDescent="0.35">
      <c r="B112" s="9">
        <v>109</v>
      </c>
      <c r="C112" s="7">
        <v>0.74151500000000004</v>
      </c>
      <c r="D112" s="44">
        <f t="shared" si="1"/>
        <v>0.25848499999999996</v>
      </c>
    </row>
    <row r="113" spans="2:4" x14ac:dyDescent="0.35">
      <c r="B113" s="23">
        <v>110</v>
      </c>
      <c r="C113" s="7">
        <v>0.78438300000000005</v>
      </c>
      <c r="D113" s="44">
        <f t="shared" si="1"/>
        <v>0.21561699999999995</v>
      </c>
    </row>
    <row r="114" spans="2:4" x14ac:dyDescent="0.35">
      <c r="B114" s="29">
        <v>111</v>
      </c>
      <c r="C114" s="7">
        <v>0.82767299999999999</v>
      </c>
      <c r="D114" s="44">
        <f t="shared" si="1"/>
        <v>0.17232700000000001</v>
      </c>
    </row>
    <row r="115" spans="2:4" x14ac:dyDescent="0.35">
      <c r="B115" s="21">
        <v>112</v>
      </c>
      <c r="C115" s="12">
        <v>0.87128499999999998</v>
      </c>
      <c r="D115" s="44">
        <f t="shared" si="1"/>
        <v>0.12871500000000002</v>
      </c>
    </row>
    <row r="116" spans="2:4" x14ac:dyDescent="0.35">
      <c r="B116" s="14">
        <v>113</v>
      </c>
      <c r="C116" s="39">
        <v>0.91514499999999999</v>
      </c>
      <c r="D116" s="44">
        <f t="shared" si="1"/>
        <v>8.4855000000000014E-2</v>
      </c>
    </row>
    <row r="117" spans="2:4" x14ac:dyDescent="0.35">
      <c r="B117" s="11">
        <v>114</v>
      </c>
      <c r="C117" s="22">
        <v>0.95921400000000001</v>
      </c>
      <c r="D117" s="44">
        <f t="shared" si="1"/>
        <v>4.0785999999999989E-2</v>
      </c>
    </row>
    <row r="118" spans="2:4" x14ac:dyDescent="0.35">
      <c r="B118" s="41">
        <v>115</v>
      </c>
      <c r="C118" s="42">
        <v>1</v>
      </c>
      <c r="D118" s="44">
        <f t="shared" si="1"/>
        <v>0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DAED-7D92-4DC4-8340-18A71064B4D4}">
  <dimension ref="B2:E21"/>
  <sheetViews>
    <sheetView tabSelected="1" topLeftCell="A13" workbookViewId="0">
      <selection activeCell="D22" sqref="D22"/>
    </sheetView>
  </sheetViews>
  <sheetFormatPr defaultRowHeight="14.5" x14ac:dyDescent="0.35"/>
  <cols>
    <col min="1" max="1" width="4.36328125" customWidth="1"/>
    <col min="2" max="2" width="16.6328125" customWidth="1"/>
    <col min="3" max="3" width="15.54296875" customWidth="1"/>
    <col min="4" max="4" width="18.453125" customWidth="1"/>
  </cols>
  <sheetData>
    <row r="2" spans="2:5" x14ac:dyDescent="0.35">
      <c r="B2" s="56" t="s">
        <v>2</v>
      </c>
      <c r="C2" s="54" t="s">
        <v>3</v>
      </c>
      <c r="E2" s="3" t="s">
        <v>43</v>
      </c>
    </row>
    <row r="3" spans="2:5" ht="29" x14ac:dyDescent="0.35">
      <c r="B3" s="55" t="s">
        <v>29</v>
      </c>
      <c r="C3" s="45" t="s">
        <v>30</v>
      </c>
    </row>
    <row r="5" spans="2:5" x14ac:dyDescent="0.35">
      <c r="B5" s="4" t="s">
        <v>4</v>
      </c>
      <c r="C5" s="4"/>
      <c r="D5" s="4"/>
    </row>
    <row r="6" spans="2:5" x14ac:dyDescent="0.35">
      <c r="B6" s="46" t="s">
        <v>5</v>
      </c>
      <c r="C6" s="46">
        <v>5000</v>
      </c>
      <c r="D6" s="49" t="s">
        <v>32</v>
      </c>
    </row>
    <row r="7" spans="2:5" x14ac:dyDescent="0.35">
      <c r="B7" s="46" t="s">
        <v>6</v>
      </c>
      <c r="C7" s="47">
        <v>0.2</v>
      </c>
      <c r="D7" s="48" t="s">
        <v>31</v>
      </c>
    </row>
    <row r="8" spans="2:5" x14ac:dyDescent="0.35">
      <c r="C8" s="2"/>
    </row>
    <row r="9" spans="2:5" x14ac:dyDescent="0.35">
      <c r="B9" s="50" t="s">
        <v>7</v>
      </c>
      <c r="C9" s="50"/>
      <c r="D9" s="50"/>
    </row>
    <row r="10" spans="2:5" x14ac:dyDescent="0.35">
      <c r="B10" s="46" t="s">
        <v>5</v>
      </c>
      <c r="C10" s="46">
        <v>750</v>
      </c>
      <c r="D10" s="49" t="s">
        <v>33</v>
      </c>
    </row>
    <row r="11" spans="2:5" x14ac:dyDescent="0.35">
      <c r="B11" s="46" t="s">
        <v>6</v>
      </c>
      <c r="C11" s="47">
        <v>0.03</v>
      </c>
      <c r="D11" s="48" t="s">
        <v>34</v>
      </c>
    </row>
    <row r="12" spans="2:5" x14ac:dyDescent="0.35">
      <c r="C12" s="2"/>
    </row>
    <row r="13" spans="2:5" x14ac:dyDescent="0.35">
      <c r="B13" s="4" t="s">
        <v>9</v>
      </c>
      <c r="C13" s="51">
        <v>10000000</v>
      </c>
    </row>
    <row r="14" spans="2:5" x14ac:dyDescent="0.35">
      <c r="B14" s="4" t="s">
        <v>10</v>
      </c>
      <c r="C14" s="4">
        <v>20</v>
      </c>
      <c r="D14" s="3" t="s">
        <v>32</v>
      </c>
    </row>
    <row r="15" spans="2:5" ht="43.5" x14ac:dyDescent="0.35">
      <c r="B15" s="52" t="s">
        <v>35</v>
      </c>
      <c r="C15" s="52" t="s">
        <v>36</v>
      </c>
      <c r="D15" s="52"/>
    </row>
    <row r="16" spans="2:5" x14ac:dyDescent="0.35">
      <c r="B16" s="45" t="s">
        <v>38</v>
      </c>
      <c r="C16" s="53">
        <v>0.05</v>
      </c>
      <c r="D16" s="3" t="s">
        <v>32</v>
      </c>
    </row>
    <row r="17" spans="2:4" ht="29" x14ac:dyDescent="0.35">
      <c r="B17" s="45" t="s">
        <v>37</v>
      </c>
      <c r="C17" s="45">
        <f>1/(1+C16)</f>
        <v>0.95238095238095233</v>
      </c>
      <c r="D17" s="3" t="s">
        <v>54</v>
      </c>
    </row>
    <row r="18" spans="2:4" ht="29" x14ac:dyDescent="0.35">
      <c r="B18" s="45" t="s">
        <v>39</v>
      </c>
      <c r="C18" s="45">
        <f>11/24</f>
        <v>0.45833333333333331</v>
      </c>
      <c r="D18" s="3" t="s">
        <v>55</v>
      </c>
    </row>
    <row r="19" spans="2:4" x14ac:dyDescent="0.35">
      <c r="B19" s="52"/>
      <c r="C19" s="52"/>
      <c r="D19" s="52"/>
    </row>
    <row r="20" spans="2:4" x14ac:dyDescent="0.35">
      <c r="B20" s="45" t="s">
        <v>41</v>
      </c>
      <c r="C20" s="4" t="s">
        <v>42</v>
      </c>
      <c r="D20" s="52"/>
    </row>
    <row r="21" spans="2:4" x14ac:dyDescent="0.35">
      <c r="D21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36B7-2FB0-4497-A7C2-85131AEE2ECC}">
  <dimension ref="B2:O39"/>
  <sheetViews>
    <sheetView zoomScale="70" zoomScaleNormal="70" workbookViewId="0">
      <selection activeCell="O32" sqref="O32"/>
    </sheetView>
  </sheetViews>
  <sheetFormatPr defaultRowHeight="14.5" x14ac:dyDescent="0.35"/>
  <cols>
    <col min="1" max="1" width="3.54296875" customWidth="1"/>
    <col min="2" max="2" width="12.54296875" customWidth="1"/>
    <col min="3" max="3" width="15.7265625" customWidth="1"/>
    <col min="4" max="4" width="20" customWidth="1"/>
    <col min="5" max="5" width="15.90625" customWidth="1"/>
    <col min="6" max="6" width="20" customWidth="1"/>
    <col min="7" max="7" width="16.90625" customWidth="1"/>
    <col min="8" max="8" width="15.1796875" customWidth="1"/>
    <col min="9" max="9" width="20.36328125" customWidth="1"/>
    <col min="10" max="10" width="17.81640625" customWidth="1"/>
    <col min="11" max="11" width="17.26953125" customWidth="1"/>
    <col min="12" max="12" width="17.08984375" customWidth="1"/>
    <col min="14" max="14" width="20.7265625" customWidth="1"/>
    <col min="15" max="15" width="13.6328125" bestFit="1" customWidth="1"/>
  </cols>
  <sheetData>
    <row r="2" spans="2:15" x14ac:dyDescent="0.35">
      <c r="C2" s="81" t="s">
        <v>44</v>
      </c>
      <c r="D2" s="82"/>
      <c r="E2" s="82"/>
      <c r="F2" s="83"/>
    </row>
    <row r="4" spans="2:15" x14ac:dyDescent="0.35">
      <c r="D4" s="57" t="s">
        <v>40</v>
      </c>
      <c r="E4" s="58">
        <f>E5*12</f>
        <v>235526.88816157199</v>
      </c>
    </row>
    <row r="5" spans="2:15" x14ac:dyDescent="0.35">
      <c r="D5" s="57" t="s">
        <v>11</v>
      </c>
      <c r="E5" s="58">
        <v>19627.240680130999</v>
      </c>
    </row>
    <row r="6" spans="2:15" x14ac:dyDescent="0.35">
      <c r="D6" s="57" t="s">
        <v>45</v>
      </c>
      <c r="E6" s="57">
        <v>30</v>
      </c>
    </row>
    <row r="8" spans="2:15" ht="29" x14ac:dyDescent="0.35">
      <c r="B8" s="5" t="s">
        <v>10</v>
      </c>
      <c r="C8" s="5" t="s">
        <v>12</v>
      </c>
      <c r="D8" s="5" t="s">
        <v>13</v>
      </c>
      <c r="E8" s="5" t="s">
        <v>15</v>
      </c>
      <c r="F8" s="5" t="s">
        <v>14</v>
      </c>
      <c r="G8" s="5" t="s">
        <v>16</v>
      </c>
      <c r="H8" s="5" t="s">
        <v>17</v>
      </c>
      <c r="I8" s="5" t="s">
        <v>25</v>
      </c>
      <c r="J8" s="5" t="s">
        <v>18</v>
      </c>
      <c r="K8" s="5" t="s">
        <v>23</v>
      </c>
      <c r="L8" s="5" t="s">
        <v>24</v>
      </c>
      <c r="N8" s="4" t="s">
        <v>19</v>
      </c>
      <c r="O8" s="78">
        <f>SUM(E9:E39)</f>
        <v>5833302.1753685456</v>
      </c>
    </row>
    <row r="9" spans="2:15" x14ac:dyDescent="0.35">
      <c r="B9" s="59">
        <f>Parameters!C14</f>
        <v>20</v>
      </c>
      <c r="C9" s="59">
        <f>E6</f>
        <v>30</v>
      </c>
      <c r="D9" s="68">
        <f>D10*v*VLOOKUP(B9,'IALM 2012-2014'!$B$5:$D$118,3,FALSE)+m*v*VLOOKUP(B9,'IALM 2012-2014'!$B$5:$D$118,3,FALSE)-m+1</f>
        <v>15.593890051049005</v>
      </c>
      <c r="E9" s="60">
        <f t="shared" ref="E9:E39" si="0">pm_30*D9</f>
        <v>306065.03317143908</v>
      </c>
      <c r="F9" s="71">
        <f>F10*v*VLOOKUP(B9,'IALM 2012-2014'!$B$5:$D$118,3,FALSE)+v*VLOOKUP(B9,'IALM 2012-2014'!$B$5:$D$118,2,FALSE)</f>
        <v>1.9790775597390012E-2</v>
      </c>
      <c r="G9" s="60">
        <f t="shared" ref="G9:G39" si="1">sa*F9</f>
        <v>197907.75597390012</v>
      </c>
      <c r="H9" s="60">
        <f>fie+vie*P_30</f>
        <v>52105.377632314397</v>
      </c>
      <c r="I9" s="60">
        <v>0</v>
      </c>
      <c r="J9" s="60">
        <f>H9+I9</f>
        <v>52105.377632314397</v>
      </c>
      <c r="K9" s="60">
        <f>((K10*VLOOKUP(B9,'IALM 2012-2014'!$B$5:$D$118,3,FALSE)+sa*VLOOKUP(B9,'IALM 2012-2014'!$B$5:$D$118,2,FALSE))/(1+i)) -P_30 + fie+vie*P_30</f>
        <v>-3305797.4549891981</v>
      </c>
      <c r="L9" s="61">
        <f>K10*VLOOKUP(B9,'IALM 2012-2014'!$B$5:$D$118,3,FALSE)-'30 years'!K9*(1+i)</f>
        <v>183352.58605572069</v>
      </c>
      <c r="N9" s="4" t="s">
        <v>20</v>
      </c>
      <c r="O9" s="78">
        <f>SUM(G9:G39)</f>
        <v>5404171.8053886909</v>
      </c>
    </row>
    <row r="10" spans="2:15" x14ac:dyDescent="0.35">
      <c r="B10" s="62">
        <f>B9+1</f>
        <v>21</v>
      </c>
      <c r="C10" s="62">
        <f>C9-1</f>
        <v>29</v>
      </c>
      <c r="D10" s="69">
        <f>D11*v*VLOOKUP(B10,'IALM 2012-2014'!$B$5:$D$118,3,FALSE)+m*v*VLOOKUP(B10,'IALM 2012-2014'!$B$5:$D$118,3,FALSE)-m+1</f>
        <v>15.361118393663869</v>
      </c>
      <c r="E10" s="63">
        <f t="shared" si="0"/>
        <v>301496.36782842805</v>
      </c>
      <c r="F10" s="72">
        <f>F11*v*VLOOKUP(B10,'IALM 2012-2014'!$B$5:$D$118,3,FALSE)+v*VLOOKUP(B10,'IALM 2012-2014'!$B$5:$D$118,2,FALSE)</f>
        <v>1.9874678580267684E-2</v>
      </c>
      <c r="G10" s="63">
        <f t="shared" si="1"/>
        <v>198746.78580267684</v>
      </c>
      <c r="H10" s="63">
        <v>0</v>
      </c>
      <c r="I10" s="63">
        <f>(fre+vre*pm_30)*'30 years'!D10</f>
        <v>20565.729830100743</v>
      </c>
      <c r="J10" s="63">
        <f t="shared" ref="J10:J39" si="2">H10+I10</f>
        <v>20565.729830100743</v>
      </c>
      <c r="K10" s="63">
        <f>((K11*VLOOKUP(B10,'IALM 2012-2014'!$B$5:$D$118,3,FALSE)+sa*VLOOKUP(B10,'IALM 2012-2014'!$B$5:$D$118,2,FALSE))/(1+i)) -P_30 + fre*12 + vre*P_30</f>
        <v>-3290775.4181693261</v>
      </c>
      <c r="L10" s="64">
        <f>K11*VLOOKUP(B10,'IALM 2012-2014'!$B$5:$D$118,3,FALSE)-'30 years'!K10*(1+i)</f>
        <v>221094.13559256122</v>
      </c>
      <c r="N10" s="4" t="s">
        <v>21</v>
      </c>
      <c r="O10" s="78">
        <f>SUM(J9:J39)</f>
        <v>429130.3699798531</v>
      </c>
    </row>
    <row r="11" spans="2:15" x14ac:dyDescent="0.35">
      <c r="B11" s="62">
        <f t="shared" ref="B11:B39" si="3">B10+1</f>
        <v>22</v>
      </c>
      <c r="C11" s="62">
        <f t="shared" ref="C11:C39" si="4">C10-1</f>
        <v>28</v>
      </c>
      <c r="D11" s="69">
        <f>D12*v*VLOOKUP(B11,'IALM 2012-2014'!$B$5:$D$118,3,FALSE)+m*v*VLOOKUP(B11,'IALM 2012-2014'!$B$5:$D$118,3,FALSE)-m+1</f>
        <v>15.116638003242093</v>
      </c>
      <c r="E11" s="63">
        <f t="shared" si="0"/>
        <v>296697.89236404747</v>
      </c>
      <c r="F11" s="72">
        <f>F12*v*VLOOKUP(B11,'IALM 2012-2014'!$B$5:$D$118,3,FALSE)+v*VLOOKUP(B11,'IALM 2012-2014'!$B$5:$D$118,2,FALSE)</f>
        <v>1.9953048656726452E-2</v>
      </c>
      <c r="G11" s="63">
        <f t="shared" si="1"/>
        <v>199530.48656726451</v>
      </c>
      <c r="H11" s="63">
        <v>0</v>
      </c>
      <c r="I11" s="63">
        <f>(fre+vre*pm_30)*'30 years'!D11</f>
        <v>20238.415273352992</v>
      </c>
      <c r="J11" s="63">
        <f t="shared" si="2"/>
        <v>20238.415273352992</v>
      </c>
      <c r="K11" s="63">
        <f>((K12*VLOOKUP(B11,'IALM 2012-2014'!$B$5:$D$118,3,FALSE)+sa*VLOOKUP(B11,'IALM 2012-2014'!$B$5:$D$118,2,FALSE))/(1+i)) -P_30 + fre*12 + vre*P_30</f>
        <v>-3237243.6390440986</v>
      </c>
      <c r="L11" s="64">
        <f>K12*VLOOKUP(B11,'IALM 2012-2014'!$B$5:$D$118,3,FALSE)-'30 years'!K11*(1+i)</f>
        <v>221064.13559256122</v>
      </c>
      <c r="N11" s="4" t="s">
        <v>22</v>
      </c>
      <c r="O11" s="78">
        <f>O10+O9-O8</f>
        <v>0</v>
      </c>
    </row>
    <row r="12" spans="2:15" x14ac:dyDescent="0.35">
      <c r="B12" s="62">
        <f t="shared" si="3"/>
        <v>23</v>
      </c>
      <c r="C12" s="62">
        <f t="shared" si="4"/>
        <v>27</v>
      </c>
      <c r="D12" s="69">
        <f>D13*v*VLOOKUP(B12,'IALM 2012-2014'!$B$5:$D$118,3,FALSE)+m*v*VLOOKUP(B12,'IALM 2012-2014'!$B$5:$D$118,3,FALSE)-m+1</f>
        <v>14.859739604413534</v>
      </c>
      <c r="E12" s="63">
        <f t="shared" si="0"/>
        <v>291655.68565989903</v>
      </c>
      <c r="F12" s="72">
        <f>F13*v*VLOOKUP(B12,'IALM 2012-2014'!$B$5:$D$118,3,FALSE)+v*VLOOKUP(B12,'IALM 2012-2014'!$B$5:$D$118,2,FALSE)</f>
        <v>2.0032471515372678E-2</v>
      </c>
      <c r="G12" s="63">
        <f t="shared" si="1"/>
        <v>200324.71515372678</v>
      </c>
      <c r="H12" s="63">
        <v>0</v>
      </c>
      <c r="I12" s="63">
        <f>(fre+vre*pm_30)*'30 years'!D12</f>
        <v>19894.47527310712</v>
      </c>
      <c r="J12" s="63">
        <f t="shared" si="2"/>
        <v>19894.47527310712</v>
      </c>
      <c r="K12" s="63">
        <f>((K13*VLOOKUP(B12,'IALM 2012-2014'!$B$5:$D$118,3,FALSE)+sa*VLOOKUP(B12,'IALM 2012-2014'!$B$5:$D$118,2,FALSE))/(1+i)) -P_30 + fre*12 + vre*P_30</f>
        <v>-3181022.303301936</v>
      </c>
      <c r="L12" s="64">
        <f>K13*VLOOKUP(B12,'IALM 2012-2014'!$B$5:$D$118,3,FALSE)-'30 years'!K12*(1+i)</f>
        <v>221074.13559256168</v>
      </c>
      <c r="N12" s="4" t="s">
        <v>8</v>
      </c>
      <c r="O12" s="78">
        <f>pm_30</f>
        <v>19627.240680130999</v>
      </c>
    </row>
    <row r="13" spans="2:15" x14ac:dyDescent="0.35">
      <c r="B13" s="62">
        <f t="shared" si="3"/>
        <v>24</v>
      </c>
      <c r="C13" s="62">
        <f t="shared" si="4"/>
        <v>26</v>
      </c>
      <c r="D13" s="69">
        <f>D14*v*VLOOKUP(B13,'IALM 2012-2014'!$B$5:$D$118,3,FALSE)+m*v*VLOOKUP(B13,'IALM 2012-2014'!$B$5:$D$118,3,FALSE)-m+1</f>
        <v>14.589728236930647</v>
      </c>
      <c r="E13" s="63">
        <f t="shared" si="0"/>
        <v>286356.1075639411</v>
      </c>
      <c r="F13" s="72">
        <f>F14*v*VLOOKUP(B13,'IALM 2012-2014'!$B$5:$D$118,3,FALSE)+v*VLOOKUP(B13,'IALM 2012-2014'!$B$5:$D$118,2,FALSE)</f>
        <v>2.011692453250374E-2</v>
      </c>
      <c r="G13" s="63">
        <f t="shared" si="1"/>
        <v>201169.24532503739</v>
      </c>
      <c r="H13" s="63">
        <v>0</v>
      </c>
      <c r="I13" s="63">
        <f>(fre+vre*pm_30)*'30 years'!D13</f>
        <v>19532.979404616217</v>
      </c>
      <c r="J13" s="63">
        <f t="shared" si="2"/>
        <v>19532.979404616217</v>
      </c>
      <c r="K13" s="63">
        <f>((K14*VLOOKUP(B13,'IALM 2012-2014'!$B$5:$D$118,3,FALSE)+sa*VLOOKUP(B13,'IALM 2012-2014'!$B$5:$D$118,2,FALSE))/(1+i)) -P_30 + fre*12 + vre*P_30</f>
        <v>-3121921.4013060941</v>
      </c>
      <c r="L13" s="64">
        <f>K14*VLOOKUP(B13,'IALM 2012-2014'!$B$5:$D$118,3,FALSE)-'30 years'!K13*(1+i)</f>
        <v>221104.13559256122</v>
      </c>
    </row>
    <row r="14" spans="2:15" x14ac:dyDescent="0.35">
      <c r="B14" s="62">
        <f t="shared" si="3"/>
        <v>25</v>
      </c>
      <c r="C14" s="62">
        <f t="shared" si="4"/>
        <v>25</v>
      </c>
      <c r="D14" s="69">
        <f>D15*v*VLOOKUP(B14,'IALM 2012-2014'!$B$5:$D$118,3,FALSE)+m*v*VLOOKUP(B14,'IALM 2012-2014'!$B$5:$D$118,3,FALSE)-m+1</f>
        <v>14.305906351069394</v>
      </c>
      <c r="E14" s="63">
        <f t="shared" si="0"/>
        <v>280785.46709985362</v>
      </c>
      <c r="F14" s="72">
        <f>F15*v*VLOOKUP(B14,'IALM 2012-2014'!$B$5:$D$118,3,FALSE)+v*VLOOKUP(B14,'IALM 2012-2014'!$B$5:$D$118,2,FALSE)</f>
        <v>2.0208625406633315E-2</v>
      </c>
      <c r="G14" s="63">
        <f t="shared" si="1"/>
        <v>202086.25406633315</v>
      </c>
      <c r="H14" s="63">
        <v>0</v>
      </c>
      <c r="I14" s="63">
        <f>(fre+vre*pm_30)*'30 years'!D14</f>
        <v>19152.993776297655</v>
      </c>
      <c r="J14" s="63">
        <f t="shared" si="2"/>
        <v>19152.993776297655</v>
      </c>
      <c r="K14" s="63">
        <f>((K15*VLOOKUP(B14,'IALM 2012-2014'!$B$5:$D$118,3,FALSE)+sa*VLOOKUP(B14,'IALM 2012-2014'!$B$5:$D$118,2,FALSE))/(1+i)) -P_30 + fre*12 + vre*P_30</f>
        <v>-3059768.0994155924</v>
      </c>
      <c r="L14" s="64">
        <f>K15*VLOOKUP(B14,'IALM 2012-2014'!$B$5:$D$118,3,FALSE)-'30 years'!K14*(1+i)</f>
        <v>221124.13559256122</v>
      </c>
    </row>
    <row r="15" spans="2:15" x14ac:dyDescent="0.35">
      <c r="B15" s="62">
        <f t="shared" si="3"/>
        <v>26</v>
      </c>
      <c r="C15" s="62">
        <f t="shared" si="4"/>
        <v>24</v>
      </c>
      <c r="D15" s="69">
        <f>D16*v*VLOOKUP(B15,'IALM 2012-2014'!$B$5:$D$118,3,FALSE)+m*v*VLOOKUP(B15,'IALM 2012-2014'!$B$5:$D$118,3,FALSE)-m+1</f>
        <v>14.007586106287819</v>
      </c>
      <c r="E15" s="63">
        <f t="shared" si="0"/>
        <v>274930.26385577006</v>
      </c>
      <c r="F15" s="72">
        <f>F16*v*VLOOKUP(B15,'IALM 2012-2014'!$B$5:$D$118,3,FALSE)+v*VLOOKUP(B15,'IALM 2012-2014'!$B$5:$D$118,2,FALSE)</f>
        <v>2.0306962459014321E-2</v>
      </c>
      <c r="G15" s="63">
        <f t="shared" si="1"/>
        <v>203069.62459014321</v>
      </c>
      <c r="H15" s="63">
        <v>0</v>
      </c>
      <c r="I15" s="63">
        <f>(fre+vre*pm_30)*'30 years'!D15</f>
        <v>18753.597495388967</v>
      </c>
      <c r="J15" s="63">
        <f t="shared" si="2"/>
        <v>18753.597495388967</v>
      </c>
      <c r="K15" s="63">
        <f>((K16*VLOOKUP(B15,'IALM 2012-2014'!$B$5:$D$118,3,FALSE)+sa*VLOOKUP(B15,'IALM 2012-2014'!$B$5:$D$118,2,FALSE))/(1+i)) -P_30 + fre*12 + vre*P_30</f>
        <v>-2994420.173975782</v>
      </c>
      <c r="L15" s="64">
        <f>K16*VLOOKUP(B15,'IALM 2012-2014'!$B$5:$D$118,3,FALSE)-'30 years'!K15*(1+i)</f>
        <v>221124.13559256122</v>
      </c>
    </row>
    <row r="16" spans="2:15" x14ac:dyDescent="0.35">
      <c r="B16" s="62">
        <f t="shared" si="3"/>
        <v>27</v>
      </c>
      <c r="C16" s="62">
        <f t="shared" si="4"/>
        <v>23</v>
      </c>
      <c r="D16" s="69">
        <f>D17*v*VLOOKUP(B16,'IALM 2012-2014'!$B$5:$D$118,3,FALSE)+m*v*VLOOKUP(B16,'IALM 2012-2014'!$B$5:$D$118,3,FALSE)-m+1</f>
        <v>13.694057954557904</v>
      </c>
      <c r="E16" s="63">
        <f t="shared" si="0"/>
        <v>268776.57136177039</v>
      </c>
      <c r="F16" s="72">
        <f>F17*v*VLOOKUP(B16,'IALM 2012-2014'!$B$5:$D$118,3,FALSE)+v*VLOOKUP(B16,'IALM 2012-2014'!$B$5:$D$118,2,FALSE)</f>
        <v>2.0410312582979793E-2</v>
      </c>
      <c r="G16" s="63">
        <f t="shared" si="1"/>
        <v>204103.12582979794</v>
      </c>
      <c r="H16" s="63">
        <v>0</v>
      </c>
      <c r="I16" s="63">
        <f>(fre+vre*pm_30)*'30 years'!D16</f>
        <v>18333.84060677154</v>
      </c>
      <c r="J16" s="63">
        <f t="shared" si="2"/>
        <v>18333.84060677154</v>
      </c>
      <c r="K16" s="63">
        <f>((K17*VLOOKUP(B16,'IALM 2012-2014'!$B$5:$D$118,3,FALSE)+sa*VLOOKUP(B16,'IALM 2012-2014'!$B$5:$D$118,2,FALSE))/(1+i)) -P_30 + fre*12 + vre*P_30</f>
        <v>-2925740.911870962</v>
      </c>
      <c r="L16" s="64">
        <f>K17*VLOOKUP(B16,'IALM 2012-2014'!$B$5:$D$118,3,FALSE)-'30 years'!K16*(1+i)</f>
        <v>221094.13559256122</v>
      </c>
    </row>
    <row r="17" spans="2:12" x14ac:dyDescent="0.35">
      <c r="B17" s="62">
        <f t="shared" si="3"/>
        <v>28</v>
      </c>
      <c r="C17" s="62">
        <f t="shared" si="4"/>
        <v>22</v>
      </c>
      <c r="D17" s="69">
        <f>D18*v*VLOOKUP(B17,'IALM 2012-2014'!$B$5:$D$118,3,FALSE)+m*v*VLOOKUP(B17,'IALM 2012-2014'!$B$5:$D$118,3,FALSE)-m+1</f>
        <v>13.364588127596978</v>
      </c>
      <c r="E17" s="63">
        <f t="shared" si="0"/>
        <v>262309.98777116719</v>
      </c>
      <c r="F17" s="72">
        <f>F18*v*VLOOKUP(B17,'IALM 2012-2014'!$B$5:$D$118,3,FALSE)+v*VLOOKUP(B17,'IALM 2012-2014'!$B$5:$D$118,2,FALSE)</f>
        <v>2.0515990146926014E-2</v>
      </c>
      <c r="G17" s="63">
        <f t="shared" si="1"/>
        <v>205159.90146926013</v>
      </c>
      <c r="H17" s="63">
        <v>0</v>
      </c>
      <c r="I17" s="63">
        <f>(fre+vre*pm_30)*'30 years'!D17</f>
        <v>17892.740728832749</v>
      </c>
      <c r="J17" s="63">
        <f t="shared" si="2"/>
        <v>17892.740728832749</v>
      </c>
      <c r="K17" s="63">
        <f>((K18*VLOOKUP(B17,'IALM 2012-2014'!$B$5:$D$118,3,FALSE)+sa*VLOOKUP(B17,'IALM 2012-2014'!$B$5:$D$118,2,FALSE))/(1+i)) -P_30 + fre*12 + vre*P_30</f>
        <v>-2853599.0834158594</v>
      </c>
      <c r="L17" s="64">
        <f>K18*VLOOKUP(B17,'IALM 2012-2014'!$B$5:$D$118,3,FALSE)-'30 years'!K17*(1+i)</f>
        <v>221014.13559256168</v>
      </c>
    </row>
    <row r="18" spans="2:12" x14ac:dyDescent="0.35">
      <c r="B18" s="62">
        <f t="shared" si="3"/>
        <v>29</v>
      </c>
      <c r="C18" s="62">
        <f t="shared" si="4"/>
        <v>21</v>
      </c>
      <c r="D18" s="69">
        <f>D19*v*VLOOKUP(B18,'IALM 2012-2014'!$B$5:$D$118,3,FALSE)+m*v*VLOOKUP(B18,'IALM 2012-2014'!$B$5:$D$118,3,FALSE)-m+1</f>
        <v>13.01842931105451</v>
      </c>
      <c r="E18" s="63">
        <f t="shared" si="0"/>
        <v>255515.84536533884</v>
      </c>
      <c r="F18" s="72">
        <f>F19*v*VLOOKUP(B18,'IALM 2012-2014'!$B$5:$D$118,3,FALSE)+v*VLOOKUP(B18,'IALM 2012-2014'!$B$5:$D$118,2,FALSE)</f>
        <v>2.0619212952873923E-2</v>
      </c>
      <c r="G18" s="63">
        <f t="shared" si="1"/>
        <v>206192.12952873923</v>
      </c>
      <c r="H18" s="63">
        <v>0</v>
      </c>
      <c r="I18" s="63">
        <f>(fre+vre*pm_30)*'30 years'!D18</f>
        <v>17429.297344251048</v>
      </c>
      <c r="J18" s="63">
        <f t="shared" si="2"/>
        <v>17429.297344251048</v>
      </c>
      <c r="K18" s="63">
        <f>((K19*VLOOKUP(B18,'IALM 2012-2014'!$B$5:$D$118,3,FALSE)+sa*VLOOKUP(B18,'IALM 2012-2014'!$B$5:$D$118,2,FALSE))/(1+i)) -P_30 + fre*12 + vre*P_30</f>
        <v>-2777881.6665239567</v>
      </c>
      <c r="L18" s="64">
        <f>K19*VLOOKUP(B18,'IALM 2012-2014'!$B$5:$D$118,3,FALSE)-'30 years'!K18*(1+i)</f>
        <v>220874.13559256168</v>
      </c>
    </row>
    <row r="19" spans="2:12" x14ac:dyDescent="0.35">
      <c r="B19" s="62">
        <f t="shared" si="3"/>
        <v>30</v>
      </c>
      <c r="C19" s="62">
        <f t="shared" si="4"/>
        <v>20</v>
      </c>
      <c r="D19" s="69">
        <f>D20*v*VLOOKUP(B19,'IALM 2012-2014'!$B$5:$D$118,3,FALSE)+m*v*VLOOKUP(B19,'IALM 2012-2014'!$B$5:$D$118,3,FALSE)-m+1</f>
        <v>12.654803602184257</v>
      </c>
      <c r="E19" s="63">
        <f t="shared" si="0"/>
        <v>248378.87605985915</v>
      </c>
      <c r="F19" s="72">
        <f>F20*v*VLOOKUP(B19,'IALM 2012-2014'!$B$5:$D$118,3,FALSE)+v*VLOOKUP(B19,'IALM 2012-2014'!$B$5:$D$118,2,FALSE)</f>
        <v>2.071397616172823E-2</v>
      </c>
      <c r="G19" s="63">
        <f t="shared" si="1"/>
        <v>207139.76161728229</v>
      </c>
      <c r="H19" s="63">
        <v>0</v>
      </c>
      <c r="I19" s="63">
        <f>(fre+vre*pm_30)*'30 years'!D19</f>
        <v>16942.468983433966</v>
      </c>
      <c r="J19" s="63">
        <f t="shared" si="2"/>
        <v>16942.468983433966</v>
      </c>
      <c r="K19" s="63">
        <f>((K20*VLOOKUP(B19,'IALM 2012-2014'!$B$5:$D$118,3,FALSE)+sa*VLOOKUP(B19,'IALM 2012-2014'!$B$5:$D$118,2,FALSE))/(1+i)) -P_30 + fre*12 + vre*P_30</f>
        <v>-2698481.362440086</v>
      </c>
      <c r="L19" s="64">
        <f>K20*VLOOKUP(B19,'IALM 2012-2014'!$B$5:$D$118,3,FALSE)-'30 years'!K19*(1+i)</f>
        <v>220664.13559256168</v>
      </c>
    </row>
    <row r="20" spans="2:12" x14ac:dyDescent="0.35">
      <c r="B20" s="62">
        <f t="shared" si="3"/>
        <v>31</v>
      </c>
      <c r="C20" s="62">
        <f t="shared" si="4"/>
        <v>19</v>
      </c>
      <c r="D20" s="69">
        <f>D21*v*VLOOKUP(B20,'IALM 2012-2014'!$B$5:$D$118,3,FALSE)+m*v*VLOOKUP(B20,'IALM 2012-2014'!$B$5:$D$118,3,FALSE)-m+1</f>
        <v>12.272898862815776</v>
      </c>
      <c r="E20" s="63">
        <f t="shared" si="0"/>
        <v>240883.13982339128</v>
      </c>
      <c r="F20" s="72">
        <f>F21*v*VLOOKUP(B20,'IALM 2012-2014'!$B$5:$D$118,3,FALSE)+v*VLOOKUP(B20,'IALM 2012-2014'!$B$5:$D$118,2,FALSE)</f>
        <v>2.0792989720771839E-2</v>
      </c>
      <c r="G20" s="63">
        <f t="shared" si="1"/>
        <v>207929.8972077184</v>
      </c>
      <c r="H20" s="63">
        <v>0</v>
      </c>
      <c r="I20" s="63">
        <f>(fre+vre*pm_30)*'30 years'!D20</f>
        <v>16431.168341813569</v>
      </c>
      <c r="J20" s="63">
        <f t="shared" si="2"/>
        <v>16431.168341813569</v>
      </c>
      <c r="K20" s="63">
        <f>((K21*VLOOKUP(B20,'IALM 2012-2014'!$B$5:$D$118,3,FALSE)+sa*VLOOKUP(B20,'IALM 2012-2014'!$B$5:$D$118,2,FALSE))/(1+i)) -P_30 + fre*12 + vre*P_30</f>
        <v>-2615296.4395910092</v>
      </c>
      <c r="L20" s="64">
        <f>K21*VLOOKUP(B20,'IALM 2012-2014'!$B$5:$D$118,3,FALSE)-'30 years'!K20*(1+i)</f>
        <v>220384.13559256122</v>
      </c>
    </row>
    <row r="21" spans="2:12" x14ac:dyDescent="0.35">
      <c r="B21" s="62">
        <f t="shared" si="3"/>
        <v>32</v>
      </c>
      <c r="C21" s="62">
        <f t="shared" si="4"/>
        <v>18</v>
      </c>
      <c r="D21" s="69">
        <f>D22*v*VLOOKUP(B21,'IALM 2012-2014'!$B$5:$D$118,3,FALSE)+m*v*VLOOKUP(B21,'IALM 2012-2014'!$B$5:$D$118,3,FALSE)-m+1</f>
        <v>11.871852309193972</v>
      </c>
      <c r="E21" s="63">
        <f t="shared" si="0"/>
        <v>233011.70259151908</v>
      </c>
      <c r="F21" s="72">
        <f>F22*v*VLOOKUP(B21,'IALM 2012-2014'!$B$5:$D$118,3,FALSE)+v*VLOOKUP(B21,'IALM 2012-2014'!$B$5:$D$118,2,FALSE)</f>
        <v>2.0848592041812455E-2</v>
      </c>
      <c r="G21" s="63">
        <f t="shared" si="1"/>
        <v>208485.92041812456</v>
      </c>
      <c r="H21" s="63">
        <v>0</v>
      </c>
      <c r="I21" s="63">
        <f>(fre+vre*pm_30)*'30 years'!D21</f>
        <v>15894.240309641051</v>
      </c>
      <c r="J21" s="63">
        <f t="shared" si="2"/>
        <v>15894.240309641051</v>
      </c>
      <c r="K21" s="63">
        <f>((K22*VLOOKUP(B21,'IALM 2012-2014'!$B$5:$D$118,3,FALSE)+sa*VLOOKUP(B21,'IALM 2012-2014'!$B$5:$D$118,2,FALSE))/(1+i)) -P_30 + fre*12 + vre*P_30</f>
        <v>-2528217.9850529768</v>
      </c>
      <c r="L21" s="64">
        <f>K22*VLOOKUP(B21,'IALM 2012-2014'!$B$5:$D$118,3,FALSE)-'30 years'!K21*(1+i)</f>
        <v>220014.13559256122</v>
      </c>
    </row>
    <row r="22" spans="2:12" x14ac:dyDescent="0.35">
      <c r="B22" s="62">
        <f t="shared" si="3"/>
        <v>33</v>
      </c>
      <c r="C22" s="62">
        <f t="shared" si="4"/>
        <v>17</v>
      </c>
      <c r="D22" s="69">
        <f>D23*v*VLOOKUP(B22,'IALM 2012-2014'!$B$5:$D$118,3,FALSE)+m*v*VLOOKUP(B22,'IALM 2012-2014'!$B$5:$D$118,3,FALSE)-m+1</f>
        <v>11.450770877908452</v>
      </c>
      <c r="E22" s="63">
        <f t="shared" si="0"/>
        <v>224747.03599374412</v>
      </c>
      <c r="F22" s="72">
        <f>F23*v*VLOOKUP(B22,'IALM 2012-2014'!$B$5:$D$118,3,FALSE)+v*VLOOKUP(B22,'IALM 2012-2014'!$B$5:$D$118,2,FALSE)</f>
        <v>2.0870768985185643E-2</v>
      </c>
      <c r="G22" s="63">
        <f t="shared" si="1"/>
        <v>208707.68985185644</v>
      </c>
      <c r="H22" s="63">
        <v>0</v>
      </c>
      <c r="I22" s="63">
        <f>(fre+vre*pm_30)*'30 years'!D22</f>
        <v>15330.489238243663</v>
      </c>
      <c r="J22" s="63">
        <f t="shared" si="2"/>
        <v>15330.489238243663</v>
      </c>
      <c r="K22" s="63">
        <f>((K23*VLOOKUP(B22,'IALM 2012-2014'!$B$5:$D$118,3,FALSE)+sa*VLOOKUP(B22,'IALM 2012-2014'!$B$5:$D$118,2,FALSE))/(1+i)) -P_30 + fre*12 + vre*P_30</f>
        <v>-2437154.2634555851</v>
      </c>
      <c r="L22" s="64">
        <f>K23*VLOOKUP(B22,'IALM 2012-2014'!$B$5:$D$118,3,FALSE)-'30 years'!K22*(1+i)</f>
        <v>219574.13559256122</v>
      </c>
    </row>
    <row r="23" spans="2:12" x14ac:dyDescent="0.35">
      <c r="B23" s="62">
        <f t="shared" si="3"/>
        <v>34</v>
      </c>
      <c r="C23" s="62">
        <f t="shared" si="4"/>
        <v>16</v>
      </c>
      <c r="D23" s="69">
        <f>D24*v*VLOOKUP(B23,'IALM 2012-2014'!$B$5:$D$118,3,FALSE)+m*v*VLOOKUP(B23,'IALM 2012-2014'!$B$5:$D$118,3,FALSE)-m+1</f>
        <v>11.008679264151411</v>
      </c>
      <c r="E23" s="63">
        <f t="shared" si="0"/>
        <v>216069.99748786716</v>
      </c>
      <c r="F23" s="72">
        <f>F24*v*VLOOKUP(B23,'IALM 2012-2014'!$B$5:$D$118,3,FALSE)+v*VLOOKUP(B23,'IALM 2012-2014'!$B$5:$D$118,2,FALSE)</f>
        <v>2.0850951567847609E-2</v>
      </c>
      <c r="G23" s="63">
        <f t="shared" si="1"/>
        <v>208509.51567847608</v>
      </c>
      <c r="H23" s="63">
        <v>0</v>
      </c>
      <c r="I23" s="63">
        <f>(fre+vre*pm_30)*'30 years'!D23</f>
        <v>14738.609372749572</v>
      </c>
      <c r="J23" s="63">
        <f t="shared" si="2"/>
        <v>14738.609372749572</v>
      </c>
      <c r="K23" s="63">
        <f>((K24*VLOOKUP(B23,'IALM 2012-2014'!$B$5:$D$118,3,FALSE)+sa*VLOOKUP(B23,'IALM 2012-2014'!$B$5:$D$118,2,FALSE))/(1+i)) -P_30 + fre*12 + vre*P_30</f>
        <v>-2341981.2326544663</v>
      </c>
      <c r="L23" s="64">
        <f>K24*VLOOKUP(B23,'IALM 2012-2014'!$B$5:$D$118,3,FALSE)-'30 years'!K23*(1+i)</f>
        <v>219034.13559256122</v>
      </c>
    </row>
    <row r="24" spans="2:12" x14ac:dyDescent="0.35">
      <c r="B24" s="62">
        <f t="shared" si="3"/>
        <v>35</v>
      </c>
      <c r="C24" s="62">
        <f t="shared" si="4"/>
        <v>15</v>
      </c>
      <c r="D24" s="69">
        <f>D25*v*VLOOKUP(B24,'IALM 2012-2014'!$B$5:$D$118,3,FALSE)+m*v*VLOOKUP(B24,'IALM 2012-2014'!$B$5:$D$118,3,FALSE)-m+1</f>
        <v>10.544573207482179</v>
      </c>
      <c r="E24" s="63">
        <f t="shared" si="0"/>
        <v>206960.87621251363</v>
      </c>
      <c r="F24" s="72">
        <f>F25*v*VLOOKUP(B24,'IALM 2012-2014'!$B$5:$D$118,3,FALSE)+v*VLOOKUP(B24,'IALM 2012-2014'!$B$5:$D$118,2,FALSE)</f>
        <v>2.0777185137296508E-2</v>
      </c>
      <c r="G24" s="63">
        <f t="shared" si="1"/>
        <v>207771.85137296509</v>
      </c>
      <c r="H24" s="63">
        <v>0</v>
      </c>
      <c r="I24" s="63">
        <f>(fre+vre*pm_30)*'30 years'!D24</f>
        <v>14117.256191987042</v>
      </c>
      <c r="J24" s="63">
        <f t="shared" si="2"/>
        <v>14117.256191987042</v>
      </c>
      <c r="K24" s="63">
        <f>((K25*VLOOKUP(B24,'IALM 2012-2014'!$B$5:$D$118,3,FALSE)+sa*VLOOKUP(B24,'IALM 2012-2014'!$B$5:$D$118,2,FALSE))/(1+i)) -P_30 + fre*12 + vre*P_30</f>
        <v>-2242602.725802043</v>
      </c>
      <c r="L24" s="64">
        <f>K25*VLOOKUP(B24,'IALM 2012-2014'!$B$5:$D$118,3,FALSE)-'30 years'!K24*(1+i)</f>
        <v>218414.13559256122</v>
      </c>
    </row>
    <row r="25" spans="2:12" x14ac:dyDescent="0.35">
      <c r="B25" s="62">
        <f t="shared" si="3"/>
        <v>36</v>
      </c>
      <c r="C25" s="62">
        <f t="shared" si="4"/>
        <v>14</v>
      </c>
      <c r="D25" s="69">
        <f>D26*v*VLOOKUP(B25,'IALM 2012-2014'!$B$5:$D$118,3,FALSE)+m*v*VLOOKUP(B25,'IALM 2012-2014'!$B$5:$D$118,3,FALSE)-m+1</f>
        <v>10.057358395981593</v>
      </c>
      <c r="E25" s="63">
        <f t="shared" si="0"/>
        <v>197398.19384426696</v>
      </c>
      <c r="F25" s="72">
        <f>F26*v*VLOOKUP(B25,'IALM 2012-2014'!$B$5:$D$118,3,FALSE)+v*VLOOKUP(B25,'IALM 2012-2014'!$B$5:$D$118,2,FALSE)</f>
        <v>2.0638852294619467E-2</v>
      </c>
      <c r="G25" s="63">
        <f t="shared" si="1"/>
        <v>206388.52294619466</v>
      </c>
      <c r="H25" s="63">
        <v>0</v>
      </c>
      <c r="I25" s="63">
        <f>(fre+vre*pm_30)*'30 years'!D25</f>
        <v>13464.964612314203</v>
      </c>
      <c r="J25" s="63">
        <f t="shared" si="2"/>
        <v>13464.964612314203</v>
      </c>
      <c r="K25" s="63">
        <f>((K26*VLOOKUP(B25,'IALM 2012-2014'!$B$5:$D$118,3,FALSE)+sa*VLOOKUP(B25,'IALM 2012-2014'!$B$5:$D$118,2,FALSE))/(1+i)) -P_30 + fre*12 + vre*P_30</f>
        <v>-2138889.6718851901</v>
      </c>
      <c r="L25" s="64">
        <f>K26*VLOOKUP(B25,'IALM 2012-2014'!$B$5:$D$118,3,FALSE)-'30 years'!K25*(1+i)</f>
        <v>217684.13559256145</v>
      </c>
    </row>
    <row r="26" spans="2:12" x14ac:dyDescent="0.35">
      <c r="B26" s="62">
        <f t="shared" si="3"/>
        <v>37</v>
      </c>
      <c r="C26" s="62">
        <f t="shared" si="4"/>
        <v>13</v>
      </c>
      <c r="D26" s="69">
        <f>D27*v*VLOOKUP(B26,'IALM 2012-2014'!$B$5:$D$118,3,FALSE)+m*v*VLOOKUP(B26,'IALM 2012-2014'!$B$5:$D$118,3,FALSE)-m+1</f>
        <v>9.5458983778791371</v>
      </c>
      <c r="E26" s="63">
        <f t="shared" si="0"/>
        <v>187359.64497070591</v>
      </c>
      <c r="F26" s="72">
        <f>F27*v*VLOOKUP(B26,'IALM 2012-2014'!$B$5:$D$118,3,FALSE)+v*VLOOKUP(B26,'IALM 2012-2014'!$B$5:$D$118,2,FALSE)</f>
        <v>2.0421832746101723E-2</v>
      </c>
      <c r="G26" s="63">
        <f t="shared" si="1"/>
        <v>204218.32746101724</v>
      </c>
      <c r="H26" s="63">
        <v>0</v>
      </c>
      <c r="I26" s="63">
        <f>(fre+vre*pm_30)*'30 years'!D26</f>
        <v>12780.213132530529</v>
      </c>
      <c r="J26" s="63">
        <f t="shared" si="2"/>
        <v>12780.213132530529</v>
      </c>
      <c r="K26" s="63">
        <f>((K27*VLOOKUP(B26,'IALM 2012-2014'!$B$5:$D$118,3,FALSE)+sa*VLOOKUP(B26,'IALM 2012-2014'!$B$5:$D$118,2,FALSE))/(1+i)) -P_30 + fre*12 + vre*P_30</f>
        <v>-2030739.2123826763</v>
      </c>
      <c r="L26" s="64">
        <f>K27*VLOOKUP(B26,'IALM 2012-2014'!$B$5:$D$118,3,FALSE)-'30 years'!K26*(1+i)</f>
        <v>216854.13559256122</v>
      </c>
    </row>
    <row r="27" spans="2:12" x14ac:dyDescent="0.35">
      <c r="B27" s="62">
        <f t="shared" si="3"/>
        <v>38</v>
      </c>
      <c r="C27" s="62">
        <f t="shared" si="4"/>
        <v>12</v>
      </c>
      <c r="D27" s="69">
        <f>D28*v*VLOOKUP(B27,'IALM 2012-2014'!$B$5:$D$118,3,FALSE)+m*v*VLOOKUP(B27,'IALM 2012-2014'!$B$5:$D$118,3,FALSE)-m+1</f>
        <v>9.0089665566904138</v>
      </c>
      <c r="E27" s="63">
        <f t="shared" si="0"/>
        <v>176821.15488741378</v>
      </c>
      <c r="F27" s="72">
        <f>F28*v*VLOOKUP(B27,'IALM 2012-2014'!$B$5:$D$118,3,FALSE)+v*VLOOKUP(B27,'IALM 2012-2014'!$B$5:$D$118,2,FALSE)</f>
        <v>2.0112236800982543E-2</v>
      </c>
      <c r="G27" s="63">
        <f t="shared" si="1"/>
        <v>201122.36800982544</v>
      </c>
      <c r="H27" s="63">
        <v>0</v>
      </c>
      <c r="I27" s="63">
        <f>(fre+vre*pm_30)*'30 years'!D27</f>
        <v>12061.359564140223</v>
      </c>
      <c r="J27" s="63">
        <f t="shared" si="2"/>
        <v>12061.359564140223</v>
      </c>
      <c r="K27" s="63">
        <f>((K28*VLOOKUP(B27,'IALM 2012-2014'!$B$5:$D$118,3,FALSE)+sa*VLOOKUP(B27,'IALM 2012-2014'!$B$5:$D$118,2,FALSE))/(1+i)) -P_30 + fre*12 + vre*P_30</f>
        <v>-1918026.7176918748</v>
      </c>
      <c r="L27" s="64">
        <f>K28*VLOOKUP(B27,'IALM 2012-2014'!$B$5:$D$118,3,FALSE)-'30 years'!K27*(1+i)</f>
        <v>215904.13559256098</v>
      </c>
    </row>
    <row r="28" spans="2:12" x14ac:dyDescent="0.35">
      <c r="B28" s="62">
        <f t="shared" si="3"/>
        <v>39</v>
      </c>
      <c r="C28" s="62">
        <f t="shared" si="4"/>
        <v>11</v>
      </c>
      <c r="D28" s="69">
        <f>D29*v*VLOOKUP(B28,'IALM 2012-2014'!$B$5:$D$118,3,FALSE)+m*v*VLOOKUP(B28,'IALM 2012-2014'!$B$5:$D$118,3,FALSE)-m+1</f>
        <v>8.4452684846331074</v>
      </c>
      <c r="E28" s="63">
        <f t="shared" si="0"/>
        <v>165757.31715621921</v>
      </c>
      <c r="F28" s="72">
        <f>F29*v*VLOOKUP(B28,'IALM 2012-2014'!$B$5:$D$118,3,FALSE)+v*VLOOKUP(B28,'IALM 2012-2014'!$B$5:$D$118,2,FALSE)</f>
        <v>1.9693463243123929E-2</v>
      </c>
      <c r="G28" s="63">
        <f t="shared" si="1"/>
        <v>196934.6324312393</v>
      </c>
      <c r="H28" s="63">
        <v>0</v>
      </c>
      <c r="I28" s="63">
        <f>(fre+vre*pm_30)*'30 years'!D28</f>
        <v>11306.670878161407</v>
      </c>
      <c r="J28" s="63">
        <f t="shared" si="2"/>
        <v>11306.670878161407</v>
      </c>
      <c r="K28" s="63">
        <f>((K29*VLOOKUP(B28,'IALM 2012-2014'!$B$5:$D$118,3,FALSE)+sa*VLOOKUP(B28,'IALM 2012-2014'!$B$5:$D$118,2,FALSE))/(1+i)) -P_30 + fre*12 + vre*P_30</f>
        <v>-1800640.2482646364</v>
      </c>
      <c r="L28" s="64">
        <f>K29*VLOOKUP(B28,'IALM 2012-2014'!$B$5:$D$118,3,FALSE)-'30 years'!K28*(1+i)</f>
        <v>214834.13559256098</v>
      </c>
    </row>
    <row r="29" spans="2:12" x14ac:dyDescent="0.35">
      <c r="B29" s="62">
        <f t="shared" si="3"/>
        <v>40</v>
      </c>
      <c r="C29" s="62">
        <f t="shared" si="4"/>
        <v>10</v>
      </c>
      <c r="D29" s="69">
        <f>D30*v*VLOOKUP(B29,'IALM 2012-2014'!$B$5:$D$118,3,FALSE)+m*v*VLOOKUP(B29,'IALM 2012-2014'!$B$5:$D$118,3,FALSE)-m+1</f>
        <v>7.8534149027797673</v>
      </c>
      <c r="E29" s="63">
        <f t="shared" si="0"/>
        <v>154140.86445778608</v>
      </c>
      <c r="F29" s="72">
        <f>F30*v*VLOOKUP(B29,'IALM 2012-2014'!$B$5:$D$118,3,FALSE)+v*VLOOKUP(B29,'IALM 2012-2014'!$B$5:$D$118,2,FALSE)</f>
        <v>1.9148007296662922E-2</v>
      </c>
      <c r="G29" s="63">
        <f t="shared" si="1"/>
        <v>191480.0729666292</v>
      </c>
      <c r="H29" s="63">
        <v>0</v>
      </c>
      <c r="I29" s="63">
        <f>(fre+vre*pm_30)*'30 years'!D29</f>
        <v>10514.287110818408</v>
      </c>
      <c r="J29" s="63">
        <f t="shared" si="2"/>
        <v>10514.287110818408</v>
      </c>
      <c r="K29" s="63">
        <f>((K30*VLOOKUP(B29,'IALM 2012-2014'!$B$5:$D$118,3,FALSE)+sa*VLOOKUP(B29,'IALM 2012-2014'!$B$5:$D$118,2,FALSE))/(1+i)) -P_30 + fre*12 + vre*P_30</f>
        <v>-1678456.5172522208</v>
      </c>
      <c r="L29" s="64">
        <f>K30*VLOOKUP(B29,'IALM 2012-2014'!$B$5:$D$118,3,FALSE)-'30 years'!K29*(1+i)</f>
        <v>213634.13559256098</v>
      </c>
    </row>
    <row r="30" spans="2:12" x14ac:dyDescent="0.35">
      <c r="B30" s="62">
        <f t="shared" si="3"/>
        <v>41</v>
      </c>
      <c r="C30" s="62">
        <f t="shared" si="4"/>
        <v>9</v>
      </c>
      <c r="D30" s="69">
        <f>D31*v*VLOOKUP(B30,'IALM 2012-2014'!$B$5:$D$118,3,FALSE)+m*v*VLOOKUP(B30,'IALM 2012-2014'!$B$5:$D$118,3,FALSE)-m+1</f>
        <v>7.2319219434504189</v>
      </c>
      <c r="E30" s="63">
        <f t="shared" si="0"/>
        <v>141942.6725640221</v>
      </c>
      <c r="F30" s="72">
        <f>F31*v*VLOOKUP(B30,'IALM 2012-2014'!$B$5:$D$118,3,FALSE)+v*VLOOKUP(B30,'IALM 2012-2014'!$B$5:$D$118,2,FALSE)</f>
        <v>1.8456414437751492E-2</v>
      </c>
      <c r="G30" s="63">
        <f t="shared" si="1"/>
        <v>184564.14437751492</v>
      </c>
      <c r="H30" s="63">
        <v>0</v>
      </c>
      <c r="I30" s="63">
        <f>(fre+vre*pm_30)*'30 years'!D30</f>
        <v>9682.2216345084762</v>
      </c>
      <c r="J30" s="63">
        <f t="shared" si="2"/>
        <v>9682.2216345084762</v>
      </c>
      <c r="K30" s="63">
        <f>((K31*VLOOKUP(B30,'IALM 2012-2014'!$B$5:$D$118,3,FALSE)+sa*VLOOKUP(B30,'IALM 2012-2014'!$B$5:$D$118,2,FALSE))/(1+i)) -P_30 + fre*12 + vre*P_30</f>
        <v>-1551351.4780053198</v>
      </c>
      <c r="L30" s="64">
        <f>K31*VLOOKUP(B30,'IALM 2012-2014'!$B$5:$D$118,3,FALSE)-'30 years'!K30*(1+i)</f>
        <v>212284.13559256098</v>
      </c>
    </row>
    <row r="31" spans="2:12" x14ac:dyDescent="0.35">
      <c r="B31" s="62">
        <f t="shared" si="3"/>
        <v>42</v>
      </c>
      <c r="C31" s="62">
        <f t="shared" si="4"/>
        <v>8</v>
      </c>
      <c r="D31" s="69">
        <f>D32*v*VLOOKUP(B31,'IALM 2012-2014'!$B$5:$D$118,3,FALSE)+m*v*VLOOKUP(B31,'IALM 2012-2014'!$B$5:$D$118,3,FALSE)-m+1</f>
        <v>6.5792078445274242</v>
      </c>
      <c r="E31" s="63">
        <f t="shared" si="0"/>
        <v>129131.69584914565</v>
      </c>
      <c r="F31" s="72">
        <f>F32*v*VLOOKUP(B31,'IALM 2012-2014'!$B$5:$D$118,3,FALSE)+v*VLOOKUP(B31,'IALM 2012-2014'!$B$5:$D$118,2,FALSE)</f>
        <v>1.759617221220422E-2</v>
      </c>
      <c r="G31" s="63">
        <f t="shared" si="1"/>
        <v>175961.72212204221</v>
      </c>
      <c r="H31" s="63">
        <v>0</v>
      </c>
      <c r="I31" s="63">
        <f>(fre+vre*pm_30)*'30 years'!D31</f>
        <v>8808.356758869937</v>
      </c>
      <c r="J31" s="63">
        <f t="shared" si="2"/>
        <v>8808.356758869937</v>
      </c>
      <c r="K31" s="63">
        <f>((K32*VLOOKUP(B31,'IALM 2012-2014'!$B$5:$D$118,3,FALSE)+sa*VLOOKUP(B31,'IALM 2012-2014'!$B$5:$D$118,2,FALSE))/(1+i)) -P_30 + fre*12 + vre*P_30</f>
        <v>-1419210.7838857777</v>
      </c>
      <c r="L31" s="64">
        <f>K32*VLOOKUP(B31,'IALM 2012-2014'!$B$5:$D$118,3,FALSE)-'30 years'!K31*(1+i)</f>
        <v>210744.13559256098</v>
      </c>
    </row>
    <row r="32" spans="2:12" x14ac:dyDescent="0.35">
      <c r="B32" s="62">
        <f t="shared" si="3"/>
        <v>43</v>
      </c>
      <c r="C32" s="62">
        <f t="shared" si="4"/>
        <v>7</v>
      </c>
      <c r="D32" s="69">
        <f>D33*v*VLOOKUP(B32,'IALM 2012-2014'!$B$5:$D$118,3,FALSE)+m*v*VLOOKUP(B32,'IALM 2012-2014'!$B$5:$D$118,3,FALSE)-m+1</f>
        <v>5.8935918440948178</v>
      </c>
      <c r="E32" s="63">
        <f t="shared" si="0"/>
        <v>115674.94559450608</v>
      </c>
      <c r="F32" s="72">
        <f>F33*v*VLOOKUP(B32,'IALM 2012-2014'!$B$5:$D$118,3,FALSE)+v*VLOOKUP(B32,'IALM 2012-2014'!$B$5:$D$118,2,FALSE)</f>
        <v>1.6539547191233968E-2</v>
      </c>
      <c r="G32" s="63">
        <f t="shared" si="1"/>
        <v>165395.47191233968</v>
      </c>
      <c r="H32" s="63">
        <v>0</v>
      </c>
      <c r="I32" s="63">
        <f>(fre+vre*pm_30)*'30 years'!D32</f>
        <v>7890.4422509062952</v>
      </c>
      <c r="J32" s="63">
        <f t="shared" si="2"/>
        <v>7890.4422509062952</v>
      </c>
      <c r="K32" s="63">
        <f>((K33*VLOOKUP(B32,'IALM 2012-2014'!$B$5:$D$118,3,FALSE)+sa*VLOOKUP(B32,'IALM 2012-2014'!$B$5:$D$118,2,FALSE))/(1+i)) -P_30 + fre*12 + vre*P_30</f>
        <v>-1281951.3496950553</v>
      </c>
      <c r="L32" s="64">
        <f>K33*VLOOKUP(B32,'IALM 2012-2014'!$B$5:$D$118,3,FALSE)-'30 years'!K32*(1+i)</f>
        <v>208994.13559256098</v>
      </c>
    </row>
    <row r="33" spans="2:12" x14ac:dyDescent="0.35">
      <c r="B33" s="62">
        <f t="shared" si="3"/>
        <v>44</v>
      </c>
      <c r="C33" s="62">
        <f t="shared" si="4"/>
        <v>6</v>
      </c>
      <c r="D33" s="69">
        <f>D34*v*VLOOKUP(B33,'IALM 2012-2014'!$B$5:$D$118,3,FALSE)+m*v*VLOOKUP(B33,'IALM 2012-2014'!$B$5:$D$118,3,FALSE)-m+1</f>
        <v>5.1732622438837792</v>
      </c>
      <c r="E33" s="63">
        <f t="shared" si="0"/>
        <v>101536.86316214148</v>
      </c>
      <c r="F33" s="72">
        <f>F34*v*VLOOKUP(B33,'IALM 2012-2014'!$B$5:$D$118,3,FALSE)+v*VLOOKUP(B33,'IALM 2012-2014'!$B$5:$D$118,2,FALSE)</f>
        <v>1.5255231767705629E-2</v>
      </c>
      <c r="G33" s="63">
        <f t="shared" si="1"/>
        <v>152552.3176770563</v>
      </c>
      <c r="H33" s="63">
        <v>0</v>
      </c>
      <c r="I33" s="63">
        <f>(fre+vre*pm_30)*'30 years'!D33</f>
        <v>6926.052577777079</v>
      </c>
      <c r="J33" s="63">
        <f t="shared" si="2"/>
        <v>6926.052577777079</v>
      </c>
      <c r="K33" s="63">
        <f>((K34*VLOOKUP(B33,'IALM 2012-2014'!$B$5:$D$118,3,FALSE)+sa*VLOOKUP(B33,'IALM 2012-2014'!$B$5:$D$118,2,FALSE))/(1+i)) -P_30 + fre*12 + vre*P_30</f>
        <v>-1139497.8650098282</v>
      </c>
      <c r="L33" s="64">
        <f>K34*VLOOKUP(B33,'IALM 2012-2014'!$B$5:$D$118,3,FALSE)-'30 years'!K33*(1+i)</f>
        <v>206984.13559256122</v>
      </c>
    </row>
    <row r="34" spans="2:12" x14ac:dyDescent="0.35">
      <c r="B34" s="62">
        <f t="shared" si="3"/>
        <v>45</v>
      </c>
      <c r="C34" s="62">
        <f t="shared" si="4"/>
        <v>5</v>
      </c>
      <c r="D34" s="69">
        <f>D35*v*VLOOKUP(B34,'IALM 2012-2014'!$B$5:$D$118,3,FALSE)+m*v*VLOOKUP(B34,'IALM 2012-2014'!$B$5:$D$118,3,FALSE)-m+1</f>
        <v>4.4162729745365894</v>
      </c>
      <c r="E34" s="63">
        <f t="shared" si="0"/>
        <v>86679.252580387678</v>
      </c>
      <c r="F34" s="72">
        <f>F35*v*VLOOKUP(B34,'IALM 2012-2014'!$B$5:$D$118,3,FALSE)+v*VLOOKUP(B34,'IALM 2012-2014'!$B$5:$D$118,2,FALSE)</f>
        <v>1.3705131890373838E-2</v>
      </c>
      <c r="G34" s="63">
        <f t="shared" si="1"/>
        <v>137051.31890373837</v>
      </c>
      <c r="H34" s="63">
        <v>0</v>
      </c>
      <c r="I34" s="63">
        <f>(fre+vre*pm_30)*'30 years'!D34</f>
        <v>5912.5823083140722</v>
      </c>
      <c r="J34" s="63">
        <f t="shared" si="2"/>
        <v>5912.5823083140722</v>
      </c>
      <c r="K34" s="63">
        <f>((K35*VLOOKUP(B34,'IALM 2012-2014'!$B$5:$D$118,3,FALSE)+sa*VLOOKUP(B34,'IALM 2012-2014'!$B$5:$D$118,2,FALSE))/(1+i)) -P_30 + fre*12 + vre*P_30</f>
        <v>-991814.42750024656</v>
      </c>
      <c r="L34" s="64">
        <f>K35*VLOOKUP(B34,'IALM 2012-2014'!$B$5:$D$118,3,FALSE)-'30 years'!K34*(1+i)</f>
        <v>204644.13559256122</v>
      </c>
    </row>
    <row r="35" spans="2:12" x14ac:dyDescent="0.35">
      <c r="B35" s="62">
        <f t="shared" si="3"/>
        <v>46</v>
      </c>
      <c r="C35" s="62">
        <f t="shared" si="4"/>
        <v>4</v>
      </c>
      <c r="D35" s="69">
        <f>D36*v*VLOOKUP(B35,'IALM 2012-2014'!$B$5:$D$118,3,FALSE)+m*v*VLOOKUP(B35,'IALM 2012-2014'!$B$5:$D$118,3,FALSE)-m+1</f>
        <v>3.6205226595356956</v>
      </c>
      <c r="E35" s="63">
        <f t="shared" si="0"/>
        <v>71060.869626575077</v>
      </c>
      <c r="F35" s="72">
        <f>F36*v*VLOOKUP(B35,'IALM 2012-2014'!$B$5:$D$118,3,FALSE)+v*VLOOKUP(B35,'IALM 2012-2014'!$B$5:$D$118,2,FALSE)</f>
        <v>1.1841928819317551E-2</v>
      </c>
      <c r="G35" s="63">
        <f t="shared" si="1"/>
        <v>118419.28819317551</v>
      </c>
      <c r="H35" s="63">
        <v>0</v>
      </c>
      <c r="I35" s="63">
        <f>(fre+vre*pm_30)*'30 years'!D35</f>
        <v>4847.2180834490237</v>
      </c>
      <c r="J35" s="63">
        <f t="shared" si="2"/>
        <v>4847.2180834490237</v>
      </c>
      <c r="K35" s="63">
        <f>((K36*VLOOKUP(B35,'IALM 2012-2014'!$B$5:$D$118,3,FALSE)+sa*VLOOKUP(B35,'IALM 2012-2014'!$B$5:$D$118,2,FALSE))/(1+i)) -P_30 + fre*12 + vre*P_30</f>
        <v>-838924.59982564813</v>
      </c>
      <c r="L35" s="64">
        <f>K36*VLOOKUP(B35,'IALM 2012-2014'!$B$5:$D$118,3,FALSE)-'30 years'!K35*(1+i)</f>
        <v>201924.13559256122</v>
      </c>
    </row>
    <row r="36" spans="2:12" x14ac:dyDescent="0.35">
      <c r="B36" s="62">
        <f t="shared" si="3"/>
        <v>47</v>
      </c>
      <c r="C36" s="62">
        <f t="shared" si="4"/>
        <v>3</v>
      </c>
      <c r="D36" s="69">
        <f>D37*v*VLOOKUP(B36,'IALM 2012-2014'!$B$5:$D$118,3,FALSE)+m*v*VLOOKUP(B36,'IALM 2012-2014'!$B$5:$D$118,3,FALSE)-m+1</f>
        <v>2.7837085205044394</v>
      </c>
      <c r="E36" s="63">
        <f t="shared" si="0"/>
        <v>54636.517115272007</v>
      </c>
      <c r="F36" s="72">
        <f>F37*v*VLOOKUP(B36,'IALM 2012-2014'!$B$5:$D$118,3,FALSE)+v*VLOOKUP(B36,'IALM 2012-2014'!$B$5:$D$118,2,FALSE)</f>
        <v>9.6104245807631869E-3</v>
      </c>
      <c r="G36" s="63">
        <f t="shared" si="1"/>
        <v>96104.245807631873</v>
      </c>
      <c r="H36" s="63">
        <v>0</v>
      </c>
      <c r="I36" s="63">
        <f>(fre+vre*pm_30)*'30 years'!D36</f>
        <v>3726.8769038364899</v>
      </c>
      <c r="J36" s="63">
        <f t="shared" si="2"/>
        <v>3726.8769038364899</v>
      </c>
      <c r="K36" s="63">
        <f>((K37*VLOOKUP(B36,'IALM 2012-2014'!$B$5:$D$118,3,FALSE)+sa*VLOOKUP(B36,'IALM 2012-2014'!$B$5:$D$118,2,FALSE))/(1+i)) -P_30 + fre*12 + vre*P_30</f>
        <v>-680887.90564335859</v>
      </c>
      <c r="L36" s="64">
        <f>K37*VLOOKUP(B36,'IALM 2012-2014'!$B$5:$D$118,3,FALSE)-'30 years'!K36*(1+i)</f>
        <v>198754.13559256104</v>
      </c>
    </row>
    <row r="37" spans="2:12" x14ac:dyDescent="0.35">
      <c r="B37" s="62">
        <f t="shared" si="3"/>
        <v>48</v>
      </c>
      <c r="C37" s="62">
        <f t="shared" si="4"/>
        <v>2</v>
      </c>
      <c r="D37" s="69">
        <f>D38*v*VLOOKUP(B37,'IALM 2012-2014'!$B$5:$D$118,3,FALSE)+m*v*VLOOKUP(B37,'IALM 2012-2014'!$B$5:$D$118,3,FALSE)-m+1</f>
        <v>1.9032922430222221</v>
      </c>
      <c r="E37" s="63">
        <f t="shared" si="0"/>
        <v>37356.374938423534</v>
      </c>
      <c r="F37" s="72">
        <f>F38*v*VLOOKUP(B37,'IALM 2012-2014'!$B$5:$D$118,3,FALSE)+v*VLOOKUP(B37,'IALM 2012-2014'!$B$5:$D$118,2,FALSE)</f>
        <v>6.944947403174603E-3</v>
      </c>
      <c r="G37" s="63">
        <f t="shared" si="1"/>
        <v>69449.474031746024</v>
      </c>
      <c r="H37" s="63">
        <v>0</v>
      </c>
      <c r="I37" s="63">
        <f>(fre+vre*pm_30)*'30 years'!D37</f>
        <v>2548.1604304193725</v>
      </c>
      <c r="J37" s="63">
        <f t="shared" si="2"/>
        <v>2548.1604304193725</v>
      </c>
      <c r="K37" s="63">
        <f>((K38*VLOOKUP(B37,'IALM 2012-2014'!$B$5:$D$118,3,FALSE)+sa*VLOOKUP(B37,'IALM 2012-2014'!$B$5:$D$118,2,FALSE))/(1+i)) -P_30 + fre*12 + vre*P_30</f>
        <v>-517818.61470434885</v>
      </c>
      <c r="L37" s="64">
        <f>K38*VLOOKUP(B37,'IALM 2012-2014'!$B$5:$D$118,3,FALSE)-'30 years'!K37*(1+i)</f>
        <v>195074.13559256098</v>
      </c>
    </row>
    <row r="38" spans="2:12" x14ac:dyDescent="0.35">
      <c r="B38" s="62">
        <f t="shared" si="3"/>
        <v>49</v>
      </c>
      <c r="C38" s="62">
        <f t="shared" si="4"/>
        <v>1</v>
      </c>
      <c r="D38" s="69">
        <f>D39*v*VLOOKUP(B38,'IALM 2012-2014'!$B$5:$D$118,3,FALSE)+m*v*VLOOKUP(B38,'IALM 2012-2014'!$B$5:$D$118,3,FALSE)-m+1</f>
        <v>0.97644690476190465</v>
      </c>
      <c r="E38" s="63">
        <f t="shared" si="0"/>
        <v>19164.958411130854</v>
      </c>
      <c r="F38" s="72">
        <f>v*VLOOKUP(B38,'IALM 2012-2014'!$B$5:$D$118,2,FALSE)</f>
        <v>3.769523809523809E-3</v>
      </c>
      <c r="G38" s="63">
        <f t="shared" si="1"/>
        <v>37695.238095238092</v>
      </c>
      <c r="H38" s="63">
        <v>0</v>
      </c>
      <c r="I38" s="63">
        <f>(fre+vre*pm_30)*'30 years'!D38</f>
        <v>1307.2839309053541</v>
      </c>
      <c r="J38" s="63">
        <f t="shared" si="2"/>
        <v>1307.2839309053541</v>
      </c>
      <c r="K38" s="63">
        <f>((K39*VLOOKUP(B38,'IALM 2012-2014'!$B$5:$D$118,3,FALSE)+sa*VLOOKUP(B38,'IALM 2012-2014'!$B$5:$D$118,2,FALSE))/(1+i)) -P_30 + fre*12 + vre*P_30</f>
        <v>-349872.55921639444</v>
      </c>
      <c r="L38" s="64">
        <f>K39*VLOOKUP(B38,'IALM 2012-2014'!$B$5:$D$118,3,FALSE)-'30 years'!K38*(1+i)</f>
        <v>190854.13559256113</v>
      </c>
    </row>
    <row r="39" spans="2:12" x14ac:dyDescent="0.35">
      <c r="B39" s="65">
        <f t="shared" si="3"/>
        <v>50</v>
      </c>
      <c r="C39" s="65">
        <f t="shared" si="4"/>
        <v>0</v>
      </c>
      <c r="D39" s="70">
        <v>0</v>
      </c>
      <c r="E39" s="66">
        <f t="shared" si="0"/>
        <v>0</v>
      </c>
      <c r="F39" s="73">
        <v>0</v>
      </c>
      <c r="G39" s="66">
        <f t="shared" si="1"/>
        <v>0</v>
      </c>
      <c r="H39" s="66">
        <v>0</v>
      </c>
      <c r="I39" s="66">
        <f>(fre+vre*pm_30)*'30 years'!D39</f>
        <v>0</v>
      </c>
      <c r="J39" s="66">
        <f t="shared" si="2"/>
        <v>0</v>
      </c>
      <c r="K39" s="66">
        <f>((K40*VLOOKUP(B39,'IALM 2012-2014'!$B$5:$D$118,3,FALSE)+sa*VLOOKUP(B39,'IALM 2012-2014'!$B$5:$D$118,2,FALSE))/(1+i)) -P_30 + fre*12 + vre*P_30</f>
        <v>-177213.46246910578</v>
      </c>
      <c r="L39" s="67">
        <f>K40*VLOOKUP(B39,'IALM 2012-2014'!$B$5:$D$118,3,FALSE)-'30 years'!K39*(1+i)</f>
        <v>186074.13559256107</v>
      </c>
    </row>
  </sheetData>
  <mergeCells count="1">
    <mergeCell ref="C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08C6-12B8-4D47-AE6E-08E37E7238BB}">
  <dimension ref="B2:O49"/>
  <sheetViews>
    <sheetView zoomScale="70" zoomScaleNormal="70" workbookViewId="0">
      <selection activeCell="Q12" sqref="Q12"/>
    </sheetView>
  </sheetViews>
  <sheetFormatPr defaultRowHeight="14.5" x14ac:dyDescent="0.35"/>
  <cols>
    <col min="1" max="1" width="3.54296875" customWidth="1"/>
    <col min="2" max="2" width="12.54296875" customWidth="1"/>
    <col min="3" max="3" width="15.7265625" customWidth="1"/>
    <col min="4" max="4" width="20" customWidth="1"/>
    <col min="5" max="5" width="15.90625" customWidth="1"/>
    <col min="6" max="6" width="20" customWidth="1"/>
    <col min="7" max="7" width="16.90625" customWidth="1"/>
    <col min="8" max="8" width="15.1796875" customWidth="1"/>
    <col min="9" max="9" width="20.36328125" customWidth="1"/>
    <col min="10" max="10" width="17.81640625" customWidth="1"/>
    <col min="11" max="11" width="17.26953125" customWidth="1"/>
    <col min="12" max="12" width="17.08984375" customWidth="1"/>
    <col min="14" max="14" width="20.7265625" customWidth="1"/>
    <col min="15" max="15" width="13.81640625" bestFit="1" customWidth="1"/>
  </cols>
  <sheetData>
    <row r="2" spans="2:15" x14ac:dyDescent="0.35">
      <c r="C2" s="81" t="s">
        <v>46</v>
      </c>
      <c r="D2" s="82"/>
      <c r="E2" s="82"/>
      <c r="F2" s="83"/>
    </row>
    <row r="4" spans="2:15" x14ac:dyDescent="0.35">
      <c r="D4" s="57" t="s">
        <v>40</v>
      </c>
      <c r="E4" s="58">
        <f>E5*12</f>
        <v>467225.85961236939</v>
      </c>
    </row>
    <row r="5" spans="2:15" x14ac:dyDescent="0.35">
      <c r="D5" s="57" t="s">
        <v>11</v>
      </c>
      <c r="E5" s="58">
        <v>38935.488301030782</v>
      </c>
    </row>
    <row r="6" spans="2:15" x14ac:dyDescent="0.35">
      <c r="D6" s="57" t="s">
        <v>45</v>
      </c>
      <c r="E6" s="57">
        <v>40</v>
      </c>
    </row>
    <row r="8" spans="2:15" ht="29" x14ac:dyDescent="0.35">
      <c r="B8" s="5" t="s">
        <v>10</v>
      </c>
      <c r="C8" s="5" t="s">
        <v>12</v>
      </c>
      <c r="D8" s="75" t="s">
        <v>13</v>
      </c>
      <c r="E8" s="5" t="s">
        <v>15</v>
      </c>
      <c r="F8" s="75" t="s">
        <v>14</v>
      </c>
      <c r="G8" s="5" t="s">
        <v>16</v>
      </c>
      <c r="H8" s="5" t="s">
        <v>17</v>
      </c>
      <c r="I8" s="5" t="s">
        <v>25</v>
      </c>
      <c r="J8" s="5" t="s">
        <v>18</v>
      </c>
      <c r="K8" s="5" t="s">
        <v>23</v>
      </c>
      <c r="L8" s="5" t="s">
        <v>24</v>
      </c>
      <c r="N8" s="4" t="s">
        <v>19</v>
      </c>
      <c r="O8" s="78">
        <f>SUM(E9:E49)</f>
        <v>17853978.959662657</v>
      </c>
    </row>
    <row r="9" spans="2:15" x14ac:dyDescent="0.35">
      <c r="B9" s="59">
        <f>Parameters!C14</f>
        <v>20</v>
      </c>
      <c r="C9" s="59">
        <f>E6</f>
        <v>40</v>
      </c>
      <c r="D9" s="69">
        <f>D10*v*VLOOKUP(B9,'IALM 2012-2014'!$B$5:$D$118,3,FALSE)+m*v*VLOOKUP(B9,'IALM 2012-2014'!$B$5:$D$118,3,FALSE)-m+1</f>
        <v>17.296329296510432</v>
      </c>
      <c r="E9" s="60">
        <f t="shared" ref="E9:E49" si="0">pm_40*D9</f>
        <v>673441.0269750579</v>
      </c>
      <c r="F9" s="72">
        <f>F10*v*VLOOKUP(B9,'IALM 2012-2014'!$B$5:$D$118,3,FALSE)+v*VLOOKUP(B9,'IALM 2012-2014'!$B$5:$D$118,2,FALSE)</f>
        <v>3.1366336193570217E-2</v>
      </c>
      <c r="G9" s="60">
        <f t="shared" ref="G9:G49" si="1">sa*F9</f>
        <v>313663.36193570215</v>
      </c>
      <c r="H9" s="60">
        <f>fie+vie*P_40</f>
        <v>98445.171922473877</v>
      </c>
      <c r="I9" s="60">
        <v>0</v>
      </c>
      <c r="J9" s="60">
        <f>H9+I9</f>
        <v>98445.171922473877</v>
      </c>
      <c r="K9" s="60">
        <f>((K10*VLOOKUP(B9,'IALM 2012-2014'!$B$5:$D$118,3,FALSE)+sa*VLOOKUP(B9,'IALM 2012-2014'!$B$5:$D$118,2,FALSE))/(1+i)) -P_40 + fie+vie*P_40</f>
        <v>-7514603.0337545862</v>
      </c>
      <c r="L9" s="61">
        <f>K10*VLOOKUP(B9,'IALM 2012-2014'!$B$5:$D$118,3,FALSE)-'40 years'!K9*(1+i)</f>
        <v>377979.72207439039</v>
      </c>
      <c r="N9" s="4" t="s">
        <v>20</v>
      </c>
      <c r="O9" s="78">
        <f>SUM(G9:G49)</f>
        <v>16909175.262447201</v>
      </c>
    </row>
    <row r="10" spans="2:15" x14ac:dyDescent="0.35">
      <c r="B10" s="62">
        <f>B9+1</f>
        <v>21</v>
      </c>
      <c r="C10" s="62">
        <f>C9-1</f>
        <v>39</v>
      </c>
      <c r="D10" s="69">
        <f>D11*v*VLOOKUP(B10,'IALM 2012-2014'!$B$5:$D$118,3,FALSE)+m*v*VLOOKUP(B10,'IALM 2012-2014'!$B$5:$D$118,3,FALSE)-m+1</f>
        <v>17.150332835542663</v>
      </c>
      <c r="E10" s="63">
        <f t="shared" si="0"/>
        <v>667756.58347705542</v>
      </c>
      <c r="F10" s="72">
        <f>F11*v*VLOOKUP(B10,'IALM 2012-2014'!$B$5:$D$118,3,FALSE)+v*VLOOKUP(B10,'IALM 2012-2014'!$B$5:$D$118,2,FALSE)</f>
        <v>3.2040258201827217E-2</v>
      </c>
      <c r="G10" s="63">
        <f t="shared" si="1"/>
        <v>320402.58201827219</v>
      </c>
      <c r="H10" s="63">
        <v>0</v>
      </c>
      <c r="I10" s="63">
        <f>(fre+vre*pm_40)*'40 years'!D10</f>
        <v>32895.447130968663</v>
      </c>
      <c r="J10" s="63">
        <f t="shared" ref="J10:J49" si="2">H10+I10</f>
        <v>32895.447130968663</v>
      </c>
      <c r="K10" s="63">
        <f>((K11*VLOOKUP(B10,'IALM 2012-2014'!$B$5:$D$118,3,FALSE)+sa*VLOOKUP(B10,'IALM 2012-2014'!$B$5:$D$118,2,FALSE))/(1+i)) -P_40 + fre*12 + vre*P_40</f>
        <v>-7519301.2977670627</v>
      </c>
      <c r="L10" s="64">
        <f>K11*VLOOKUP(B10,'IALM 2012-2014'!$B$5:$D$118,3,FALSE)-'40 years'!K10*(1+i)</f>
        <v>457079.53801519703</v>
      </c>
      <c r="N10" s="4" t="s">
        <v>21</v>
      </c>
      <c r="O10" s="78">
        <f>SUM(J9:J49)</f>
        <v>944803.69721546466</v>
      </c>
    </row>
    <row r="11" spans="2:15" x14ac:dyDescent="0.35">
      <c r="B11" s="62">
        <f t="shared" ref="B11:B49" si="3">B10+1</f>
        <v>22</v>
      </c>
      <c r="C11" s="62">
        <f t="shared" ref="C11:C49" si="4">C10-1</f>
        <v>38</v>
      </c>
      <c r="D11" s="69">
        <f>D12*v*VLOOKUP(B11,'IALM 2012-2014'!$B$5:$D$118,3,FALSE)+m*v*VLOOKUP(B11,'IALM 2012-2014'!$B$5:$D$118,3,FALSE)-m+1</f>
        <v>16.997069490223666</v>
      </c>
      <c r="E11" s="63">
        <f t="shared" si="0"/>
        <v>661789.20028841076</v>
      </c>
      <c r="F11" s="72">
        <f>F12*v*VLOOKUP(B11,'IALM 2012-2014'!$B$5:$D$118,3,FALSE)+v*VLOOKUP(B11,'IALM 2012-2014'!$B$5:$D$118,2,FALSE)</f>
        <v>3.273884919706864E-2</v>
      </c>
      <c r="G11" s="63">
        <f t="shared" si="1"/>
        <v>327388.49197068642</v>
      </c>
      <c r="H11" s="63">
        <v>0</v>
      </c>
      <c r="I11" s="63">
        <f>(fre+vre*pm_40)*'40 years'!D11</f>
        <v>32601.478126320071</v>
      </c>
      <c r="J11" s="63">
        <f t="shared" si="2"/>
        <v>32601.478126320071</v>
      </c>
      <c r="K11" s="63">
        <f>((K12*VLOOKUP(B11,'IALM 2012-2014'!$B$5:$D$118,3,FALSE)+sa*VLOOKUP(B11,'IALM 2012-2014'!$B$5:$D$118,2,FALSE))/(1+i)) -P_40 + fre*12 + vre*P_40</f>
        <v>-7445140.585947494</v>
      </c>
      <c r="L11" s="64">
        <f>K12*VLOOKUP(B11,'IALM 2012-2014'!$B$5:$D$118,3,FALSE)-'40 years'!K11*(1+i)</f>
        <v>457049.53801519796</v>
      </c>
      <c r="N11" s="4" t="s">
        <v>22</v>
      </c>
      <c r="O11" s="78">
        <f>O10+O9-O8</f>
        <v>0</v>
      </c>
    </row>
    <row r="12" spans="2:15" x14ac:dyDescent="0.35">
      <c r="B12" s="62">
        <f t="shared" si="3"/>
        <v>23</v>
      </c>
      <c r="C12" s="62">
        <f t="shared" si="4"/>
        <v>37</v>
      </c>
      <c r="D12" s="69">
        <f>D13*v*VLOOKUP(B12,'IALM 2012-2014'!$B$5:$D$118,3,FALSE)+m*v*VLOOKUP(B12,'IALM 2012-2014'!$B$5:$D$118,3,FALSE)-m+1</f>
        <v>16.836044463397052</v>
      </c>
      <c r="E12" s="63">
        <f t="shared" si="0"/>
        <v>655519.61224022997</v>
      </c>
      <c r="F12" s="72">
        <f>F13*v*VLOOKUP(B12,'IALM 2012-2014'!$B$5:$D$118,3,FALSE)+v*VLOOKUP(B12,'IALM 2012-2014'!$B$5:$D$118,2,FALSE)</f>
        <v>3.3470153190461538E-2</v>
      </c>
      <c r="G12" s="63">
        <f t="shared" si="1"/>
        <v>334701.5319046154</v>
      </c>
      <c r="H12" s="63">
        <v>0</v>
      </c>
      <c r="I12" s="63">
        <f>(fre+vre*pm_40)*'40 years'!D12</f>
        <v>32292.621714754689</v>
      </c>
      <c r="J12" s="63">
        <f t="shared" si="2"/>
        <v>32292.621714754689</v>
      </c>
      <c r="K12" s="63">
        <f>((K13*VLOOKUP(B12,'IALM 2012-2014'!$B$5:$D$118,3,FALSE)+sa*VLOOKUP(B12,'IALM 2012-2014'!$B$5:$D$118,2,FALSE))/(1+i)) -P_40 + fre*12 + vre*P_40</f>
        <v>-7367251.191596197</v>
      </c>
      <c r="L12" s="64">
        <f>K13*VLOOKUP(B12,'IALM 2012-2014'!$B$5:$D$118,3,FALSE)-'40 years'!K12*(1+i)</f>
        <v>457059.53801519703</v>
      </c>
      <c r="N12" s="4" t="s">
        <v>8</v>
      </c>
      <c r="O12" s="78">
        <f>pm_40</f>
        <v>38935.488301030782</v>
      </c>
    </row>
    <row r="13" spans="2:15" x14ac:dyDescent="0.35">
      <c r="B13" s="62">
        <f t="shared" si="3"/>
        <v>24</v>
      </c>
      <c r="C13" s="62">
        <f t="shared" si="4"/>
        <v>36</v>
      </c>
      <c r="D13" s="69">
        <f>D14*v*VLOOKUP(B13,'IALM 2012-2014'!$B$5:$D$118,3,FALSE)+m*v*VLOOKUP(B13,'IALM 2012-2014'!$B$5:$D$118,3,FALSE)-m+1</f>
        <v>16.666792470986415</v>
      </c>
      <c r="E13" s="63">
        <f t="shared" si="0"/>
        <v>648929.70326979947</v>
      </c>
      <c r="F13" s="72">
        <f>F14*v*VLOOKUP(B13,'IALM 2012-2014'!$B$5:$D$118,3,FALSE)+v*VLOOKUP(B13,'IALM 2012-2014'!$B$5:$D$118,2,FALSE)</f>
        <v>3.423970921781249E-2</v>
      </c>
      <c r="G13" s="63">
        <f t="shared" si="1"/>
        <v>342397.09217812488</v>
      </c>
      <c r="H13" s="63">
        <v>0</v>
      </c>
      <c r="I13" s="63">
        <f>(fre+vre*pm_40)*'40 years'!D13</f>
        <v>31967.985451333796</v>
      </c>
      <c r="J13" s="63">
        <f t="shared" si="2"/>
        <v>31967.985451333796</v>
      </c>
      <c r="K13" s="63">
        <f>((K14*VLOOKUP(B13,'IALM 2012-2014'!$B$5:$D$118,3,FALSE)+sa*VLOOKUP(B13,'IALM 2012-2014'!$B$5:$D$118,2,FALSE))/(1+i)) -P_40 + fre*12 + vre*P_40</f>
        <v>-7285373.3225907553</v>
      </c>
      <c r="L13" s="64">
        <f>K14*VLOOKUP(B13,'IALM 2012-2014'!$B$5:$D$118,3,FALSE)-'40 years'!K13*(1+i)</f>
        <v>457089.53801519703</v>
      </c>
    </row>
    <row r="14" spans="2:15" x14ac:dyDescent="0.35">
      <c r="B14" s="62">
        <f t="shared" si="3"/>
        <v>25</v>
      </c>
      <c r="C14" s="62">
        <f t="shared" si="4"/>
        <v>35</v>
      </c>
      <c r="D14" s="69">
        <f>D15*v*VLOOKUP(B14,'IALM 2012-2014'!$B$5:$D$118,3,FALSE)+m*v*VLOOKUP(B14,'IALM 2012-2014'!$B$5:$D$118,3,FALSE)-m+1</f>
        <v>16.488860493042417</v>
      </c>
      <c r="E14" s="63">
        <f t="shared" si="0"/>
        <v>642001.83482418163</v>
      </c>
      <c r="F14" s="72">
        <f>F15*v*VLOOKUP(B14,'IALM 2012-2014'!$B$5:$D$118,3,FALSE)+v*VLOOKUP(B14,'IALM 2012-2014'!$B$5:$D$118,2,FALSE)</f>
        <v>3.5051397632694423E-2</v>
      </c>
      <c r="G14" s="63">
        <f t="shared" si="1"/>
        <v>350513.97632694425</v>
      </c>
      <c r="H14" s="63">
        <v>0</v>
      </c>
      <c r="I14" s="63">
        <f>(fre+vre*pm_40)*'40 years'!D14</f>
        <v>31626.700414507261</v>
      </c>
      <c r="J14" s="63">
        <f t="shared" si="2"/>
        <v>31626.700414507261</v>
      </c>
      <c r="K14" s="63">
        <f>((K15*VLOOKUP(B14,'IALM 2012-2014'!$B$5:$D$118,3,FALSE)+sa*VLOOKUP(B14,'IALM 2012-2014'!$B$5:$D$118,2,FALSE))/(1+i)) -P_40 + fre*12 + vre*P_40</f>
        <v>-7199269.3690263974</v>
      </c>
      <c r="L14" s="64">
        <f>K15*VLOOKUP(B14,'IALM 2012-2014'!$B$5:$D$118,3,FALSE)-'40 years'!K14*(1+i)</f>
        <v>457109.53801519703</v>
      </c>
    </row>
    <row r="15" spans="2:15" x14ac:dyDescent="0.35">
      <c r="B15" s="62">
        <f t="shared" si="3"/>
        <v>26</v>
      </c>
      <c r="C15" s="62">
        <f t="shared" si="4"/>
        <v>34</v>
      </c>
      <c r="D15" s="69">
        <f>D16*v*VLOOKUP(B15,'IALM 2012-2014'!$B$5:$D$118,3,FALSE)+m*v*VLOOKUP(B15,'IALM 2012-2014'!$B$5:$D$118,3,FALSE)-m+1</f>
        <v>16.301823890736816</v>
      </c>
      <c r="E15" s="63">
        <f t="shared" si="0"/>
        <v>634719.47338324739</v>
      </c>
      <c r="F15" s="72">
        <f>F16*v*VLOOKUP(B15,'IALM 2012-2014'!$B$5:$D$118,3,FALSE)+v*VLOOKUP(B15,'IALM 2012-2014'!$B$5:$D$118,2,FALSE)</f>
        <v>3.590639636934901E-2</v>
      </c>
      <c r="G15" s="63">
        <f t="shared" si="1"/>
        <v>359063.96369349008</v>
      </c>
      <c r="H15" s="63">
        <v>0</v>
      </c>
      <c r="I15" s="63">
        <f>(fre+vre*pm_40)*'40 years'!D15</f>
        <v>31267.952119550035</v>
      </c>
      <c r="J15" s="63">
        <f t="shared" si="2"/>
        <v>31267.952119550035</v>
      </c>
      <c r="K15" s="63">
        <f>((K16*VLOOKUP(B15,'IALM 2012-2014'!$B$5:$D$118,3,FALSE)+sa*VLOOKUP(B15,'IALM 2012-2014'!$B$5:$D$118,2,FALSE))/(1+i)) -P_40 + fre*12 + vre*P_40</f>
        <v>-7108741.5378342438</v>
      </c>
      <c r="L15" s="64">
        <f>K16*VLOOKUP(B15,'IALM 2012-2014'!$B$5:$D$118,3,FALSE)-'40 years'!K15*(1+i)</f>
        <v>457109.53801519796</v>
      </c>
    </row>
    <row r="16" spans="2:15" x14ac:dyDescent="0.35">
      <c r="B16" s="62">
        <f t="shared" si="3"/>
        <v>27</v>
      </c>
      <c r="C16" s="62">
        <f t="shared" si="4"/>
        <v>33</v>
      </c>
      <c r="D16" s="69">
        <f>D17*v*VLOOKUP(B16,'IALM 2012-2014'!$B$5:$D$118,3,FALSE)+m*v*VLOOKUP(B16,'IALM 2012-2014'!$B$5:$D$118,3,FALSE)-m+1</f>
        <v>16.105252450304892</v>
      </c>
      <c r="E16" s="63">
        <f t="shared" si="0"/>
        <v>627065.86836399348</v>
      </c>
      <c r="F16" s="72">
        <f>F17*v*VLOOKUP(B16,'IALM 2012-2014'!$B$5:$D$118,3,FALSE)+v*VLOOKUP(B16,'IALM 2012-2014'!$B$5:$D$118,2,FALSE)</f>
        <v>3.6804981625709998E-2</v>
      </c>
      <c r="G16" s="63">
        <f t="shared" si="1"/>
        <v>368049.81625709997</v>
      </c>
      <c r="H16" s="63">
        <v>0</v>
      </c>
      <c r="I16" s="63">
        <f>(fre+vre*pm_40)*'40 years'!D16</f>
        <v>30890.915388648471</v>
      </c>
      <c r="J16" s="63">
        <f t="shared" si="2"/>
        <v>30890.915388648471</v>
      </c>
      <c r="K16" s="63">
        <f>((K17*VLOOKUP(B16,'IALM 2012-2014'!$B$5:$D$118,3,FALSE)+sa*VLOOKUP(B16,'IALM 2012-2014'!$B$5:$D$118,2,FALSE))/(1+i)) -P_40 + fre*12 + vre*P_40</f>
        <v>-7013598.7371350313</v>
      </c>
      <c r="L16" s="64">
        <f>K17*VLOOKUP(B16,'IALM 2012-2014'!$B$5:$D$118,3,FALSE)-'40 years'!K16*(1+i)</f>
        <v>457079.53801519796</v>
      </c>
    </row>
    <row r="17" spans="2:12" x14ac:dyDescent="0.35">
      <c r="B17" s="62">
        <f t="shared" si="3"/>
        <v>28</v>
      </c>
      <c r="C17" s="62">
        <f t="shared" si="4"/>
        <v>32</v>
      </c>
      <c r="D17" s="69">
        <f>D18*v*VLOOKUP(B17,'IALM 2012-2014'!$B$5:$D$118,3,FALSE)+m*v*VLOOKUP(B17,'IALM 2012-2014'!$B$5:$D$118,3,FALSE)-m+1</f>
        <v>15.898709217229031</v>
      </c>
      <c r="E17" s="63">
        <f t="shared" si="0"/>
        <v>619024.00672891119</v>
      </c>
      <c r="F17" s="72">
        <f>F18*v*VLOOKUP(B17,'IALM 2012-2014'!$B$5:$D$118,3,FALSE)+v*VLOOKUP(B17,'IALM 2012-2014'!$B$5:$D$118,2,FALSE)</f>
        <v>3.7746485924849305E-2</v>
      </c>
      <c r="G17" s="63">
        <f t="shared" si="1"/>
        <v>377464.85924849304</v>
      </c>
      <c r="H17" s="63">
        <v>0</v>
      </c>
      <c r="I17" s="63">
        <f>(fre+vre*pm_40)*'40 years'!D17</f>
        <v>30494.752114789109</v>
      </c>
      <c r="J17" s="63">
        <f t="shared" si="2"/>
        <v>30494.752114789109</v>
      </c>
      <c r="K17" s="63">
        <f>((K18*VLOOKUP(B17,'IALM 2012-2014'!$B$5:$D$118,3,FALSE)+sa*VLOOKUP(B17,'IALM 2012-2014'!$B$5:$D$118,2,FALSE))/(1+i)) -P_40 + fre*12 + vre*P_40</f>
        <v>-6913656.4911393095</v>
      </c>
      <c r="L17" s="64">
        <f>K18*VLOOKUP(B17,'IALM 2012-2014'!$B$5:$D$118,3,FALSE)-'40 years'!K17*(1+i)</f>
        <v>456999.53801519703</v>
      </c>
    </row>
    <row r="18" spans="2:12" x14ac:dyDescent="0.35">
      <c r="B18" s="62">
        <f t="shared" si="3"/>
        <v>29</v>
      </c>
      <c r="C18" s="62">
        <f t="shared" si="4"/>
        <v>31</v>
      </c>
      <c r="D18" s="69">
        <f>D19*v*VLOOKUP(B18,'IALM 2012-2014'!$B$5:$D$118,3,FALSE)+m*v*VLOOKUP(B18,'IALM 2012-2014'!$B$5:$D$118,3,FALSE)-m+1</f>
        <v>15.681765317686413</v>
      </c>
      <c r="E18" s="63">
        <f t="shared" si="0"/>
        <v>610577.19006628962</v>
      </c>
      <c r="F18" s="72">
        <f>F19*v*VLOOKUP(B18,'IALM 2012-2014'!$B$5:$D$118,3,FALSE)+v*VLOOKUP(B18,'IALM 2012-2014'!$B$5:$D$118,2,FALSE)</f>
        <v>3.8728292272412382E-2</v>
      </c>
      <c r="G18" s="63">
        <f t="shared" si="1"/>
        <v>387282.92272412381</v>
      </c>
      <c r="H18" s="63">
        <v>0</v>
      </c>
      <c r="I18" s="63">
        <f>(fre+vre*pm_40)*'40 years'!D18</f>
        <v>30078.639690253498</v>
      </c>
      <c r="J18" s="63">
        <f t="shared" si="2"/>
        <v>30078.639690253498</v>
      </c>
      <c r="K18" s="63">
        <f>((K19*VLOOKUP(B18,'IALM 2012-2014'!$B$5:$D$118,3,FALSE)+sa*VLOOKUP(B18,'IALM 2012-2014'!$B$5:$D$118,2,FALSE))/(1+i)) -P_40 + fre*12 + vre*P_40</f>
        <v>-6808753.6235945038</v>
      </c>
      <c r="L18" s="64">
        <f>K19*VLOOKUP(B18,'IALM 2012-2014'!$B$5:$D$118,3,FALSE)-'40 years'!K18*(1+i)</f>
        <v>456859.53801519796</v>
      </c>
    </row>
    <row r="19" spans="2:12" x14ac:dyDescent="0.35">
      <c r="B19" s="62">
        <f t="shared" si="3"/>
        <v>30</v>
      </c>
      <c r="C19" s="62">
        <f t="shared" si="4"/>
        <v>30</v>
      </c>
      <c r="D19" s="69">
        <f>D20*v*VLOOKUP(B19,'IALM 2012-2014'!$B$5:$D$118,3,FALSE)+m*v*VLOOKUP(B19,'IALM 2012-2014'!$B$5:$D$118,3,FALSE)-m+1</f>
        <v>15.453982424101508</v>
      </c>
      <c r="E19" s="63">
        <f t="shared" si="0"/>
        <v>601708.35187793954</v>
      </c>
      <c r="F19" s="72">
        <f>F20*v*VLOOKUP(B19,'IALM 2012-2014'!$B$5:$D$118,3,FALSE)+v*VLOOKUP(B19,'IALM 2012-2014'!$B$5:$D$118,2,FALSE)</f>
        <v>3.9746704735760391E-2</v>
      </c>
      <c r="G19" s="63">
        <f t="shared" si="1"/>
        <v>397467.04735760391</v>
      </c>
      <c r="H19" s="63">
        <v>0</v>
      </c>
      <c r="I19" s="63">
        <f>(fre+vre*pm_40)*'40 years'!D19</f>
        <v>29641.737374414319</v>
      </c>
      <c r="J19" s="63">
        <f t="shared" si="2"/>
        <v>29641.737374414319</v>
      </c>
      <c r="K19" s="63">
        <f>((K20*VLOOKUP(B19,'IALM 2012-2014'!$B$5:$D$118,3,FALSE)+sa*VLOOKUP(B19,'IALM 2012-2014'!$B$5:$D$118,2,FALSE))/(1+i)) -P_40 + fre*12 + vre*P_40</f>
        <v>-6698735.7581438171</v>
      </c>
      <c r="L19" s="64">
        <f>K20*VLOOKUP(B19,'IALM 2012-2014'!$B$5:$D$118,3,FALSE)-'40 years'!K19*(1+i)</f>
        <v>456649.53801519796</v>
      </c>
    </row>
    <row r="20" spans="2:12" x14ac:dyDescent="0.35">
      <c r="B20" s="62">
        <f t="shared" si="3"/>
        <v>31</v>
      </c>
      <c r="C20" s="62">
        <f t="shared" si="4"/>
        <v>29</v>
      </c>
      <c r="D20" s="69">
        <f>D21*v*VLOOKUP(B20,'IALM 2012-2014'!$B$5:$D$118,3,FALSE)+m*v*VLOOKUP(B20,'IALM 2012-2014'!$B$5:$D$118,3,FALSE)-m+1</f>
        <v>15.214910971659229</v>
      </c>
      <c r="E20" s="63">
        <f t="shared" si="0"/>
        <v>592399.98813826276</v>
      </c>
      <c r="F20" s="72">
        <f>F21*v*VLOOKUP(B20,'IALM 2012-2014'!$B$5:$D$118,3,FALSE)+v*VLOOKUP(B20,'IALM 2012-2014'!$B$5:$D$118,2,FALSE)</f>
        <v>4.079689854242436E-2</v>
      </c>
      <c r="G20" s="63">
        <f t="shared" si="1"/>
        <v>407968.98542424361</v>
      </c>
      <c r="H20" s="63">
        <v>0</v>
      </c>
      <c r="I20" s="63">
        <f>(fre+vre*pm_40)*'40 years'!D20</f>
        <v>29183.182872892306</v>
      </c>
      <c r="J20" s="63">
        <f t="shared" si="2"/>
        <v>29183.182872892306</v>
      </c>
      <c r="K20" s="63">
        <f>((K21*VLOOKUP(B20,'IALM 2012-2014'!$B$5:$D$118,3,FALSE)+sa*VLOOKUP(B20,'IALM 2012-2014'!$B$5:$D$118,2,FALSE))/(1+i)) -P_40 + fre*12 + vre*P_40</f>
        <v>-6583455.0436134208</v>
      </c>
      <c r="L20" s="64">
        <f>K21*VLOOKUP(B20,'IALM 2012-2014'!$B$5:$D$118,3,FALSE)-'40 years'!K20*(1+i)</f>
        <v>456369.53801519703</v>
      </c>
    </row>
    <row r="21" spans="2:12" x14ac:dyDescent="0.35">
      <c r="B21" s="62">
        <f t="shared" si="3"/>
        <v>32</v>
      </c>
      <c r="C21" s="62">
        <f t="shared" si="4"/>
        <v>28</v>
      </c>
      <c r="D21" s="69">
        <f>D22*v*VLOOKUP(B21,'IALM 2012-2014'!$B$5:$D$118,3,FALSE)+m*v*VLOOKUP(B21,'IALM 2012-2014'!$B$5:$D$118,3,FALSE)-m+1</f>
        <v>14.964072704977362</v>
      </c>
      <c r="E21" s="63">
        <f t="shared" si="0"/>
        <v>582633.47774042014</v>
      </c>
      <c r="F21" s="72">
        <f>F22*v*VLOOKUP(B21,'IALM 2012-2014'!$B$5:$D$118,3,FALSE)+v*VLOOKUP(B21,'IALM 2012-2014'!$B$5:$D$118,2,FALSE)</f>
        <v>4.1873826665344248E-2</v>
      </c>
      <c r="G21" s="63">
        <f t="shared" si="1"/>
        <v>418738.26665344246</v>
      </c>
      <c r="H21" s="63">
        <v>0</v>
      </c>
      <c r="I21" s="63">
        <f>(fre+vre*pm_40)*'40 years'!D21</f>
        <v>28702.058860945624</v>
      </c>
      <c r="J21" s="63">
        <f t="shared" si="2"/>
        <v>28702.058860945624</v>
      </c>
      <c r="K21" s="63">
        <f>((K22*VLOOKUP(B21,'IALM 2012-2014'!$B$5:$D$118,3,FALSE)+sa*VLOOKUP(B21,'IALM 2012-2014'!$B$5:$D$118,2,FALSE))/(1+i)) -P_40 + fre*12 + vre*P_40</f>
        <v>-6462753.3248703899</v>
      </c>
      <c r="L21" s="64">
        <f>K22*VLOOKUP(B21,'IALM 2012-2014'!$B$5:$D$118,3,FALSE)-'40 years'!K21*(1+i)</f>
        <v>455999.53801519703</v>
      </c>
    </row>
    <row r="22" spans="2:12" x14ac:dyDescent="0.35">
      <c r="B22" s="62">
        <f t="shared" si="3"/>
        <v>33</v>
      </c>
      <c r="C22" s="62">
        <f t="shared" si="4"/>
        <v>27</v>
      </c>
      <c r="D22" s="69">
        <f>D23*v*VLOOKUP(B22,'IALM 2012-2014'!$B$5:$D$118,3,FALSE)+m*v*VLOOKUP(B22,'IALM 2012-2014'!$B$5:$D$118,3,FALSE)-m+1</f>
        <v>14.700989020785888</v>
      </c>
      <c r="E22" s="63">
        <f t="shared" si="0"/>
        <v>572390.18603239092</v>
      </c>
      <c r="F22" s="72">
        <f>F23*v*VLOOKUP(B22,'IALM 2012-2014'!$B$5:$D$118,3,FALSE)+v*VLOOKUP(B22,'IALM 2012-2014'!$B$5:$D$118,2,FALSE)</f>
        <v>4.2970293043963277E-2</v>
      </c>
      <c r="G22" s="63">
        <f t="shared" si="1"/>
        <v>429702.93043963279</v>
      </c>
      <c r="H22" s="63">
        <v>0</v>
      </c>
      <c r="I22" s="63">
        <f>(fre+vre*pm_40)*'40 years'!D22</f>
        <v>28197.447346561145</v>
      </c>
      <c r="J22" s="63">
        <f t="shared" si="2"/>
        <v>28197.447346561145</v>
      </c>
      <c r="K22" s="63">
        <f>((K23*VLOOKUP(B22,'IALM 2012-2014'!$B$5:$D$118,3,FALSE)+sa*VLOOKUP(B22,'IALM 2012-2014'!$B$5:$D$118,2,FALSE))/(1+i)) -P_40 + fre*12 + vre*P_40</f>
        <v>-6336494.0799299991</v>
      </c>
      <c r="L22" s="64">
        <f>K23*VLOOKUP(B22,'IALM 2012-2014'!$B$5:$D$118,3,FALSE)-'40 years'!K22*(1+i)</f>
        <v>455559.53801519703</v>
      </c>
    </row>
    <row r="23" spans="2:12" x14ac:dyDescent="0.35">
      <c r="B23" s="62">
        <f t="shared" si="3"/>
        <v>34</v>
      </c>
      <c r="C23" s="62">
        <f t="shared" si="4"/>
        <v>26</v>
      </c>
      <c r="D23" s="69">
        <f>D24*v*VLOOKUP(B23,'IALM 2012-2014'!$B$5:$D$118,3,FALSE)+m*v*VLOOKUP(B23,'IALM 2012-2014'!$B$5:$D$118,3,FALSE)-m+1</f>
        <v>14.42511856725589</v>
      </c>
      <c r="E23" s="63">
        <f t="shared" si="0"/>
        <v>561649.03521637362</v>
      </c>
      <c r="F23" s="72">
        <f>F24*v*VLOOKUP(B23,'IALM 2012-2014'!$B$5:$D$118,3,FALSE)+v*VLOOKUP(B23,'IALM 2012-2014'!$B$5:$D$118,2,FALSE)</f>
        <v>4.4080679313896337E-2</v>
      </c>
      <c r="G23" s="63">
        <f t="shared" si="1"/>
        <v>440806.79313896334</v>
      </c>
      <c r="H23" s="63">
        <v>0</v>
      </c>
      <c r="I23" s="63">
        <f>(fre+vre*pm_40)*'40 years'!D23</f>
        <v>27668.309981933126</v>
      </c>
      <c r="J23" s="63">
        <f t="shared" si="2"/>
        <v>27668.309981933126</v>
      </c>
      <c r="K23" s="63">
        <f>((K24*VLOOKUP(B23,'IALM 2012-2014'!$B$5:$D$118,3,FALSE)+sa*VLOOKUP(B23,'IALM 2012-2014'!$B$5:$D$118,2,FALSE))/(1+i)) -P_40 + fre*12 + vre*P_40</f>
        <v>-6204497.3300116947</v>
      </c>
      <c r="L23" s="64">
        <f>K24*VLOOKUP(B23,'IALM 2012-2014'!$B$5:$D$118,3,FALSE)-'40 years'!K23*(1+i)</f>
        <v>455019.53801519796</v>
      </c>
    </row>
    <row r="24" spans="2:12" x14ac:dyDescent="0.35">
      <c r="B24" s="62">
        <f t="shared" si="3"/>
        <v>35</v>
      </c>
      <c r="C24" s="62">
        <f t="shared" si="4"/>
        <v>25</v>
      </c>
      <c r="D24" s="69">
        <f>D25*v*VLOOKUP(B24,'IALM 2012-2014'!$B$5:$D$118,3,FALSE)+m*v*VLOOKUP(B24,'IALM 2012-2014'!$B$5:$D$118,3,FALSE)-m+1</f>
        <v>14.135928620913194</v>
      </c>
      <c r="E24" s="63">
        <f t="shared" si="0"/>
        <v>550389.28344377188</v>
      </c>
      <c r="F24" s="72">
        <f>F25*v*VLOOKUP(B24,'IALM 2012-2014'!$B$5:$D$118,3,FALSE)+v*VLOOKUP(B24,'IALM 2012-2014'!$B$5:$D$118,2,FALSE)</f>
        <v>4.5196236989759483E-2</v>
      </c>
      <c r="G24" s="63">
        <f t="shared" si="1"/>
        <v>451962.36989759485</v>
      </c>
      <c r="H24" s="63">
        <v>0</v>
      </c>
      <c r="I24" s="63">
        <f>(fre+vre*pm_40)*'40 years'!D24</f>
        <v>27113.62496899805</v>
      </c>
      <c r="J24" s="63">
        <f t="shared" si="2"/>
        <v>27113.62496899805</v>
      </c>
      <c r="K24" s="63">
        <f>((K25*VLOOKUP(B24,'IALM 2012-2014'!$B$5:$D$118,3,FALSE)+sa*VLOOKUP(B24,'IALM 2012-2014'!$B$5:$D$118,2,FALSE))/(1+i)) -P_40 + fre*12 + vre*P_40</f>
        <v>-6066618.6037053065</v>
      </c>
      <c r="L24" s="64">
        <f>K25*VLOOKUP(B24,'IALM 2012-2014'!$B$5:$D$118,3,FALSE)-'40 years'!K24*(1+i)</f>
        <v>454399.53801519796</v>
      </c>
    </row>
    <row r="25" spans="2:12" x14ac:dyDescent="0.35">
      <c r="B25" s="62">
        <f t="shared" si="3"/>
        <v>36</v>
      </c>
      <c r="C25" s="62">
        <f t="shared" si="4"/>
        <v>24</v>
      </c>
      <c r="D25" s="69">
        <f>D26*v*VLOOKUP(B25,'IALM 2012-2014'!$B$5:$D$118,3,FALSE)+m*v*VLOOKUP(B25,'IALM 2012-2014'!$B$5:$D$118,3,FALSE)-m+1</f>
        <v>13.832819684553021</v>
      </c>
      <c r="E25" s="63">
        <f t="shared" si="0"/>
        <v>538587.58899818244</v>
      </c>
      <c r="F25" s="72">
        <f>F26*v*VLOOKUP(B25,'IALM 2012-2014'!$B$5:$D$118,3,FALSE)+v*VLOOKUP(B25,'IALM 2012-2014'!$B$5:$D$118,2,FALSE)</f>
        <v>4.6309713114410983E-2</v>
      </c>
      <c r="G25" s="63">
        <f t="shared" si="1"/>
        <v>463097.13114410982</v>
      </c>
      <c r="H25" s="63">
        <v>0</v>
      </c>
      <c r="I25" s="63">
        <f>(fre+vre*pm_40)*'40 years'!D25</f>
        <v>26532.242433360239</v>
      </c>
      <c r="J25" s="63">
        <f t="shared" si="2"/>
        <v>26532.242433360239</v>
      </c>
      <c r="K25" s="63">
        <f>((K26*VLOOKUP(B25,'IALM 2012-2014'!$B$5:$D$118,3,FALSE)+sa*VLOOKUP(B25,'IALM 2012-2014'!$B$5:$D$118,2,FALSE))/(1+i)) -P_40 + fre*12 + vre*P_40</f>
        <v>-5922669.0440663425</v>
      </c>
      <c r="L25" s="64">
        <f>K26*VLOOKUP(B25,'IALM 2012-2014'!$B$5:$D$118,3,FALSE)-'40 years'!K25*(1+i)</f>
        <v>453669.53801519796</v>
      </c>
    </row>
    <row r="26" spans="2:12" x14ac:dyDescent="0.35">
      <c r="B26" s="62">
        <f t="shared" si="3"/>
        <v>37</v>
      </c>
      <c r="C26" s="62">
        <f t="shared" si="4"/>
        <v>23</v>
      </c>
      <c r="D26" s="69">
        <f>D27*v*VLOOKUP(B26,'IALM 2012-2014'!$B$5:$D$118,3,FALSE)+m*v*VLOOKUP(B26,'IALM 2012-2014'!$B$5:$D$118,3,FALSE)-m+1</f>
        <v>13.515193582264729</v>
      </c>
      <c r="E26" s="63">
        <f t="shared" si="0"/>
        <v>526220.66160843463</v>
      </c>
      <c r="F26" s="72">
        <f>F27*v*VLOOKUP(B26,'IALM 2012-2014'!$B$5:$D$118,3,FALSE)+v*VLOOKUP(B26,'IALM 2012-2014'!$B$5:$D$118,2,FALSE)</f>
        <v>4.7410647345497041E-2</v>
      </c>
      <c r="G26" s="63">
        <f t="shared" si="1"/>
        <v>474106.4734549704</v>
      </c>
      <c r="H26" s="63">
        <v>0</v>
      </c>
      <c r="I26" s="63">
        <f>(fre+vre*pm_40)*'40 years'!D26</f>
        <v>25923.015034951586</v>
      </c>
      <c r="J26" s="63">
        <f t="shared" si="2"/>
        <v>25923.015034951586</v>
      </c>
      <c r="K26" s="63">
        <f>((K27*VLOOKUP(B26,'IALM 2012-2014'!$B$5:$D$118,3,FALSE)+sa*VLOOKUP(B26,'IALM 2012-2014'!$B$5:$D$118,2,FALSE))/(1+i)) -P_40 + fre*12 + vre*P_40</f>
        <v>-5772492.8866849858</v>
      </c>
      <c r="L26" s="64">
        <f>K27*VLOOKUP(B26,'IALM 2012-2014'!$B$5:$D$118,3,FALSE)-'40 years'!K26*(1+i)</f>
        <v>452839.53801519703</v>
      </c>
    </row>
    <row r="27" spans="2:12" x14ac:dyDescent="0.35">
      <c r="B27" s="62">
        <f t="shared" si="3"/>
        <v>38</v>
      </c>
      <c r="C27" s="62">
        <f t="shared" si="4"/>
        <v>22</v>
      </c>
      <c r="D27" s="69">
        <f>D28*v*VLOOKUP(B27,'IALM 2012-2014'!$B$5:$D$118,3,FALSE)+m*v*VLOOKUP(B27,'IALM 2012-2014'!$B$5:$D$118,3,FALSE)-m+1</f>
        <v>13.182394035811932</v>
      </c>
      <c r="E27" s="63">
        <f t="shared" si="0"/>
        <v>513262.94876093342</v>
      </c>
      <c r="F27" s="72">
        <f>F28*v*VLOOKUP(B27,'IALM 2012-2014'!$B$5:$D$118,3,FALSE)+v*VLOOKUP(B27,'IALM 2012-2014'!$B$5:$D$118,2,FALSE)</f>
        <v>4.848902781254133E-2</v>
      </c>
      <c r="G27" s="63">
        <f t="shared" si="1"/>
        <v>484890.27812541329</v>
      </c>
      <c r="H27" s="63">
        <v>0</v>
      </c>
      <c r="I27" s="63">
        <f>(fre+vre*pm_40)*'40 years'!D27</f>
        <v>25284.68398968695</v>
      </c>
      <c r="J27" s="63">
        <f t="shared" si="2"/>
        <v>25284.68398968695</v>
      </c>
      <c r="K27" s="63">
        <f>((K28*VLOOKUP(B27,'IALM 2012-2014'!$B$5:$D$118,3,FALSE)+sa*VLOOKUP(B27,'IALM 2012-2014'!$B$5:$D$118,2,FALSE))/(1+i)) -P_40 + fre*12 + vre*P_40</f>
        <v>-5615904.391167243</v>
      </c>
      <c r="L27" s="64">
        <f>K28*VLOOKUP(B27,'IALM 2012-2014'!$B$5:$D$118,3,FALSE)-'40 years'!K27*(1+i)</f>
        <v>451889.53801519796</v>
      </c>
    </row>
    <row r="28" spans="2:12" x14ac:dyDescent="0.35">
      <c r="B28" s="62">
        <f t="shared" si="3"/>
        <v>39</v>
      </c>
      <c r="C28" s="62">
        <f t="shared" si="4"/>
        <v>21</v>
      </c>
      <c r="D28" s="69">
        <f>D29*v*VLOOKUP(B28,'IALM 2012-2014'!$B$5:$D$118,3,FALSE)+m*v*VLOOKUP(B28,'IALM 2012-2014'!$B$5:$D$118,3,FALSE)-m+1</f>
        <v>12.83374379233279</v>
      </c>
      <c r="E28" s="63">
        <f t="shared" si="0"/>
        <v>499688.08128479973</v>
      </c>
      <c r="F28" s="72">
        <f>F29*v*VLOOKUP(B28,'IALM 2012-2014'!$B$5:$D$118,3,FALSE)+v*VLOOKUP(B28,'IALM 2012-2014'!$B$5:$D$118,2,FALSE)</f>
        <v>4.9532449852804528E-2</v>
      </c>
      <c r="G28" s="63">
        <f t="shared" si="1"/>
        <v>495324.49852804525</v>
      </c>
      <c r="H28" s="63">
        <v>0</v>
      </c>
      <c r="I28" s="63">
        <f>(fre+vre*pm_40)*'40 years'!D28</f>
        <v>24615.950282793583</v>
      </c>
      <c r="J28" s="63">
        <f t="shared" si="2"/>
        <v>24615.950282793583</v>
      </c>
      <c r="K28" s="63">
        <f>((K29*VLOOKUP(B28,'IALM 2012-2014'!$B$5:$D$118,3,FALSE)+sa*VLOOKUP(B28,'IALM 2012-2014'!$B$5:$D$118,2,FALSE))/(1+i)) -P_40 + fre*12 + vre*P_40</f>
        <v>-5452732.8936048159</v>
      </c>
      <c r="L28" s="64">
        <f>K29*VLOOKUP(B28,'IALM 2012-2014'!$B$5:$D$118,3,FALSE)-'40 years'!K28*(1+i)</f>
        <v>450819.53801519796</v>
      </c>
    </row>
    <row r="29" spans="2:12" x14ac:dyDescent="0.35">
      <c r="B29" s="62">
        <f t="shared" si="3"/>
        <v>40</v>
      </c>
      <c r="C29" s="62">
        <f t="shared" si="4"/>
        <v>20</v>
      </c>
      <c r="D29" s="69">
        <f>D30*v*VLOOKUP(B29,'IALM 2012-2014'!$B$5:$D$118,3,FALSE)+m*v*VLOOKUP(B29,'IALM 2012-2014'!$B$5:$D$118,3,FALSE)-m+1</f>
        <v>12.468513529722465</v>
      </c>
      <c r="E29" s="63">
        <f t="shared" si="0"/>
        <v>485467.66266775306</v>
      </c>
      <c r="F29" s="72">
        <f>F30*v*VLOOKUP(B29,'IALM 2012-2014'!$B$5:$D$118,3,FALSE)+v*VLOOKUP(B29,'IALM 2012-2014'!$B$5:$D$118,2,FALSE)</f>
        <v>5.0527895862991022E-2</v>
      </c>
      <c r="G29" s="63">
        <f t="shared" si="1"/>
        <v>505278.95862991019</v>
      </c>
      <c r="H29" s="63">
        <v>0</v>
      </c>
      <c r="I29" s="63">
        <f>(fre+vre*pm_40)*'40 years'!D29</f>
        <v>23915.415027324438</v>
      </c>
      <c r="J29" s="63">
        <f t="shared" si="2"/>
        <v>23915.415027324438</v>
      </c>
      <c r="K29" s="63">
        <f>((K30*VLOOKUP(B29,'IALM 2012-2014'!$B$5:$D$118,3,FALSE)+sa*VLOOKUP(B29,'IALM 2012-2014'!$B$5:$D$118,2,FALSE))/(1+i)) -P_40 + fre*12 + vre*P_40</f>
        <v>-5282791.1544708339</v>
      </c>
      <c r="L29" s="64">
        <f>K30*VLOOKUP(B29,'IALM 2012-2014'!$B$5:$D$118,3,FALSE)-'40 years'!K29*(1+i)</f>
        <v>449619.53801519703</v>
      </c>
    </row>
    <row r="30" spans="2:12" x14ac:dyDescent="0.35">
      <c r="B30" s="62">
        <f t="shared" si="3"/>
        <v>41</v>
      </c>
      <c r="C30" s="62">
        <f t="shared" si="4"/>
        <v>19</v>
      </c>
      <c r="D30" s="69">
        <f>D31*v*VLOOKUP(B30,'IALM 2012-2014'!$B$5:$D$118,3,FALSE)+m*v*VLOOKUP(B30,'IALM 2012-2014'!$B$5:$D$118,3,FALSE)-m+1</f>
        <v>12.085930235671183</v>
      </c>
      <c r="E30" s="63">
        <f t="shared" si="0"/>
        <v>470571.59529804956</v>
      </c>
      <c r="F30" s="72">
        <f>F31*v*VLOOKUP(B30,'IALM 2012-2014'!$B$5:$D$118,3,FALSE)+v*VLOOKUP(B30,'IALM 2012-2014'!$B$5:$D$118,2,FALSE)</f>
        <v>5.1460744707248755E-2</v>
      </c>
      <c r="G30" s="63">
        <f t="shared" si="1"/>
        <v>514607.44707248756</v>
      </c>
      <c r="H30" s="63">
        <v>0</v>
      </c>
      <c r="I30" s="63">
        <f>(fre+vre*pm_40)*'40 years'!D30</f>
        <v>23181.595535694873</v>
      </c>
      <c r="J30" s="63">
        <f t="shared" si="2"/>
        <v>23181.595535694873</v>
      </c>
      <c r="K30" s="63">
        <f>((K31*VLOOKUP(B30,'IALM 2012-2014'!$B$5:$D$118,3,FALSE)+sa*VLOOKUP(B30,'IALM 2012-2014'!$B$5:$D$118,2,FALSE))/(1+i)) -P_40 + fre*12 + vre*P_40</f>
        <v>-5105889.0678131049</v>
      </c>
      <c r="L30" s="64">
        <f>K31*VLOOKUP(B30,'IALM 2012-2014'!$B$5:$D$118,3,FALSE)-'40 years'!K30*(1+i)</f>
        <v>448269.53801519703</v>
      </c>
    </row>
    <row r="31" spans="2:12" x14ac:dyDescent="0.35">
      <c r="B31" s="62">
        <f t="shared" si="3"/>
        <v>42</v>
      </c>
      <c r="C31" s="62">
        <f t="shared" si="4"/>
        <v>18</v>
      </c>
      <c r="D31" s="69">
        <f>D32*v*VLOOKUP(B31,'IALM 2012-2014'!$B$5:$D$118,3,FALSE)+m*v*VLOOKUP(B31,'IALM 2012-2014'!$B$5:$D$118,3,FALSE)-m+1</f>
        <v>11.685183897896092</v>
      </c>
      <c r="E31" s="63">
        <f t="shared" si="0"/>
        <v>454968.34095192654</v>
      </c>
      <c r="F31" s="72">
        <f>F32*v*VLOOKUP(B31,'IALM 2012-2014'!$B$5:$D$118,3,FALSE)+v*VLOOKUP(B31,'IALM 2012-2014'!$B$5:$D$118,2,FALSE)</f>
        <v>5.2313731365038744E-2</v>
      </c>
      <c r="G31" s="63">
        <f t="shared" si="1"/>
        <v>523137.31365038746</v>
      </c>
      <c r="H31" s="63">
        <v>0</v>
      </c>
      <c r="I31" s="63">
        <f>(fre+vre*pm_40)*'40 years'!D31</f>
        <v>22412.938151979866</v>
      </c>
      <c r="J31" s="63">
        <f t="shared" si="2"/>
        <v>22412.938151979866</v>
      </c>
      <c r="K31" s="63">
        <f>((K32*VLOOKUP(B31,'IALM 2012-2014'!$B$5:$D$118,3,FALSE)+sa*VLOOKUP(B31,'IALM 2012-2014'!$B$5:$D$118,2,FALSE))/(1+i)) -P_40 + fre*12 + vre*P_40</f>
        <v>-4921847.1357399309</v>
      </c>
      <c r="L31" s="64">
        <f>K32*VLOOKUP(B31,'IALM 2012-2014'!$B$5:$D$118,3,FALSE)-'40 years'!K31*(1+i)</f>
        <v>446729.53801519796</v>
      </c>
    </row>
    <row r="32" spans="2:12" x14ac:dyDescent="0.35">
      <c r="B32" s="62">
        <f t="shared" si="3"/>
        <v>43</v>
      </c>
      <c r="C32" s="62">
        <f t="shared" si="4"/>
        <v>17</v>
      </c>
      <c r="D32" s="69">
        <f>D33*v*VLOOKUP(B32,'IALM 2012-2014'!$B$5:$D$118,3,FALSE)+m*v*VLOOKUP(B32,'IALM 2012-2014'!$B$5:$D$118,3,FALSE)-m+1</f>
        <v>11.265443876784285</v>
      </c>
      <c r="E32" s="63">
        <f t="shared" si="0"/>
        <v>438625.55827045342</v>
      </c>
      <c r="F32" s="72">
        <f>F33*v*VLOOKUP(B32,'IALM 2012-2014'!$B$5:$D$118,3,FALSE)+v*VLOOKUP(B32,'IALM 2012-2014'!$B$5:$D$118,2,FALSE)</f>
        <v>5.306490272675967E-2</v>
      </c>
      <c r="G32" s="63">
        <f t="shared" si="1"/>
        <v>530649.02726759668</v>
      </c>
      <c r="H32" s="63">
        <v>0</v>
      </c>
      <c r="I32" s="63">
        <f>(fre+vre*pm_40)*'40 years'!D32</f>
        <v>21607.849655701815</v>
      </c>
      <c r="J32" s="63">
        <f t="shared" si="2"/>
        <v>21607.849655701815</v>
      </c>
      <c r="K32" s="63">
        <f>((K33*VLOOKUP(B32,'IALM 2012-2014'!$B$5:$D$118,3,FALSE)+sa*VLOOKUP(B32,'IALM 2012-2014'!$B$5:$D$118,2,FALSE))/(1+i)) -P_40 + fre*12 + vre*P_40</f>
        <v>-4730524.3569706054</v>
      </c>
      <c r="L32" s="64">
        <f>K33*VLOOKUP(B32,'IALM 2012-2014'!$B$5:$D$118,3,FALSE)-'40 years'!K32*(1+i)</f>
        <v>444979.53801519703</v>
      </c>
    </row>
    <row r="33" spans="2:12" x14ac:dyDescent="0.35">
      <c r="B33" s="62">
        <f t="shared" si="3"/>
        <v>44</v>
      </c>
      <c r="C33" s="62">
        <f t="shared" si="4"/>
        <v>16</v>
      </c>
      <c r="D33" s="69">
        <f>D34*v*VLOOKUP(B33,'IALM 2012-2014'!$B$5:$D$118,3,FALSE)+m*v*VLOOKUP(B33,'IALM 2012-2014'!$B$5:$D$118,3,FALSE)-m+1</f>
        <v>10.825825974846907</v>
      </c>
      <c r="E33" s="63">
        <f t="shared" si="0"/>
        <v>421508.82059264689</v>
      </c>
      <c r="F33" s="72">
        <f>F34*v*VLOOKUP(B33,'IALM 2012-2014'!$B$5:$D$118,3,FALSE)+v*VLOOKUP(B33,'IALM 2012-2014'!$B$5:$D$118,2,FALSE)</f>
        <v>5.3689257631459514E-2</v>
      </c>
      <c r="G33" s="63">
        <f t="shared" si="1"/>
        <v>536892.57631459518</v>
      </c>
      <c r="H33" s="63">
        <v>0</v>
      </c>
      <c r="I33" s="63">
        <f>(fre+vre*pm_40)*'40 years'!D33</f>
        <v>20764.634098914587</v>
      </c>
      <c r="J33" s="63">
        <f t="shared" si="2"/>
        <v>20764.634098914587</v>
      </c>
      <c r="K33" s="63">
        <f>((K34*VLOOKUP(B33,'IALM 2012-2014'!$B$5:$D$118,3,FALSE)+sa*VLOOKUP(B33,'IALM 2012-2014'!$B$5:$D$118,2,FALSE))/(1+i)) -P_40 + fre*12 + vre*P_40</f>
        <v>-4531787.1885361597</v>
      </c>
      <c r="L33" s="64">
        <f>K34*VLOOKUP(B33,'IALM 2012-2014'!$B$5:$D$118,3,FALSE)-'40 years'!K33*(1+i)</f>
        <v>442969.53801519796</v>
      </c>
    </row>
    <row r="34" spans="2:12" x14ac:dyDescent="0.35">
      <c r="B34" s="62">
        <f t="shared" si="3"/>
        <v>45</v>
      </c>
      <c r="C34" s="62">
        <f t="shared" si="4"/>
        <v>15</v>
      </c>
      <c r="D34" s="69">
        <f>D35*v*VLOOKUP(B34,'IALM 2012-2014'!$B$5:$D$118,3,FALSE)+m*v*VLOOKUP(B34,'IALM 2012-2014'!$B$5:$D$118,3,FALSE)-m+1</f>
        <v>10.365415631578641</v>
      </c>
      <c r="E34" s="63">
        <f t="shared" si="0"/>
        <v>403582.51905865176</v>
      </c>
      <c r="F34" s="72">
        <f>F35*v*VLOOKUP(B34,'IALM 2012-2014'!$B$5:$D$118,3,FALSE)+v*VLOOKUP(B34,'IALM 2012-2014'!$B$5:$D$118,2,FALSE)</f>
        <v>5.41557156662699E-2</v>
      </c>
      <c r="G34" s="63">
        <f t="shared" si="1"/>
        <v>541557.15666269895</v>
      </c>
      <c r="H34" s="63">
        <v>0</v>
      </c>
      <c r="I34" s="63">
        <f>(fre+vre*pm_40)*'40 years'!D34</f>
        <v>19881.537295443533</v>
      </c>
      <c r="J34" s="63">
        <f t="shared" si="2"/>
        <v>19881.537295443533</v>
      </c>
      <c r="K34" s="63">
        <f>((K35*VLOOKUP(B34,'IALM 2012-2014'!$B$5:$D$118,3,FALSE)+sa*VLOOKUP(B34,'IALM 2012-2014'!$B$5:$D$118,2,FALSE))/(1+i)) -P_40 + fre*12 + vre*P_40</f>
        <v>-4325550.4256960275</v>
      </c>
      <c r="L34" s="64">
        <f>K35*VLOOKUP(B34,'IALM 2012-2014'!$B$5:$D$118,3,FALSE)-'40 years'!K34*(1+i)</f>
        <v>440629.53801519843</v>
      </c>
    </row>
    <row r="35" spans="2:12" x14ac:dyDescent="0.35">
      <c r="B35" s="62">
        <f t="shared" si="3"/>
        <v>46</v>
      </c>
      <c r="C35" s="62">
        <f t="shared" si="4"/>
        <v>14</v>
      </c>
      <c r="D35" s="69">
        <f>D36*v*VLOOKUP(B35,'IALM 2012-2014'!$B$5:$D$118,3,FALSE)+m*v*VLOOKUP(B35,'IALM 2012-2014'!$B$5:$D$118,3,FALSE)-m+1</f>
        <v>9.8832740853570442</v>
      </c>
      <c r="E35" s="63">
        <f t="shared" si="0"/>
        <v>384810.10252629989</v>
      </c>
      <c r="F35" s="72">
        <f>F36*v*VLOOKUP(B35,'IALM 2012-2014'!$B$5:$D$118,3,FALSE)+v*VLOOKUP(B35,'IALM 2012-2014'!$B$5:$D$118,2,FALSE)</f>
        <v>5.4424863171703225E-2</v>
      </c>
      <c r="G35" s="63">
        <f t="shared" si="1"/>
        <v>544248.63171703229</v>
      </c>
      <c r="H35" s="63">
        <v>0</v>
      </c>
      <c r="I35" s="63">
        <f>(fre+vre*pm_40)*'40 years'!D35</f>
        <v>18956.75863980678</v>
      </c>
      <c r="J35" s="63">
        <f t="shared" si="2"/>
        <v>18956.75863980678</v>
      </c>
      <c r="K35" s="63">
        <f>((K36*VLOOKUP(B35,'IALM 2012-2014'!$B$5:$D$118,3,FALSE)+sa*VLOOKUP(B35,'IALM 2012-2014'!$B$5:$D$118,2,FALSE))/(1+i)) -P_40 + fre*12 + vre*P_40</f>
        <v>-4111802.7482533762</v>
      </c>
      <c r="L35" s="64">
        <f>K36*VLOOKUP(B35,'IALM 2012-2014'!$B$5:$D$118,3,FALSE)-'40 years'!K35*(1+i)</f>
        <v>437909.53801519843</v>
      </c>
    </row>
    <row r="36" spans="2:12" x14ac:dyDescent="0.35">
      <c r="B36" s="62">
        <f t="shared" si="3"/>
        <v>47</v>
      </c>
      <c r="C36" s="62">
        <f t="shared" si="4"/>
        <v>13</v>
      </c>
      <c r="D36" s="69">
        <f>D37*v*VLOOKUP(B36,'IALM 2012-2014'!$B$5:$D$118,3,FALSE)+m*v*VLOOKUP(B36,'IALM 2012-2014'!$B$5:$D$118,3,FALSE)-m+1</f>
        <v>9.3783989801172112</v>
      </c>
      <c r="E36" s="63">
        <f t="shared" si="0"/>
        <v>365152.54377275269</v>
      </c>
      <c r="F36" s="72">
        <f>F37*v*VLOOKUP(B36,'IALM 2012-2014'!$B$5:$D$118,3,FALSE)+v*VLOOKUP(B36,'IALM 2012-2014'!$B$5:$D$118,2,FALSE)</f>
        <v>5.4450344261778721E-2</v>
      </c>
      <c r="G36" s="63">
        <f t="shared" si="1"/>
        <v>544503.44261778716</v>
      </c>
      <c r="H36" s="63">
        <v>0</v>
      </c>
      <c r="I36" s="63">
        <f>(fre+vre*pm_40)*'40 years'!D36</f>
        <v>17988.375548270487</v>
      </c>
      <c r="J36" s="63">
        <f t="shared" si="2"/>
        <v>17988.375548270487</v>
      </c>
      <c r="K36" s="63">
        <f>((K37*VLOOKUP(B36,'IALM 2012-2014'!$B$5:$D$118,3,FALSE)+sa*VLOOKUP(B36,'IALM 2012-2014'!$B$5:$D$118,2,FALSE))/(1+i)) -P_40 + fre*12 + vre*P_40</f>
        <v>-3890575.3780536782</v>
      </c>
      <c r="L36" s="64">
        <f>K37*VLOOKUP(B36,'IALM 2012-2014'!$B$5:$D$118,3,FALSE)-'40 years'!K36*(1+i)</f>
        <v>434739.53801519843</v>
      </c>
    </row>
    <row r="37" spans="2:12" x14ac:dyDescent="0.35">
      <c r="B37" s="62">
        <f t="shared" si="3"/>
        <v>48</v>
      </c>
      <c r="C37" s="62">
        <f t="shared" si="4"/>
        <v>12</v>
      </c>
      <c r="D37" s="69">
        <f>D38*v*VLOOKUP(B37,'IALM 2012-2014'!$B$5:$D$118,3,FALSE)+m*v*VLOOKUP(B37,'IALM 2012-2014'!$B$5:$D$118,3,FALSE)-m+1</f>
        <v>8.8497235199007847</v>
      </c>
      <c r="E37" s="63">
        <f t="shared" si="0"/>
        <v>344568.30657645396</v>
      </c>
      <c r="F37" s="72">
        <f>F38*v*VLOOKUP(B37,'IALM 2012-2014'!$B$5:$D$118,3,FALSE)+v*VLOOKUP(B37,'IALM 2012-2014'!$B$5:$D$118,2,FALSE)</f>
        <v>5.4176492603435343E-2</v>
      </c>
      <c r="G37" s="63">
        <f t="shared" si="1"/>
        <v>541764.92603435344</v>
      </c>
      <c r="H37" s="63">
        <v>0</v>
      </c>
      <c r="I37" s="63">
        <f>(fre+vre*pm_40)*'40 years'!D37</f>
        <v>16974.341837219206</v>
      </c>
      <c r="J37" s="63">
        <f t="shared" si="2"/>
        <v>16974.341837219206</v>
      </c>
      <c r="K37" s="63">
        <f>((K38*VLOOKUP(B37,'IALM 2012-2014'!$B$5:$D$118,3,FALSE)+sa*VLOOKUP(B37,'IALM 2012-2014'!$B$5:$D$118,2,FALSE))/(1+i)) -P_40 + fre*12 + vre*P_40</f>
        <v>-3661965.7163304989</v>
      </c>
      <c r="L37" s="64">
        <f>K38*VLOOKUP(B37,'IALM 2012-2014'!$B$5:$D$118,3,FALSE)-'40 years'!K37*(1+i)</f>
        <v>431059.53801519843</v>
      </c>
    </row>
    <row r="38" spans="2:12" x14ac:dyDescent="0.35">
      <c r="B38" s="62">
        <f t="shared" si="3"/>
        <v>49</v>
      </c>
      <c r="C38" s="62">
        <f t="shared" si="4"/>
        <v>11</v>
      </c>
      <c r="D38" s="69">
        <f>D39*v*VLOOKUP(B38,'IALM 2012-2014'!$B$5:$D$118,3,FALSE)+m*v*VLOOKUP(B38,'IALM 2012-2014'!$B$5:$D$118,3,FALSE)-m+1</f>
        <v>8.2960819750930881</v>
      </c>
      <c r="E38" s="63">
        <f t="shared" si="0"/>
        <v>323012.0026856293</v>
      </c>
      <c r="F38" s="72">
        <f>F39*v*VLOOKUP(B38,'IALM 2012-2014'!$B$5:$D$118,3,FALSE)+v*VLOOKUP(B38,'IALM 2012-2014'!$B$5:$D$118,2,FALSE)</f>
        <v>5.3538629828681329E-2</v>
      </c>
      <c r="G38" s="63">
        <f t="shared" si="1"/>
        <v>535386.29828681331</v>
      </c>
      <c r="H38" s="63">
        <v>0</v>
      </c>
      <c r="I38" s="63">
        <f>(fre+vre*pm_40)*'40 years'!D38</f>
        <v>15912.421561888694</v>
      </c>
      <c r="J38" s="63">
        <f t="shared" si="2"/>
        <v>15912.421561888694</v>
      </c>
      <c r="K38" s="63">
        <f>((K39*VLOOKUP(B38,'IALM 2012-2014'!$B$5:$D$118,3,FALSE)+sa*VLOOKUP(B38,'IALM 2012-2014'!$B$5:$D$118,2,FALSE))/(1+i)) -P_40 + fre*12 + vre*P_40</f>
        <v>-3426119.2216997561</v>
      </c>
      <c r="L38" s="64">
        <f>K39*VLOOKUP(B38,'IALM 2012-2014'!$B$5:$D$118,3,FALSE)-'40 years'!K38*(1+i)</f>
        <v>426839.53801519843</v>
      </c>
    </row>
    <row r="39" spans="2:12" x14ac:dyDescent="0.35">
      <c r="B39" s="62">
        <f t="shared" si="3"/>
        <v>50</v>
      </c>
      <c r="C39" s="62">
        <f t="shared" si="4"/>
        <v>10</v>
      </c>
      <c r="D39" s="69">
        <f>D40*v*VLOOKUP(B39,'IALM 2012-2014'!$B$5:$D$118,3,FALSE)+m*v*VLOOKUP(B39,'IALM 2012-2014'!$B$5:$D$118,3,FALSE)-m+1</f>
        <v>7.7161573747369507</v>
      </c>
      <c r="E39" s="63">
        <f t="shared" si="0"/>
        <v>300432.35519298294</v>
      </c>
      <c r="F39" s="72">
        <f>F40*v*VLOOKUP(B39,'IALM 2012-2014'!$B$5:$D$118,3,FALSE)+v*VLOOKUP(B39,'IALM 2012-2014'!$B$5:$D$118,2,FALSE)</f>
        <v>5.2465218655554084E-2</v>
      </c>
      <c r="G39" s="63">
        <f t="shared" si="1"/>
        <v>524652.18655554089</v>
      </c>
      <c r="H39" s="63">
        <v>0</v>
      </c>
      <c r="I39" s="63">
        <f>(fre+vre*pm_40)*'40 years'!D39</f>
        <v>14800.0886868422</v>
      </c>
      <c r="J39" s="63">
        <f t="shared" si="2"/>
        <v>14800.0886868422</v>
      </c>
      <c r="K39" s="63">
        <f>((K40*VLOOKUP(B39,'IALM 2012-2014'!$B$5:$D$118,3,FALSE)+sa*VLOOKUP(B39,'IALM 2012-2014'!$B$5:$D$118,2,FALSE))/(1+i)) -P_40 + fre*12 + vre*P_40</f>
        <v>-3183184.689771662</v>
      </c>
      <c r="L39" s="64">
        <f>K40*VLOOKUP(B39,'IALM 2012-2014'!$B$5:$D$118,3,FALSE)-'40 years'!K39*(1+i)</f>
        <v>422059.53801519843</v>
      </c>
    </row>
    <row r="40" spans="2:12" x14ac:dyDescent="0.35">
      <c r="B40" s="62">
        <f t="shared" si="3"/>
        <v>51</v>
      </c>
      <c r="C40" s="62">
        <f t="shared" si="4"/>
        <v>9</v>
      </c>
      <c r="D40" s="76">
        <f>D41*v*VLOOKUP(B40,'IALM 2012-2014'!$B$5:$D$118,3,FALSE)+m*v*VLOOKUP(B40,'IALM 2012-2014'!$B$5:$D$118,3,FALSE)-m+1</f>
        <v>7.1084481528130103</v>
      </c>
      <c r="E40" s="63">
        <f t="shared" si="0"/>
        <v>276770.89989233483</v>
      </c>
      <c r="F40" s="72">
        <f>F41*v*VLOOKUP(B40,'IALM 2012-2014'!$B$5:$D$118,3,FALSE)+v*VLOOKUP(B40,'IALM 2012-2014'!$B$5:$D$118,2,FALSE)</f>
        <v>5.0878175173400993E-2</v>
      </c>
      <c r="G40" s="63">
        <f t="shared" si="1"/>
        <v>508781.75173400994</v>
      </c>
      <c r="H40" s="63">
        <v>0</v>
      </c>
      <c r="I40" s="63">
        <f>(fre+vre*pm_40)*'40 years'!D40</f>
        <v>13634.463111379802</v>
      </c>
      <c r="J40" s="63">
        <f t="shared" si="2"/>
        <v>13634.463111379802</v>
      </c>
      <c r="K40" s="63">
        <f>((K41*VLOOKUP(B40,'IALM 2012-2014'!$B$5:$D$118,3,FALSE)+sa*VLOOKUP(B40,'IALM 2012-2014'!$B$5:$D$118,2,FALSE))/(1+i)) -P_40 + fre*12 + vre*P_40</f>
        <v>-2933296.4894723459</v>
      </c>
      <c r="L40" s="63">
        <f>K41*VLOOKUP(B40,'IALM 2012-2014'!$B$5:$D$118,3,FALSE)-'40 years'!K40*(1+i)</f>
        <v>416729.53801519843</v>
      </c>
    </row>
    <row r="41" spans="2:12" x14ac:dyDescent="0.35">
      <c r="B41" s="62">
        <f t="shared" si="3"/>
        <v>52</v>
      </c>
      <c r="C41" s="62">
        <f t="shared" si="4"/>
        <v>8</v>
      </c>
      <c r="D41" s="76">
        <f>D42*v*VLOOKUP(B41,'IALM 2012-2014'!$B$5:$D$118,3,FALSE)+m*v*VLOOKUP(B41,'IALM 2012-2014'!$B$5:$D$118,3,FALSE)-m+1</f>
        <v>6.4712201785207295</v>
      </c>
      <c r="E41" s="63">
        <f t="shared" si="0"/>
        <v>251960.11755418818</v>
      </c>
      <c r="F41" s="72">
        <f>F42*v*VLOOKUP(B41,'IALM 2012-2014'!$B$5:$D$118,3,FALSE)+v*VLOOKUP(B41,'IALM 2012-2014'!$B$5:$D$118,2,FALSE)</f>
        <v>4.8695049633700901E-2</v>
      </c>
      <c r="G41" s="63">
        <f t="shared" si="1"/>
        <v>486950.49633700901</v>
      </c>
      <c r="H41" s="63">
        <v>0</v>
      </c>
      <c r="I41" s="63">
        <f>(fre+vre*pm_40)*'40 years'!D41</f>
        <v>12412.218660516193</v>
      </c>
      <c r="J41" s="63">
        <f t="shared" si="2"/>
        <v>12412.218660516193</v>
      </c>
      <c r="K41" s="63">
        <f>((K42*VLOOKUP(B41,'IALM 2012-2014'!$B$5:$D$118,3,FALSE)+sa*VLOOKUP(B41,'IALM 2012-2014'!$B$5:$D$118,2,FALSE))/(1+i)) -P_40 + fre*12 + vre*P_40</f>
        <v>-2676531.4607592779</v>
      </c>
      <c r="L41" s="64">
        <f>K42*VLOOKUP(B41,'IALM 2012-2014'!$B$5:$D$118,3,FALSE)-'40 years'!K41*(1+i)</f>
        <v>410919.53801519843</v>
      </c>
    </row>
    <row r="42" spans="2:12" x14ac:dyDescent="0.35">
      <c r="B42" s="62">
        <f t="shared" si="3"/>
        <v>53</v>
      </c>
      <c r="C42" s="62">
        <f t="shared" si="4"/>
        <v>7</v>
      </c>
      <c r="D42" s="76">
        <f>D43*v*VLOOKUP(B42,'IALM 2012-2014'!$B$5:$D$118,3,FALSE)+m*v*VLOOKUP(B42,'IALM 2012-2014'!$B$5:$D$118,3,FALSE)-m+1</f>
        <v>5.8024451748337604</v>
      </c>
      <c r="E42" s="63">
        <f t="shared" si="0"/>
        <v>225921.03622211239</v>
      </c>
      <c r="F42" s="72">
        <f>F43*v*VLOOKUP(B42,'IALM 2012-2014'!$B$5:$D$118,3,FALSE)+v*VLOOKUP(B42,'IALM 2012-2014'!$B$5:$D$118,2,FALSE)</f>
        <v>4.5834181824511988E-2</v>
      </c>
      <c r="G42" s="63">
        <f t="shared" si="1"/>
        <v>458341.81824511988</v>
      </c>
      <c r="H42" s="63">
        <v>0</v>
      </c>
      <c r="I42" s="63">
        <f>(fre+vre*pm_40)*'40 years'!D42</f>
        <v>11129.464967788692</v>
      </c>
      <c r="J42" s="63">
        <f t="shared" si="2"/>
        <v>11129.464967788692</v>
      </c>
      <c r="K42" s="63">
        <f>((K43*VLOOKUP(B42,'IALM 2012-2014'!$B$5:$D$118,3,FALSE)+sa*VLOOKUP(B42,'IALM 2012-2014'!$B$5:$D$118,2,FALSE))/(1+i)) -P_40 + fre*12 + vre*P_40</f>
        <v>-2412829.7006204873</v>
      </c>
      <c r="L42" s="64">
        <f>K43*VLOOKUP(B42,'IALM 2012-2014'!$B$5:$D$118,3,FALSE)-'40 years'!K42*(1+i)</f>
        <v>404679.53801519843</v>
      </c>
    </row>
    <row r="43" spans="2:12" x14ac:dyDescent="0.35">
      <c r="B43" s="62">
        <f t="shared" si="3"/>
        <v>54</v>
      </c>
      <c r="C43" s="62">
        <f t="shared" si="4"/>
        <v>6</v>
      </c>
      <c r="D43" s="76">
        <f>D44*v*VLOOKUP(B43,'IALM 2012-2014'!$B$5:$D$118,3,FALSE)+m*v*VLOOKUP(B43,'IALM 2012-2014'!$B$5:$D$118,3,FALSE)-m+1</f>
        <v>5.0998000155380474</v>
      </c>
      <c r="E43" s="63">
        <f t="shared" si="0"/>
        <v>198563.20384257825</v>
      </c>
      <c r="F43" s="72">
        <f>F44*v*VLOOKUP(B43,'IALM 2012-2014'!$B$5:$D$118,3,FALSE)+v*VLOOKUP(B43,'IALM 2012-2014'!$B$5:$D$118,2,FALSE)</f>
        <v>4.2212510958394719E-2</v>
      </c>
      <c r="G43" s="63">
        <f t="shared" si="1"/>
        <v>422125.10958394717</v>
      </c>
      <c r="H43" s="63">
        <v>0</v>
      </c>
      <c r="I43" s="63">
        <f>(fre+vre*pm_40)*'40 years'!D43</f>
        <v>9781.7461269308824</v>
      </c>
      <c r="J43" s="63">
        <f t="shared" si="2"/>
        <v>9781.7461269308824</v>
      </c>
      <c r="K43" s="63">
        <f>((K44*VLOOKUP(B43,'IALM 2012-2014'!$B$5:$D$118,3,FALSE)+sa*VLOOKUP(B43,'IALM 2012-2014'!$B$5:$D$118,2,FALSE))/(1+i)) -P_40 + fre*12 + vre*P_40</f>
        <v>-2142016.457243334</v>
      </c>
      <c r="L43" s="64">
        <f>K44*VLOOKUP(B43,'IALM 2012-2014'!$B$5:$D$118,3,FALSE)-'40 years'!K43*(1+i)</f>
        <v>398109.5380151982</v>
      </c>
    </row>
    <row r="44" spans="2:12" x14ac:dyDescent="0.35">
      <c r="B44" s="62">
        <f t="shared" si="3"/>
        <v>55</v>
      </c>
      <c r="C44" s="62">
        <f t="shared" si="4"/>
        <v>5</v>
      </c>
      <c r="D44" s="76">
        <f>D45*v*VLOOKUP(B44,'IALM 2012-2014'!$B$5:$D$118,3,FALSE)+m*v*VLOOKUP(B44,'IALM 2012-2014'!$B$5:$D$118,3,FALSE)-m+1</f>
        <v>4.3606249872696559</v>
      </c>
      <c r="E44" s="63">
        <f t="shared" si="0"/>
        <v>169783.0631770202</v>
      </c>
      <c r="F44" s="72">
        <f>F45*v*VLOOKUP(B44,'IALM 2012-2014'!$B$5:$D$118,3,FALSE)+v*VLOOKUP(B44,'IALM 2012-2014'!$B$5:$D$118,2,FALSE)</f>
        <v>3.7750006802784272E-2</v>
      </c>
      <c r="G44" s="63">
        <f t="shared" si="1"/>
        <v>377500.06802784273</v>
      </c>
      <c r="H44" s="63">
        <v>0</v>
      </c>
      <c r="I44" s="63">
        <f>(fre+vre*pm_40)*'40 years'!D44</f>
        <v>8363.9606357628472</v>
      </c>
      <c r="J44" s="63">
        <f t="shared" si="2"/>
        <v>8363.9606357628472</v>
      </c>
      <c r="K44" s="63">
        <f>((K45*VLOOKUP(B44,'IALM 2012-2014'!$B$5:$D$118,3,FALSE)+sa*VLOOKUP(B44,'IALM 2012-2014'!$B$5:$D$118,2,FALSE))/(1+i)) -P_40 + fre*12 + vre*P_40</f>
        <v>-1863738.9428086285</v>
      </c>
      <c r="L44" s="64">
        <f>K45*VLOOKUP(B44,'IALM 2012-2014'!$B$5:$D$118,3,FALSE)-'40 years'!K44*(1+i)</f>
        <v>391289.53801519843</v>
      </c>
    </row>
    <row r="45" spans="2:12" x14ac:dyDescent="0.35">
      <c r="B45" s="62">
        <f t="shared" si="3"/>
        <v>56</v>
      </c>
      <c r="C45" s="62">
        <f t="shared" si="4"/>
        <v>4</v>
      </c>
      <c r="D45" s="76">
        <f>D46*v*VLOOKUP(B45,'IALM 2012-2014'!$B$5:$D$118,3,FALSE)+m*v*VLOOKUP(B45,'IALM 2012-2014'!$B$5:$D$118,3,FALSE)-m+1</f>
        <v>3.5819273820545146</v>
      </c>
      <c r="E45" s="63">
        <f t="shared" si="0"/>
        <v>139464.09167912535</v>
      </c>
      <c r="F45" s="72">
        <f>F46*v*VLOOKUP(B45,'IALM 2012-2014'!$B$5:$D$118,3,FALSE)+v*VLOOKUP(B45,'IALM 2012-2014'!$B$5:$D$118,2,FALSE)</f>
        <v>3.2367685564570106E-2</v>
      </c>
      <c r="G45" s="63">
        <f t="shared" si="1"/>
        <v>323676.85564570106</v>
      </c>
      <c r="H45" s="63">
        <v>0</v>
      </c>
      <c r="I45" s="63">
        <f>(fre+vre*pm_40)*'40 years'!D45</f>
        <v>6870.3682869146469</v>
      </c>
      <c r="J45" s="63">
        <f t="shared" si="2"/>
        <v>6870.3682869146469</v>
      </c>
      <c r="K45" s="63">
        <f>((K46*VLOOKUP(B45,'IALM 2012-2014'!$B$5:$D$118,3,FALSE)+sa*VLOOKUP(B45,'IALM 2012-2014'!$B$5:$D$118,2,FALSE))/(1+i)) -P_40 + fre*12 + vre*P_40</f>
        <v>-1577488.0194237926</v>
      </c>
      <c r="L45" s="64">
        <f>K46*VLOOKUP(B45,'IALM 2012-2014'!$B$5:$D$118,3,FALSE)-'40 years'!K45*(1+i)</f>
        <v>384299.53801519843</v>
      </c>
    </row>
    <row r="46" spans="2:12" x14ac:dyDescent="0.35">
      <c r="B46" s="62">
        <f t="shared" si="3"/>
        <v>57</v>
      </c>
      <c r="C46" s="62">
        <f t="shared" si="4"/>
        <v>3</v>
      </c>
      <c r="D46" s="76">
        <f>D47*v*VLOOKUP(B46,'IALM 2012-2014'!$B$5:$D$118,3,FALSE)+m*v*VLOOKUP(B46,'IALM 2012-2014'!$B$5:$D$118,3,FALSE)-m+1</f>
        <v>2.7603724295486947</v>
      </c>
      <c r="E46" s="63">
        <f t="shared" si="0"/>
        <v>107476.44843718111</v>
      </c>
      <c r="F46" s="72">
        <f>F47*v*VLOOKUP(B46,'IALM 2012-2014'!$B$5:$D$118,3,FALSE)+v*VLOOKUP(B46,'IALM 2012-2014'!$B$5:$D$118,2,FALSE)</f>
        <v>2.5987479020515084E-2</v>
      </c>
      <c r="G46" s="63">
        <f t="shared" si="1"/>
        <v>259874.79020515084</v>
      </c>
      <c r="H46" s="63">
        <v>0</v>
      </c>
      <c r="I46" s="63">
        <f>(fre+vre*pm_40)*'40 years'!D46</f>
        <v>5294.5727752769544</v>
      </c>
      <c r="J46" s="63">
        <f t="shared" si="2"/>
        <v>5294.5727752769544</v>
      </c>
      <c r="K46" s="63">
        <f>((K47*VLOOKUP(B46,'IALM 2012-2014'!$B$5:$D$118,3,FALSE)+sa*VLOOKUP(B46,'IALM 2012-2014'!$B$5:$D$118,2,FALSE))/(1+i)) -P_40 + fre*12 + vre*P_40</f>
        <v>-1282595.557094645</v>
      </c>
      <c r="L46" s="64">
        <f>K47*VLOOKUP(B46,'IALM 2012-2014'!$B$5:$D$118,3,FALSE)-'40 years'!K46*(1+i)</f>
        <v>377169.53801519831</v>
      </c>
    </row>
    <row r="47" spans="2:12" x14ac:dyDescent="0.35">
      <c r="B47" s="62">
        <f t="shared" si="3"/>
        <v>58</v>
      </c>
      <c r="C47" s="62">
        <f t="shared" si="4"/>
        <v>2</v>
      </c>
      <c r="D47" s="76">
        <f>D48*v*VLOOKUP(B47,'IALM 2012-2014'!$B$5:$D$118,3,FALSE)+m*v*VLOOKUP(B47,'IALM 2012-2014'!$B$5:$D$118,3,FALSE)-m+1</f>
        <v>1.8922870042053288</v>
      </c>
      <c r="E47" s="63">
        <f t="shared" si="0"/>
        <v>73677.118514429167</v>
      </c>
      <c r="F47" s="72">
        <f>F48*v*VLOOKUP(B47,'IALM 2012-2014'!$B$5:$D$118,3,FALSE)+v*VLOOKUP(B47,'IALM 2012-2014'!$B$5:$D$118,2,FALSE)</f>
        <v>1.8527208305668931E-2</v>
      </c>
      <c r="G47" s="63">
        <f t="shared" si="1"/>
        <v>185272.0830566893</v>
      </c>
      <c r="H47" s="63">
        <v>0</v>
      </c>
      <c r="I47" s="63">
        <f>(fre+vre*pm_40)*'40 years'!D47</f>
        <v>3629.5288085868715</v>
      </c>
      <c r="J47" s="63">
        <f t="shared" si="2"/>
        <v>3629.5288085868715</v>
      </c>
      <c r="K47" s="63">
        <f>((K48*VLOOKUP(B47,'IALM 2012-2014'!$B$5:$D$118,3,FALSE)+sa*VLOOKUP(B47,'IALM 2012-2014'!$B$5:$D$118,2,FALSE))/(1+i)) -P_40 + fre*12 + vre*P_40</f>
        <v>-978287.00848490663</v>
      </c>
      <c r="L47" s="64">
        <f>K48*VLOOKUP(B47,'IALM 2012-2014'!$B$5:$D$118,3,FALSE)-'40 years'!K47*(1+i)</f>
        <v>369909.53801519831</v>
      </c>
    </row>
    <row r="48" spans="2:12" x14ac:dyDescent="0.35">
      <c r="B48" s="62">
        <f t="shared" si="3"/>
        <v>59</v>
      </c>
      <c r="C48" s="62">
        <f t="shared" si="4"/>
        <v>1</v>
      </c>
      <c r="D48" s="76">
        <f>D49*v*VLOOKUP(B48,'IALM 2012-2014'!$B$5:$D$118,3,FALSE)+m*v*VLOOKUP(B48,'IALM 2012-2014'!$B$5:$D$118,3,FALSE)-m+1</f>
        <v>0.9736379761904761</v>
      </c>
      <c r="E48" s="63">
        <f t="shared" si="0"/>
        <v>37909.070031403571</v>
      </c>
      <c r="F48" s="72">
        <f>v*VLOOKUP(B48,'IALM 2012-2014'!$B$5:$D$118,2,FALSE)</f>
        <v>9.8980952380952371E-3</v>
      </c>
      <c r="G48" s="63">
        <f t="shared" si="1"/>
        <v>98980.952380952367</v>
      </c>
      <c r="H48" s="63">
        <v>0</v>
      </c>
      <c r="I48" s="63">
        <f>(fre+vre*pm_40)*'40 years'!D48</f>
        <v>1867.5005830849641</v>
      </c>
      <c r="J48" s="63">
        <f t="shared" si="2"/>
        <v>1867.5005830849641</v>
      </c>
      <c r="K48" s="63">
        <f>((K49*VLOOKUP(B48,'IALM 2012-2014'!$B$5:$D$118,3,FALSE)+sa*VLOOKUP(B48,'IALM 2012-2014'!$B$5:$D$118,2,FALSE))/(1+i)) -P_40 + fre*12 + vre*P_40</f>
        <v>-663697.16220640764</v>
      </c>
      <c r="L48" s="64">
        <f>K49*VLOOKUP(B48,'IALM 2012-2014'!$B$5:$D$118,3,FALSE)-'40 years'!K48*(1+i)</f>
        <v>362489.53801519825</v>
      </c>
    </row>
    <row r="49" spans="2:12" x14ac:dyDescent="0.35">
      <c r="B49" s="65">
        <f t="shared" si="3"/>
        <v>60</v>
      </c>
      <c r="C49" s="65">
        <f t="shared" si="4"/>
        <v>0</v>
      </c>
      <c r="D49" s="77">
        <v>0</v>
      </c>
      <c r="E49" s="66">
        <f t="shared" si="0"/>
        <v>0</v>
      </c>
      <c r="F49" s="73">
        <v>0</v>
      </c>
      <c r="G49" s="66">
        <f t="shared" si="1"/>
        <v>0</v>
      </c>
      <c r="H49" s="66">
        <v>0</v>
      </c>
      <c r="I49" s="66">
        <f>(fre+vre*pm_40)*'40 years'!D49</f>
        <v>0</v>
      </c>
      <c r="J49" s="66">
        <f t="shared" si="2"/>
        <v>0</v>
      </c>
      <c r="K49" s="66">
        <f>((K50*VLOOKUP(B49,'IALM 2012-2014'!$B$5:$D$118,3,FALSE)+sa*VLOOKUP(B49,'IALM 2012-2014'!$B$5:$D$118,2,FALSE))/(1+i)) -P_40 + fre*12 + vre*P_40</f>
        <v>-337904.32191923639</v>
      </c>
      <c r="L49" s="67">
        <f>K50*VLOOKUP(B49,'IALM 2012-2014'!$B$5:$D$118,3,FALSE)-'40 years'!K49*(1+i)</f>
        <v>354799.53801519825</v>
      </c>
    </row>
  </sheetData>
  <mergeCells count="1">
    <mergeCell ref="C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9C4A-8B06-48FA-8C09-222636351EF2}">
  <dimension ref="B2:O60"/>
  <sheetViews>
    <sheetView zoomScale="70" zoomScaleNormal="70" workbookViewId="0">
      <selection activeCell="M14" sqref="M14"/>
    </sheetView>
  </sheetViews>
  <sheetFormatPr defaultRowHeight="14.5" x14ac:dyDescent="0.35"/>
  <cols>
    <col min="1" max="1" width="3.54296875" customWidth="1"/>
    <col min="2" max="2" width="12.54296875" customWidth="1"/>
    <col min="3" max="3" width="15.7265625" customWidth="1"/>
    <col min="4" max="4" width="20" customWidth="1"/>
    <col min="5" max="5" width="15.90625" customWidth="1"/>
    <col min="6" max="6" width="20" customWidth="1"/>
    <col min="7" max="7" width="16.90625" customWidth="1"/>
    <col min="8" max="8" width="15.1796875" customWidth="1"/>
    <col min="9" max="9" width="20.36328125" customWidth="1"/>
    <col min="10" max="10" width="17.81640625" customWidth="1"/>
    <col min="11" max="11" width="17.26953125" customWidth="1"/>
    <col min="12" max="12" width="17.08984375" customWidth="1"/>
    <col min="14" max="14" width="20.7265625" customWidth="1"/>
    <col min="15" max="15" width="13.81640625" bestFit="1" customWidth="1"/>
  </cols>
  <sheetData>
    <row r="2" spans="2:15" x14ac:dyDescent="0.35">
      <c r="C2" s="81" t="s">
        <v>47</v>
      </c>
      <c r="D2" s="82"/>
      <c r="E2" s="82"/>
      <c r="F2" s="83"/>
    </row>
    <row r="4" spans="2:15" x14ac:dyDescent="0.35">
      <c r="D4" s="57" t="s">
        <v>40</v>
      </c>
      <c r="E4" s="58">
        <f>E5*12</f>
        <v>852677.36234031315</v>
      </c>
    </row>
    <row r="5" spans="2:15" x14ac:dyDescent="0.35">
      <c r="D5" s="57" t="s">
        <v>11</v>
      </c>
      <c r="E5" s="58">
        <v>71056.446861692762</v>
      </c>
    </row>
    <row r="6" spans="2:15" x14ac:dyDescent="0.35">
      <c r="D6" s="57" t="s">
        <v>45</v>
      </c>
      <c r="E6" s="57">
        <v>50</v>
      </c>
    </row>
    <row r="8" spans="2:15" ht="29" x14ac:dyDescent="0.35">
      <c r="B8" s="5" t="s">
        <v>10</v>
      </c>
      <c r="C8" s="5" t="s">
        <v>12</v>
      </c>
      <c r="D8" s="75" t="s">
        <v>13</v>
      </c>
      <c r="E8" s="5" t="s">
        <v>15</v>
      </c>
      <c r="F8" s="75" t="s">
        <v>14</v>
      </c>
      <c r="G8" s="5" t="s">
        <v>16</v>
      </c>
      <c r="H8" s="5" t="s">
        <v>17</v>
      </c>
      <c r="I8" s="5" t="s">
        <v>25</v>
      </c>
      <c r="J8" s="5" t="s">
        <v>18</v>
      </c>
      <c r="K8" s="5" t="s">
        <v>23</v>
      </c>
      <c r="L8" s="5" t="s">
        <v>24</v>
      </c>
      <c r="N8" s="4" t="s">
        <v>19</v>
      </c>
      <c r="O8" s="78">
        <f>SUM(E9:E59)</f>
        <v>44200001.437266111</v>
      </c>
    </row>
    <row r="9" spans="2:15" x14ac:dyDescent="0.35">
      <c r="B9" s="59">
        <f>Parameters!C14</f>
        <v>20</v>
      </c>
      <c r="C9" s="59">
        <f>E6</f>
        <v>50</v>
      </c>
      <c r="D9" s="76">
        <f>D10*v*VLOOKUP(B9,'IALM 2012-2014'!$B$5:$D$118,3,FALSE)+m*v*VLOOKUP(B9,'IALM 2012-2014'!$B$5:$D$118,3,FALSE)-m+1</f>
        <v>18.235117954155495</v>
      </c>
      <c r="E9" s="60">
        <f t="shared" ref="E9:E59" si="0">pm_50*D9</f>
        <v>1295722.6899261496</v>
      </c>
      <c r="F9" s="72">
        <f>F10*v*VLOOKUP(B9,'IALM 2012-2014'!$B$5:$D$118,3,FALSE)+v*VLOOKUP(B9,'IALM 2012-2014'!$B$5:$D$118,2,FALSE)</f>
        <v>4.5392176159517579E-2</v>
      </c>
      <c r="G9" s="60">
        <f t="shared" ref="G9:G59" si="1">sa*F9</f>
        <v>453921.76159517578</v>
      </c>
      <c r="H9" s="60">
        <f>fie+vie*P_50</f>
        <v>175535.47246806265</v>
      </c>
      <c r="I9" s="60">
        <v>0</v>
      </c>
      <c r="J9" s="60">
        <f>H9+I9</f>
        <v>175535.47246806265</v>
      </c>
      <c r="K9" s="60">
        <f>((K10*VLOOKUP(B9,'IALM 2012-2014'!$B$5:$D$118,3,FALSE)+sa*VLOOKUP(B9,'IALM 2012-2014'!$B$5:$D$118,2,FALSE))/(1+i)) -P_50 + fie+vie*P_50</f>
        <v>-14712279.688173896</v>
      </c>
      <c r="L9" s="61">
        <f>K10*VLOOKUP(B9,'IALM 2012-2014'!$B$5:$D$118,3,FALSE)-'50 years '!K9*(1+i)</f>
        <v>701758.98436586186</v>
      </c>
      <c r="N9" s="4" t="s">
        <v>20</v>
      </c>
      <c r="O9" s="78">
        <f>SUM(G9:G59)</f>
        <v>42284483.421206385</v>
      </c>
    </row>
    <row r="10" spans="2:15" x14ac:dyDescent="0.35">
      <c r="B10" s="62">
        <f>B9+1</f>
        <v>21</v>
      </c>
      <c r="C10" s="62">
        <f>C9-1</f>
        <v>49</v>
      </c>
      <c r="D10" s="76">
        <f>D11*v*VLOOKUP(B10,'IALM 2012-2014'!$B$5:$D$118,3,FALSE)+m*v*VLOOKUP(B10,'IALM 2012-2014'!$B$5:$D$118,3,FALSE)-m+1</f>
        <v>18.136972581194964</v>
      </c>
      <c r="E10" s="63">
        <f t="shared" si="0"/>
        <v>1288748.8284476586</v>
      </c>
      <c r="F10" s="72">
        <f>F11*v*VLOOKUP(B10,'IALM 2012-2014'!$B$5:$D$118,3,FALSE)+v*VLOOKUP(B10,'IALM 2012-2014'!$B$5:$D$118,2,FALSE)</f>
        <v>4.6781010621307552E-2</v>
      </c>
      <c r="G10" s="63">
        <f t="shared" si="1"/>
        <v>467810.10621307552</v>
      </c>
      <c r="H10" s="63">
        <v>0</v>
      </c>
      <c r="I10" s="63">
        <f>(fre+vre*pm_50)*'50 years '!D10</f>
        <v>52265.194289325977</v>
      </c>
      <c r="J10" s="63">
        <f t="shared" ref="J10:J59" si="2">H10+I10</f>
        <v>52265.194289325977</v>
      </c>
      <c r="K10" s="63">
        <f>((K11*VLOOKUP(B10,'IALM 2012-2014'!$B$5:$D$118,3,FALSE)+sa*VLOOKUP(B10,'IALM 2012-2014'!$B$5:$D$118,2,FALSE))/(1+i)) -P_50 + fre*12 + vre*P_50</f>
        <v>-14759772.718208354</v>
      </c>
      <c r="L10" s="64">
        <f>K11*VLOOKUP(B10,'IALM 2012-2014'!$B$5:$D$118,3,FALSE)-'50 years '!K10*(1+i)</f>
        <v>849661.89354360849</v>
      </c>
      <c r="N10" s="4" t="s">
        <v>21</v>
      </c>
      <c r="O10" s="78">
        <f>SUM(J9:J59)</f>
        <v>1915518.0160597174</v>
      </c>
    </row>
    <row r="11" spans="2:15" x14ac:dyDescent="0.35">
      <c r="B11" s="62">
        <f t="shared" ref="B11:B59" si="3">B10+1</f>
        <v>22</v>
      </c>
      <c r="C11" s="62">
        <f t="shared" ref="C11:C59" si="4">C10-1</f>
        <v>48</v>
      </c>
      <c r="D11" s="76">
        <f>D12*v*VLOOKUP(B11,'IALM 2012-2014'!$B$5:$D$118,3,FALSE)+m*v*VLOOKUP(B11,'IALM 2012-2014'!$B$5:$D$118,3,FALSE)-m+1</f>
        <v>18.034009725338176</v>
      </c>
      <c r="E11" s="63">
        <f t="shared" si="0"/>
        <v>1281432.6537517426</v>
      </c>
      <c r="F11" s="72">
        <f>F12*v*VLOOKUP(B11,'IALM 2012-2014'!$B$5:$D$118,3,FALSE)+v*VLOOKUP(B11,'IALM 2012-2014'!$B$5:$D$118,2,FALSE)</f>
        <v>4.8231109008186571E-2</v>
      </c>
      <c r="G11" s="63">
        <f t="shared" si="1"/>
        <v>482311.09008186572</v>
      </c>
      <c r="H11" s="63">
        <v>0</v>
      </c>
      <c r="I11" s="63">
        <f>(fre+vre*pm_50)*'50 years '!D11</f>
        <v>51968.486906555911</v>
      </c>
      <c r="J11" s="63">
        <f t="shared" si="2"/>
        <v>51968.486906555911</v>
      </c>
      <c r="K11" s="63">
        <f>((K12*VLOOKUP(B11,'IALM 2012-2014'!$B$5:$D$118,3,FALSE)+sa*VLOOKUP(B11,'IALM 2012-2014'!$B$5:$D$118,2,FALSE))/(1+i)) -P_50 + fre*12 + vre*P_50</f>
        <v>-14661793.575774938</v>
      </c>
      <c r="L11" s="64">
        <f>K12*VLOOKUP(B11,'IALM 2012-2014'!$B$5:$D$118,3,FALSE)-'50 years '!K11*(1+i)</f>
        <v>849631.89354360849</v>
      </c>
      <c r="N11" s="4" t="s">
        <v>22</v>
      </c>
      <c r="O11" s="78">
        <f>O10+O9-O8</f>
        <v>0</v>
      </c>
    </row>
    <row r="12" spans="2:15" x14ac:dyDescent="0.35">
      <c r="B12" s="62">
        <f t="shared" si="3"/>
        <v>23</v>
      </c>
      <c r="C12" s="62">
        <f t="shared" si="4"/>
        <v>47</v>
      </c>
      <c r="D12" s="76">
        <f>D13*v*VLOOKUP(B12,'IALM 2012-2014'!$B$5:$D$118,3,FALSE)+m*v*VLOOKUP(B12,'IALM 2012-2014'!$B$5:$D$118,3,FALSE)-m+1</f>
        <v>17.925852860735596</v>
      </c>
      <c r="E12" s="63">
        <f t="shared" si="0"/>
        <v>1273747.411249382</v>
      </c>
      <c r="F12" s="72">
        <f>F13*v*VLOOKUP(B12,'IALM 2012-2014'!$B$5:$D$118,3,FALSE)+v*VLOOKUP(B12,'IALM 2012-2014'!$B$5:$D$118,2,FALSE)</f>
        <v>4.9752282347155188E-2</v>
      </c>
      <c r="G12" s="63">
        <f t="shared" si="1"/>
        <v>497522.82347155188</v>
      </c>
      <c r="H12" s="63">
        <v>0</v>
      </c>
      <c r="I12" s="63">
        <f>(fre+vre*pm_50)*'50 years '!D12</f>
        <v>51656.811983033156</v>
      </c>
      <c r="J12" s="63">
        <f t="shared" si="2"/>
        <v>51656.811983033156</v>
      </c>
      <c r="K12" s="63">
        <f>((K13*VLOOKUP(B12,'IALM 2012-2014'!$B$5:$D$118,3,FALSE)+sa*VLOOKUP(B12,'IALM 2012-2014'!$B$5:$D$118,2,FALSE))/(1+i)) -P_50 + fre*12 + vre*P_50</f>
        <v>-14558893.04380212</v>
      </c>
      <c r="L12" s="64">
        <f>K13*VLOOKUP(B12,'IALM 2012-2014'!$B$5:$D$118,3,FALSE)-'50 years '!K12*(1+i)</f>
        <v>849641.89354360662</v>
      </c>
      <c r="N12" s="4" t="s">
        <v>8</v>
      </c>
      <c r="O12" s="78">
        <f>pm_50</f>
        <v>71056.446861692762</v>
      </c>
    </row>
    <row r="13" spans="2:15" x14ac:dyDescent="0.35">
      <c r="B13" s="62">
        <f t="shared" si="3"/>
        <v>24</v>
      </c>
      <c r="C13" s="62">
        <f t="shared" si="4"/>
        <v>46</v>
      </c>
      <c r="D13" s="76">
        <f>D14*v*VLOOKUP(B13,'IALM 2012-2014'!$B$5:$D$118,3,FALSE)+m*v*VLOOKUP(B13,'IALM 2012-2014'!$B$5:$D$118,3,FALSE)-m+1</f>
        <v>17.812163355339642</v>
      </c>
      <c r="E13" s="63">
        <f t="shared" si="0"/>
        <v>1265669.0389504824</v>
      </c>
      <c r="F13" s="72">
        <f>F14*v*VLOOKUP(B13,'IALM 2012-2014'!$B$5:$D$118,3,FALSE)+v*VLOOKUP(B13,'IALM 2012-2014'!$B$5:$D$118,2,FALSE)</f>
        <v>5.1351961900852151E-2</v>
      </c>
      <c r="G13" s="63">
        <f t="shared" si="1"/>
        <v>513519.61900852149</v>
      </c>
      <c r="H13" s="63">
        <v>0</v>
      </c>
      <c r="I13" s="63">
        <f>(fre+vre*pm_50)*'50 years '!D13</f>
        <v>51329.1936850192</v>
      </c>
      <c r="J13" s="63">
        <f t="shared" si="2"/>
        <v>51329.1936850192</v>
      </c>
      <c r="K13" s="63">
        <f>((K14*VLOOKUP(B13,'IALM 2012-2014'!$B$5:$D$118,3,FALSE)+sa*VLOOKUP(B13,'IALM 2012-2014'!$B$5:$D$118,2,FALSE))/(1+i)) -P_50 + fre*12 + vre*P_50</f>
        <v>-14450721.677939171</v>
      </c>
      <c r="L13" s="64">
        <f>K14*VLOOKUP(B13,'IALM 2012-2014'!$B$5:$D$118,3,FALSE)-'50 years '!K13*(1+i)</f>
        <v>849671.89354360849</v>
      </c>
    </row>
    <row r="14" spans="2:15" x14ac:dyDescent="0.35">
      <c r="B14" s="62">
        <f t="shared" si="3"/>
        <v>25</v>
      </c>
      <c r="C14" s="62">
        <f t="shared" si="4"/>
        <v>45</v>
      </c>
      <c r="D14" s="76">
        <f>D15*v*VLOOKUP(B14,'IALM 2012-2014'!$B$5:$D$118,3,FALSE)+m*v*VLOOKUP(B14,'IALM 2012-2014'!$B$5:$D$118,3,FALSE)-m+1</f>
        <v>17.692623032062201</v>
      </c>
      <c r="E14" s="63">
        <f t="shared" si="0"/>
        <v>1257174.9283216894</v>
      </c>
      <c r="F14" s="72">
        <f>F15*v*VLOOKUP(B14,'IALM 2012-2014'!$B$5:$D$118,3,FALSE)+v*VLOOKUP(B14,'IALM 2012-2014'!$B$5:$D$118,2,FALSE)</f>
        <v>5.3036042623662641E-2</v>
      </c>
      <c r="G14" s="63">
        <f t="shared" si="1"/>
        <v>530360.42623662646</v>
      </c>
      <c r="H14" s="63">
        <v>0</v>
      </c>
      <c r="I14" s="63">
        <f>(fre+vre*pm_50)*'50 years '!D14</f>
        <v>50984.71512369733</v>
      </c>
      <c r="J14" s="63">
        <f t="shared" si="2"/>
        <v>50984.71512369733</v>
      </c>
      <c r="K14" s="63">
        <f>((K15*VLOOKUP(B14,'IALM 2012-2014'!$B$5:$D$118,3,FALSE)+sa*VLOOKUP(B14,'IALM 2012-2014'!$B$5:$D$118,2,FALSE))/(1+i)) -P_50 + fre*12 + vre*P_50</f>
        <v>-14336962.254075574</v>
      </c>
      <c r="L14" s="64">
        <f>K15*VLOOKUP(B14,'IALM 2012-2014'!$B$5:$D$118,3,FALSE)-'50 years '!K14*(1+i)</f>
        <v>849691.89354360849</v>
      </c>
    </row>
    <row r="15" spans="2:15" x14ac:dyDescent="0.35">
      <c r="B15" s="62">
        <f t="shared" si="3"/>
        <v>26</v>
      </c>
      <c r="C15" s="62">
        <f t="shared" si="4"/>
        <v>44</v>
      </c>
      <c r="D15" s="76">
        <f>D16*v*VLOOKUP(B15,'IALM 2012-2014'!$B$5:$D$118,3,FALSE)+m*v*VLOOKUP(B15,'IALM 2012-2014'!$B$5:$D$118,3,FALSE)-m+1</f>
        <v>17.566952391341651</v>
      </c>
      <c r="E15" s="63">
        <f t="shared" si="0"/>
        <v>1248245.2191172547</v>
      </c>
      <c r="F15" s="72">
        <f>F16*v*VLOOKUP(B15,'IALM 2012-2014'!$B$5:$D$118,3,FALSE)+v*VLOOKUP(B15,'IALM 2012-2014'!$B$5:$D$118,2,FALSE)</f>
        <v>5.4807870882637506E-2</v>
      </c>
      <c r="G15" s="63">
        <f t="shared" si="1"/>
        <v>548078.70882637508</v>
      </c>
      <c r="H15" s="63">
        <v>0</v>
      </c>
      <c r="I15" s="63">
        <f>(fre+vre*pm_50)*'50 years '!D15</f>
        <v>50622.570867023875</v>
      </c>
      <c r="J15" s="63">
        <f t="shared" si="2"/>
        <v>50622.570867023875</v>
      </c>
      <c r="K15" s="63">
        <f>((K16*VLOOKUP(B15,'IALM 2012-2014'!$B$5:$D$118,3,FALSE)+sa*VLOOKUP(B15,'IALM 2012-2014'!$B$5:$D$118,2,FALSE))/(1+i)) -P_50 + fre*12 + vre*P_50</f>
        <v>-14217354.830583017</v>
      </c>
      <c r="L15" s="64">
        <f>K16*VLOOKUP(B15,'IALM 2012-2014'!$B$5:$D$118,3,FALSE)-'50 years '!K15*(1+i)</f>
        <v>849691.89354360849</v>
      </c>
    </row>
    <row r="16" spans="2:15" x14ac:dyDescent="0.35">
      <c r="B16" s="62">
        <f t="shared" si="3"/>
        <v>27</v>
      </c>
      <c r="C16" s="62">
        <f t="shared" si="4"/>
        <v>43</v>
      </c>
      <c r="D16" s="76">
        <f>D17*v*VLOOKUP(B16,'IALM 2012-2014'!$B$5:$D$118,3,FALSE)+m*v*VLOOKUP(B16,'IALM 2012-2014'!$B$5:$D$118,3,FALSE)-m+1</f>
        <v>17.43487525477093</v>
      </c>
      <c r="E16" s="63">
        <f t="shared" si="0"/>
        <v>1238860.2870808726</v>
      </c>
      <c r="F16" s="72">
        <f>F17*v*VLOOKUP(B16,'IALM 2012-2014'!$B$5:$D$118,3,FALSE)+v*VLOOKUP(B16,'IALM 2012-2014'!$B$5:$D$118,2,FALSE)</f>
        <v>5.667002421931757E-2</v>
      </c>
      <c r="G16" s="63">
        <f t="shared" si="1"/>
        <v>566700.24219317571</v>
      </c>
      <c r="H16" s="63">
        <v>0</v>
      </c>
      <c r="I16" s="63">
        <f>(fre+vre*pm_50)*'50 years '!D16</f>
        <v>50241.965053504377</v>
      </c>
      <c r="J16" s="63">
        <f t="shared" si="2"/>
        <v>50241.965053504377</v>
      </c>
      <c r="K16" s="63">
        <f>((K17*VLOOKUP(B16,'IALM 2012-2014'!$B$5:$D$118,3,FALSE)+sa*VLOOKUP(B16,'IALM 2012-2014'!$B$5:$D$118,2,FALSE))/(1+i)) -P_50 + fre*12 + vre*P_50</f>
        <v>-14091650.004722958</v>
      </c>
      <c r="L16" s="64">
        <f>K17*VLOOKUP(B16,'IALM 2012-2014'!$B$5:$D$118,3,FALSE)-'50 years '!K16*(1+i)</f>
        <v>849661.89354360849</v>
      </c>
    </row>
    <row r="17" spans="2:12" x14ac:dyDescent="0.35">
      <c r="B17" s="62">
        <f t="shared" si="3"/>
        <v>28</v>
      </c>
      <c r="C17" s="62">
        <f t="shared" si="4"/>
        <v>42</v>
      </c>
      <c r="D17" s="76">
        <f>D18*v*VLOOKUP(B17,'IALM 2012-2014'!$B$5:$D$118,3,FALSE)+m*v*VLOOKUP(B17,'IALM 2012-2014'!$B$5:$D$118,3,FALSE)-m+1</f>
        <v>17.296118342040941</v>
      </c>
      <c r="E17" s="63">
        <f t="shared" si="0"/>
        <v>1229000.7138847816</v>
      </c>
      <c r="F17" s="72">
        <f>F18*v*VLOOKUP(B17,'IALM 2012-2014'!$B$5:$D$118,3,FALSE)+v*VLOOKUP(B17,'IALM 2012-2014'!$B$5:$D$118,2,FALSE)</f>
        <v>5.8624280508278177E-2</v>
      </c>
      <c r="G17" s="63">
        <f t="shared" si="1"/>
        <v>586242.80508278182</v>
      </c>
      <c r="H17" s="63">
        <v>0</v>
      </c>
      <c r="I17" s="63">
        <f>(fre+vre*pm_50)*'50 years '!D17</f>
        <v>49842.11017307415</v>
      </c>
      <c r="J17" s="63">
        <f t="shared" si="2"/>
        <v>49842.11017307415</v>
      </c>
      <c r="K17" s="63">
        <f>((K18*VLOOKUP(B17,'IALM 2012-2014'!$B$5:$D$118,3,FALSE)+sa*VLOOKUP(B17,'IALM 2012-2014'!$B$5:$D$118,2,FALSE))/(1+i)) -P_50 + fre*12 + vre*P_50</f>
        <v>-13959608.88611513</v>
      </c>
      <c r="L17" s="64">
        <f>K18*VLOOKUP(B17,'IALM 2012-2014'!$B$5:$D$118,3,FALSE)-'50 years '!K17*(1+i)</f>
        <v>849581.89354360849</v>
      </c>
    </row>
    <row r="18" spans="2:12" x14ac:dyDescent="0.35">
      <c r="B18" s="62">
        <f t="shared" si="3"/>
        <v>29</v>
      </c>
      <c r="C18" s="62">
        <f t="shared" si="4"/>
        <v>41</v>
      </c>
      <c r="D18" s="76">
        <f>D19*v*VLOOKUP(B18,'IALM 2012-2014'!$B$5:$D$118,3,FALSE)+m*v*VLOOKUP(B18,'IALM 2012-2014'!$B$5:$D$118,3,FALSE)-m+1</f>
        <v>17.150428379342994</v>
      </c>
      <c r="E18" s="63">
        <f t="shared" si="0"/>
        <v>1218648.5027920529</v>
      </c>
      <c r="F18" s="72">
        <f>F19*v*VLOOKUP(B18,'IALM 2012-2014'!$B$5:$D$118,3,FALSE)+v*VLOOKUP(B18,'IALM 2012-2014'!$B$5:$D$118,2,FALSE)</f>
        <v>6.0670646282490193E-2</v>
      </c>
      <c r="G18" s="63">
        <f t="shared" si="1"/>
        <v>606706.46282490192</v>
      </c>
      <c r="H18" s="63">
        <v>0</v>
      </c>
      <c r="I18" s="63">
        <f>(fre+vre*pm_50)*'50 years '!D18</f>
        <v>49422.276368268831</v>
      </c>
      <c r="J18" s="63">
        <f t="shared" si="2"/>
        <v>49422.276368268831</v>
      </c>
      <c r="K18" s="63">
        <f>((K19*VLOOKUP(B18,'IALM 2012-2014'!$B$5:$D$118,3,FALSE)+sa*VLOOKUP(B18,'IALM 2012-2014'!$B$5:$D$118,2,FALSE))/(1+i)) -P_50 + fre*12 + vre*P_50</f>
        <v>-13821026.844164481</v>
      </c>
      <c r="L18" s="64">
        <f>K19*VLOOKUP(B18,'IALM 2012-2014'!$B$5:$D$118,3,FALSE)-'50 years '!K18*(1+i)</f>
        <v>849441.89354360849</v>
      </c>
    </row>
    <row r="19" spans="2:12" x14ac:dyDescent="0.35">
      <c r="B19" s="62">
        <f t="shared" si="3"/>
        <v>30</v>
      </c>
      <c r="C19" s="62">
        <f t="shared" si="4"/>
        <v>40</v>
      </c>
      <c r="D19" s="76">
        <f>D20*v*VLOOKUP(B19,'IALM 2012-2014'!$B$5:$D$118,3,FALSE)+m*v*VLOOKUP(B19,'IALM 2012-2014'!$B$5:$D$118,3,FALSE)-m+1</f>
        <v>16.997554293548106</v>
      </c>
      <c r="E19" s="63">
        <f t="shared" si="0"/>
        <v>1207785.8134382386</v>
      </c>
      <c r="F19" s="72">
        <f>F20*v*VLOOKUP(B19,'IALM 2012-2014'!$B$5:$D$118,3,FALSE)+v*VLOOKUP(B19,'IALM 2012-2014'!$B$5:$D$118,2,FALSE)</f>
        <v>6.2808223258049398E-2</v>
      </c>
      <c r="G19" s="63">
        <f t="shared" si="1"/>
        <v>628082.23258049402</v>
      </c>
      <c r="H19" s="63">
        <v>0</v>
      </c>
      <c r="I19" s="63">
        <f>(fre+vre*pm_50)*'50 years '!D19</f>
        <v>48981.740123308235</v>
      </c>
      <c r="J19" s="63">
        <f t="shared" si="2"/>
        <v>48981.740123308235</v>
      </c>
      <c r="K19" s="63">
        <f>((K20*VLOOKUP(B19,'IALM 2012-2014'!$B$5:$D$118,3,FALSE)+sa*VLOOKUP(B19,'IALM 2012-2014'!$B$5:$D$118,2,FALSE))/(1+i)) -P_50 + fre*12 + vre*P_50</f>
        <v>-13675710.271848986</v>
      </c>
      <c r="L19" s="64">
        <f>K20*VLOOKUP(B19,'IALM 2012-2014'!$B$5:$D$118,3,FALSE)-'50 years '!K19*(1+i)</f>
        <v>849231.89354360849</v>
      </c>
    </row>
    <row r="20" spans="2:12" x14ac:dyDescent="0.35">
      <c r="B20" s="62">
        <f t="shared" si="3"/>
        <v>31</v>
      </c>
      <c r="C20" s="62">
        <f t="shared" si="4"/>
        <v>39</v>
      </c>
      <c r="D20" s="76">
        <f>D21*v*VLOOKUP(B20,'IALM 2012-2014'!$B$5:$D$118,3,FALSE)+m*v*VLOOKUP(B20,'IALM 2012-2014'!$B$5:$D$118,3,FALSE)-m+1</f>
        <v>16.837246456346698</v>
      </c>
      <c r="E20" s="63">
        <f t="shared" si="0"/>
        <v>1196394.9081226238</v>
      </c>
      <c r="F20" s="72">
        <f>F21*v*VLOOKUP(B20,'IALM 2012-2014'!$B$5:$D$118,3,FALSE)+v*VLOOKUP(B20,'IALM 2012-2014'!$B$5:$D$118,2,FALSE)</f>
        <v>6.503517378574053E-2</v>
      </c>
      <c r="G20" s="63">
        <f t="shared" si="1"/>
        <v>650351.73785740533</v>
      </c>
      <c r="H20" s="63">
        <v>0</v>
      </c>
      <c r="I20" s="63">
        <f>(fre+vre*pm_50)*'50 years '!D20</f>
        <v>48519.782085938736</v>
      </c>
      <c r="J20" s="63">
        <f t="shared" si="2"/>
        <v>48519.782085938736</v>
      </c>
      <c r="K20" s="63">
        <f>((K21*VLOOKUP(B20,'IALM 2012-2014'!$B$5:$D$118,3,FALSE)+sa*VLOOKUP(B20,'IALM 2012-2014'!$B$5:$D$118,2,FALSE))/(1+i)) -P_50 + fre*12 + vre*P_50</f>
        <v>-13523476.328270547</v>
      </c>
      <c r="L20" s="64">
        <f>K21*VLOOKUP(B20,'IALM 2012-2014'!$B$5:$D$118,3,FALSE)-'50 years '!K20*(1+i)</f>
        <v>848951.89354360849</v>
      </c>
    </row>
    <row r="21" spans="2:12" x14ac:dyDescent="0.35">
      <c r="B21" s="62">
        <f t="shared" si="3"/>
        <v>32</v>
      </c>
      <c r="C21" s="62">
        <f t="shared" si="4"/>
        <v>38</v>
      </c>
      <c r="D21" s="76">
        <f>D22*v*VLOOKUP(B21,'IALM 2012-2014'!$B$5:$D$118,3,FALSE)+m*v*VLOOKUP(B21,'IALM 2012-2014'!$B$5:$D$118,3,FALSE)-m+1</f>
        <v>16.669238655679656</v>
      </c>
      <c r="E21" s="63">
        <f t="shared" si="0"/>
        <v>1184456.8707621763</v>
      </c>
      <c r="F21" s="72">
        <f>F22*v*VLOOKUP(B21,'IALM 2012-2014'!$B$5:$D$118,3,FALSE)+v*VLOOKUP(B21,'IALM 2012-2014'!$B$5:$D$118,2,FALSE)</f>
        <v>6.7349618841963749E-2</v>
      </c>
      <c r="G21" s="63">
        <f t="shared" si="1"/>
        <v>673496.1884196375</v>
      </c>
      <c r="H21" s="63">
        <v>0</v>
      </c>
      <c r="I21" s="63">
        <f>(fre+vre*pm_50)*'50 years '!D21</f>
        <v>48035.635114625031</v>
      </c>
      <c r="J21" s="63">
        <f t="shared" si="2"/>
        <v>48035.635114625031</v>
      </c>
      <c r="K21" s="63">
        <f>((K22*VLOOKUP(B21,'IALM 2012-2014'!$B$5:$D$118,3,FALSE)+sa*VLOOKUP(B21,'IALM 2012-2014'!$B$5:$D$118,2,FALSE))/(1+i)) -P_50 + fre*12 + vre*P_50</f>
        <v>-13364129.200987458</v>
      </c>
      <c r="L21" s="64">
        <f>K22*VLOOKUP(B21,'IALM 2012-2014'!$B$5:$D$118,3,FALSE)-'50 years '!K21*(1+i)</f>
        <v>848581.89354360849</v>
      </c>
    </row>
    <row r="22" spans="2:12" x14ac:dyDescent="0.35">
      <c r="B22" s="62">
        <f t="shared" si="3"/>
        <v>33</v>
      </c>
      <c r="C22" s="62">
        <f t="shared" si="4"/>
        <v>37</v>
      </c>
      <c r="D22" s="76">
        <f>D23*v*VLOOKUP(B22,'IALM 2012-2014'!$B$5:$D$118,3,FALSE)+m*v*VLOOKUP(B22,'IALM 2012-2014'!$B$5:$D$118,3,FALSE)-m+1</f>
        <v>16.493280837095895</v>
      </c>
      <c r="E22" s="63">
        <f t="shared" si="0"/>
        <v>1171953.9333760799</v>
      </c>
      <c r="F22" s="72">
        <f>F23*v*VLOOKUP(B22,'IALM 2012-2014'!$B$5:$D$118,3,FALSE)+v*VLOOKUP(B22,'IALM 2012-2014'!$B$5:$D$118,2,FALSE)</f>
        <v>6.9747776967662239E-2</v>
      </c>
      <c r="G22" s="63">
        <f t="shared" si="1"/>
        <v>697477.76967662235</v>
      </c>
      <c r="H22" s="63">
        <v>0</v>
      </c>
      <c r="I22" s="63">
        <f>(fre+vre*pm_50)*'50 years '!D22</f>
        <v>47528.578629104319</v>
      </c>
      <c r="J22" s="63">
        <f t="shared" si="2"/>
        <v>47528.578629104319</v>
      </c>
      <c r="K22" s="63">
        <f>((K23*VLOOKUP(B22,'IALM 2012-2014'!$B$5:$D$118,3,FALSE)+sa*VLOOKUP(B22,'IALM 2012-2014'!$B$5:$D$118,2,FALSE))/(1+i)) -P_50 + fre*12 + vre*P_50</f>
        <v>-13197505.568295388</v>
      </c>
      <c r="L22" s="64">
        <f>K23*VLOOKUP(B22,'IALM 2012-2014'!$B$5:$D$118,3,FALSE)-'50 years '!K22*(1+i)</f>
        <v>848141.89354360662</v>
      </c>
    </row>
    <row r="23" spans="2:12" x14ac:dyDescent="0.35">
      <c r="B23" s="62">
        <f t="shared" si="3"/>
        <v>34</v>
      </c>
      <c r="C23" s="62">
        <f t="shared" si="4"/>
        <v>36</v>
      </c>
      <c r="D23" s="76">
        <f>D24*v*VLOOKUP(B23,'IALM 2012-2014'!$B$5:$D$118,3,FALSE)+m*v*VLOOKUP(B23,'IALM 2012-2014'!$B$5:$D$118,3,FALSE)-m+1</f>
        <v>16.309070946665436</v>
      </c>
      <c r="E23" s="63">
        <f t="shared" si="0"/>
        <v>1158864.6330853098</v>
      </c>
      <c r="F23" s="72">
        <f>F24*v*VLOOKUP(B23,'IALM 2012-2014'!$B$5:$D$118,3,FALSE)+v*VLOOKUP(B23,'IALM 2012-2014'!$B$5:$D$118,2,FALSE)</f>
        <v>7.2227604995070013E-2</v>
      </c>
      <c r="G23" s="63">
        <f t="shared" si="1"/>
        <v>722276.04995070014</v>
      </c>
      <c r="H23" s="63">
        <v>0</v>
      </c>
      <c r="I23" s="63">
        <f>(fre+vre*pm_50)*'50 years '!D23</f>
        <v>46997.742202558373</v>
      </c>
      <c r="J23" s="63">
        <f t="shared" si="2"/>
        <v>46997.742202558373</v>
      </c>
      <c r="K23" s="63">
        <f>((K24*VLOOKUP(B23,'IALM 2012-2014'!$B$5:$D$118,3,FALSE)+sa*VLOOKUP(B23,'IALM 2012-2014'!$B$5:$D$118,2,FALSE))/(1+i)) -P_50 + fre*12 + vre*P_50</f>
        <v>-13023382.346394734</v>
      </c>
      <c r="L23" s="64">
        <f>K24*VLOOKUP(B23,'IALM 2012-2014'!$B$5:$D$118,3,FALSE)-'50 years '!K23*(1+i)</f>
        <v>847601.89354360662</v>
      </c>
    </row>
    <row r="24" spans="2:12" x14ac:dyDescent="0.35">
      <c r="B24" s="62">
        <f t="shared" si="3"/>
        <v>35</v>
      </c>
      <c r="C24" s="62">
        <f t="shared" si="4"/>
        <v>35</v>
      </c>
      <c r="D24" s="76">
        <f>D25*v*VLOOKUP(B24,'IALM 2012-2014'!$B$5:$D$118,3,FALSE)+m*v*VLOOKUP(B24,'IALM 2012-2014'!$B$5:$D$118,3,FALSE)-m+1</f>
        <v>16.11633628402917</v>
      </c>
      <c r="E24" s="63">
        <f t="shared" si="0"/>
        <v>1145169.5927712896</v>
      </c>
      <c r="F24" s="72">
        <f>F25*v*VLOOKUP(B24,'IALM 2012-2014'!$B$5:$D$118,3,FALSE)+v*VLOOKUP(B24,'IALM 2012-2014'!$B$5:$D$118,2,FALSE)</f>
        <v>7.4784239277599973E-2</v>
      </c>
      <c r="G24" s="63">
        <f t="shared" si="1"/>
        <v>747842.39277599973</v>
      </c>
      <c r="H24" s="63">
        <v>0</v>
      </c>
      <c r="I24" s="63">
        <f>(fre+vre*pm_50)*'50 years '!D24</f>
        <v>46442.339996160568</v>
      </c>
      <c r="J24" s="63">
        <f t="shared" si="2"/>
        <v>46442.339996160568</v>
      </c>
      <c r="K24" s="63">
        <f>((K25*VLOOKUP(B24,'IALM 2012-2014'!$B$5:$D$118,3,FALSE)+sa*VLOOKUP(B24,'IALM 2012-2014'!$B$5:$D$118,2,FALSE))/(1+i)) -P_50 + fre*12 + vre*P_50</f>
        <v>-12841588.9816099</v>
      </c>
      <c r="L24" s="64">
        <f>K25*VLOOKUP(B24,'IALM 2012-2014'!$B$5:$D$118,3,FALSE)-'50 years '!K24*(1+i)</f>
        <v>846981.89354360849</v>
      </c>
    </row>
    <row r="25" spans="2:12" x14ac:dyDescent="0.35">
      <c r="B25" s="62">
        <f t="shared" si="3"/>
        <v>36</v>
      </c>
      <c r="C25" s="62">
        <f t="shared" si="4"/>
        <v>34</v>
      </c>
      <c r="D25" s="76">
        <f>D26*v*VLOOKUP(B25,'IALM 2012-2014'!$B$5:$D$118,3,FALSE)+m*v*VLOOKUP(B25,'IALM 2012-2014'!$B$5:$D$118,3,FALSE)-m+1</f>
        <v>15.914750211317967</v>
      </c>
      <c r="E25" s="63">
        <f t="shared" si="0"/>
        <v>1130845.6027076289</v>
      </c>
      <c r="F25" s="72">
        <f>F26*v*VLOOKUP(B25,'IALM 2012-2014'!$B$5:$D$118,3,FALSE)+v*VLOOKUP(B25,'IALM 2012-2014'!$B$5:$D$118,2,FALSE)</f>
        <v>7.7414503474656532E-2</v>
      </c>
      <c r="G25" s="63">
        <f t="shared" si="1"/>
        <v>774145.03474656527</v>
      </c>
      <c r="H25" s="63">
        <v>0</v>
      </c>
      <c r="I25" s="63">
        <f>(fre+vre*pm_50)*'50 years '!D25</f>
        <v>45861.43073971734</v>
      </c>
      <c r="J25" s="63">
        <f t="shared" si="2"/>
        <v>45861.43073971734</v>
      </c>
      <c r="K25" s="63">
        <f>((K26*VLOOKUP(B25,'IALM 2012-2014'!$B$5:$D$118,3,FALSE)+sa*VLOOKUP(B25,'IALM 2012-2014'!$B$5:$D$118,2,FALSE))/(1+i)) -P_50 + fre*12 + vre*P_50</f>
        <v>-12651894.11387166</v>
      </c>
      <c r="L25" s="64">
        <f>K26*VLOOKUP(B25,'IALM 2012-2014'!$B$5:$D$118,3,FALSE)-'50 years '!K25*(1+i)</f>
        <v>846251.89354360849</v>
      </c>
    </row>
    <row r="26" spans="2:12" x14ac:dyDescent="0.35">
      <c r="B26" s="62">
        <f t="shared" si="3"/>
        <v>37</v>
      </c>
      <c r="C26" s="62">
        <f t="shared" si="4"/>
        <v>33</v>
      </c>
      <c r="D26" s="76">
        <f>D27*v*VLOOKUP(B26,'IALM 2012-2014'!$B$5:$D$118,3,FALSE)+m*v*VLOOKUP(B26,'IALM 2012-2014'!$B$5:$D$118,3,FALSE)-m+1</f>
        <v>15.704011378057558</v>
      </c>
      <c r="E26" s="63">
        <f t="shared" si="0"/>
        <v>1115871.2500003653</v>
      </c>
      <c r="F26" s="72">
        <f>F27*v*VLOOKUP(B26,'IALM 2012-2014'!$B$5:$D$118,3,FALSE)+v*VLOOKUP(B26,'IALM 2012-2014'!$B$5:$D$118,2,FALSE)</f>
        <v>8.0112371922590672E-2</v>
      </c>
      <c r="G26" s="63">
        <f t="shared" si="1"/>
        <v>801123.71922590677</v>
      </c>
      <c r="H26" s="63">
        <v>0</v>
      </c>
      <c r="I26" s="63">
        <f>(fre+vre*pm_50)*'50 years '!D26</f>
        <v>45254.146033554127</v>
      </c>
      <c r="J26" s="63">
        <f t="shared" si="2"/>
        <v>45254.146033554127</v>
      </c>
      <c r="K26" s="63">
        <f>((K27*VLOOKUP(B26,'IALM 2012-2014'!$B$5:$D$118,3,FALSE)+sa*VLOOKUP(B26,'IALM 2012-2014'!$B$5:$D$118,2,FALSE))/(1+i)) -P_50 + fre*12 + vre*P_50</f>
        <v>-12454115.923824511</v>
      </c>
      <c r="L26" s="64">
        <f>K27*VLOOKUP(B26,'IALM 2012-2014'!$B$5:$D$118,3,FALSE)-'50 years '!K26*(1+i)</f>
        <v>845421.89354360849</v>
      </c>
    </row>
    <row r="27" spans="2:12" x14ac:dyDescent="0.35">
      <c r="B27" s="62">
        <f t="shared" si="3"/>
        <v>38</v>
      </c>
      <c r="C27" s="62">
        <f t="shared" si="4"/>
        <v>32</v>
      </c>
      <c r="D27" s="76">
        <f>D28*v*VLOOKUP(B27,'IALM 2012-2014'!$B$5:$D$118,3,FALSE)+m*v*VLOOKUP(B27,'IALM 2012-2014'!$B$5:$D$118,3,FALSE)-m+1</f>
        <v>15.483778000818882</v>
      </c>
      <c r="E27" s="63">
        <f t="shared" si="0"/>
        <v>1100222.2487334344</v>
      </c>
      <c r="F27" s="72">
        <f>F28*v*VLOOKUP(B27,'IALM 2012-2014'!$B$5:$D$118,3,FALSE)+v*VLOOKUP(B27,'IALM 2012-2014'!$B$5:$D$118,2,FALSE)</f>
        <v>8.2872531416383663E-2</v>
      </c>
      <c r="G27" s="63">
        <f t="shared" si="1"/>
        <v>828725.31416383665</v>
      </c>
      <c r="H27" s="63">
        <v>0</v>
      </c>
      <c r="I27" s="63">
        <f>(fre+vre*pm_50)*'50 years '!D27</f>
        <v>44619.500962617189</v>
      </c>
      <c r="J27" s="63">
        <f t="shared" si="2"/>
        <v>44619.500962617189</v>
      </c>
      <c r="K27" s="63">
        <f>((K28*VLOOKUP(B27,'IALM 2012-2014'!$B$5:$D$118,3,FALSE)+sa*VLOOKUP(B27,'IALM 2012-2014'!$B$5:$D$118,2,FALSE))/(1+i)) -P_50 + fre*12 + vre*P_50</f>
        <v>-12248032.654817371</v>
      </c>
      <c r="L27" s="64">
        <f>K28*VLOOKUP(B27,'IALM 2012-2014'!$B$5:$D$118,3,FALSE)-'50 years '!K27*(1+i)</f>
        <v>844471.89354360662</v>
      </c>
    </row>
    <row r="28" spans="2:12" x14ac:dyDescent="0.35">
      <c r="B28" s="62">
        <f t="shared" si="3"/>
        <v>39</v>
      </c>
      <c r="C28" s="62">
        <f t="shared" si="4"/>
        <v>31</v>
      </c>
      <c r="D28" s="76">
        <f>D29*v*VLOOKUP(B28,'IALM 2012-2014'!$B$5:$D$118,3,FALSE)+m*v*VLOOKUP(B28,'IALM 2012-2014'!$B$5:$D$118,3,FALSE)-m+1</f>
        <v>15.253713171097431</v>
      </c>
      <c r="E28" s="63">
        <f t="shared" si="0"/>
        <v>1083874.6593855876</v>
      </c>
      <c r="F28" s="72">
        <f>F29*v*VLOOKUP(B28,'IALM 2012-2014'!$B$5:$D$118,3,FALSE)+v*VLOOKUP(B28,'IALM 2012-2014'!$B$5:$D$118,2,FALSE)</f>
        <v>8.5687662160321809E-2</v>
      </c>
      <c r="G28" s="63">
        <f t="shared" si="1"/>
        <v>856876.62160321814</v>
      </c>
      <c r="H28" s="63">
        <v>0</v>
      </c>
      <c r="I28" s="63">
        <f>(fre+vre*pm_50)*'50 years '!D28</f>
        <v>43956.524659890696</v>
      </c>
      <c r="J28" s="63">
        <f t="shared" si="2"/>
        <v>43956.524659890696</v>
      </c>
      <c r="K28" s="63">
        <f>((K29*VLOOKUP(B28,'IALM 2012-2014'!$B$5:$D$118,3,FALSE)+sa*VLOOKUP(B28,'IALM 2012-2014'!$B$5:$D$118,2,FALSE))/(1+i)) -P_50 + fre*12 + vre*P_50</f>
        <v>-12033446.992494728</v>
      </c>
      <c r="L28" s="64">
        <f>K29*VLOOKUP(B28,'IALM 2012-2014'!$B$5:$D$118,3,FALSE)-'50 years '!K28*(1+i)</f>
        <v>843401.89354360662</v>
      </c>
    </row>
    <row r="29" spans="2:12" x14ac:dyDescent="0.35">
      <c r="B29" s="62">
        <f t="shared" si="3"/>
        <v>40</v>
      </c>
      <c r="C29" s="62">
        <f t="shared" si="4"/>
        <v>30</v>
      </c>
      <c r="D29" s="76">
        <f>D30*v*VLOOKUP(B29,'IALM 2012-2014'!$B$5:$D$118,3,FALSE)+m*v*VLOOKUP(B29,'IALM 2012-2014'!$B$5:$D$118,3,FALSE)-m+1</f>
        <v>15.013451480628751</v>
      </c>
      <c r="E29" s="63">
        <f t="shared" si="0"/>
        <v>1066802.5173438995</v>
      </c>
      <c r="F29" s="72">
        <f>F30*v*VLOOKUP(B29,'IALM 2012-2014'!$B$5:$D$118,3,FALSE)+v*VLOOKUP(B29,'IALM 2012-2014'!$B$5:$D$118,2,FALSE)</f>
        <v>8.8550183554683207E-2</v>
      </c>
      <c r="G29" s="63">
        <f t="shared" si="1"/>
        <v>885501.83554683207</v>
      </c>
      <c r="H29" s="63">
        <v>0</v>
      </c>
      <c r="I29" s="63">
        <f>(fre+vre*pm_50)*'50 years '!D29</f>
        <v>43264.164130788544</v>
      </c>
      <c r="J29" s="63">
        <f t="shared" si="2"/>
        <v>43264.164130788544</v>
      </c>
      <c r="K29" s="63">
        <f>((K30*VLOOKUP(B29,'IALM 2012-2014'!$B$5:$D$118,3,FALSE)+sa*VLOOKUP(B29,'IALM 2012-2014'!$B$5:$D$118,2,FALSE))/(1+i)) -P_50 + fre*12 + vre*P_50</f>
        <v>-11810141.268955428</v>
      </c>
      <c r="L29" s="64">
        <f>K30*VLOOKUP(B29,'IALM 2012-2014'!$B$5:$D$118,3,FALSE)-'50 years '!K29*(1+i)</f>
        <v>842201.89354360849</v>
      </c>
    </row>
    <row r="30" spans="2:12" x14ac:dyDescent="0.35">
      <c r="B30" s="62">
        <f t="shared" si="3"/>
        <v>41</v>
      </c>
      <c r="C30" s="62">
        <f t="shared" si="4"/>
        <v>29</v>
      </c>
      <c r="D30" s="76">
        <f>D31*v*VLOOKUP(B30,'IALM 2012-2014'!$B$5:$D$118,3,FALSE)+m*v*VLOOKUP(B30,'IALM 2012-2014'!$B$5:$D$118,3,FALSE)-m+1</f>
        <v>14.762611909334538</v>
      </c>
      <c r="E30" s="63">
        <f t="shared" si="0"/>
        <v>1048978.7486754223</v>
      </c>
      <c r="F30" s="72">
        <f>F31*v*VLOOKUP(B30,'IALM 2012-2014'!$B$5:$D$118,3,FALSE)+v*VLOOKUP(B30,'IALM 2012-2014'!$B$5:$D$118,2,FALSE)</f>
        <v>9.1451330968444364E-2</v>
      </c>
      <c r="G30" s="63">
        <f t="shared" si="1"/>
        <v>914513.30968444364</v>
      </c>
      <c r="H30" s="63">
        <v>0</v>
      </c>
      <c r="I30" s="63">
        <f>(fre+vre*pm_50)*'50 years '!D30</f>
        <v>42541.32139226357</v>
      </c>
      <c r="J30" s="63">
        <f t="shared" si="2"/>
        <v>42541.32139226357</v>
      </c>
      <c r="K30" s="63">
        <f>((K31*VLOOKUP(B30,'IALM 2012-2014'!$B$5:$D$118,3,FALSE)+sa*VLOOKUP(B30,'IALM 2012-2014'!$B$5:$D$118,2,FALSE))/(1+i)) -P_50 + fre*12 + vre*P_50</f>
        <v>-11577897.306334233</v>
      </c>
      <c r="L30" s="64">
        <f>K31*VLOOKUP(B30,'IALM 2012-2014'!$B$5:$D$118,3,FALSE)-'50 years '!K30*(1+i)</f>
        <v>840851.89354360662</v>
      </c>
    </row>
    <row r="31" spans="2:12" x14ac:dyDescent="0.35">
      <c r="B31" s="62">
        <f t="shared" si="3"/>
        <v>42</v>
      </c>
      <c r="C31" s="62">
        <f t="shared" si="4"/>
        <v>28</v>
      </c>
      <c r="D31" s="76">
        <f>D32*v*VLOOKUP(B31,'IALM 2012-2014'!$B$5:$D$118,3,FALSE)+m*v*VLOOKUP(B31,'IALM 2012-2014'!$B$5:$D$118,3,FALSE)-m+1</f>
        <v>14.500810016648149</v>
      </c>
      <c r="E31" s="63">
        <f t="shared" si="0"/>
        <v>1030376.0363994613</v>
      </c>
      <c r="F31" s="72">
        <f>F32*v*VLOOKUP(B31,'IALM 2012-2014'!$B$5:$D$118,3,FALSE)+v*VLOOKUP(B31,'IALM 2012-2014'!$B$5:$D$118,2,FALSE)</f>
        <v>9.4380197575466049E-2</v>
      </c>
      <c r="G31" s="63">
        <f t="shared" si="1"/>
        <v>943801.97575466044</v>
      </c>
      <c r="H31" s="63">
        <v>0</v>
      </c>
      <c r="I31" s="63">
        <f>(fre+vre*pm_50)*'50 years '!D31</f>
        <v>41786.888604469947</v>
      </c>
      <c r="J31" s="63">
        <f t="shared" si="2"/>
        <v>41786.888604469947</v>
      </c>
      <c r="K31" s="63">
        <f>((K32*VLOOKUP(B31,'IALM 2012-2014'!$B$5:$D$118,3,FALSE)+sa*VLOOKUP(B31,'IALM 2012-2014'!$B$5:$D$118,2,FALSE))/(1+i)) -P_50 + fre*12 + vre*P_50</f>
        <v>-11336516.054746702</v>
      </c>
      <c r="L31" s="64">
        <f>K32*VLOOKUP(B31,'IALM 2012-2014'!$B$5:$D$118,3,FALSE)-'50 years '!K31*(1+i)</f>
        <v>839311.89354360662</v>
      </c>
    </row>
    <row r="32" spans="2:12" x14ac:dyDescent="0.35">
      <c r="B32" s="62">
        <f t="shared" si="3"/>
        <v>43</v>
      </c>
      <c r="C32" s="62">
        <f t="shared" si="4"/>
        <v>27</v>
      </c>
      <c r="D32" s="76">
        <f>D33*v*VLOOKUP(B32,'IALM 2012-2014'!$B$5:$D$118,3,FALSE)+m*v*VLOOKUP(B32,'IALM 2012-2014'!$B$5:$D$118,3,FALSE)-m+1</f>
        <v>14.227683952182405</v>
      </c>
      <c r="E32" s="63">
        <f t="shared" si="0"/>
        <v>1010968.6687132079</v>
      </c>
      <c r="F32" s="72">
        <f>F33*v*VLOOKUP(B32,'IALM 2012-2014'!$B$5:$D$118,3,FALSE)+v*VLOOKUP(B32,'IALM 2012-2014'!$B$5:$D$118,2,FALSE)</f>
        <v>9.7321834145672192E-2</v>
      </c>
      <c r="G32" s="63">
        <f t="shared" si="1"/>
        <v>973218.34145672189</v>
      </c>
      <c r="H32" s="63">
        <v>0</v>
      </c>
      <c r="I32" s="63">
        <f>(fre+vre*pm_50)*'50 years '!D32</f>
        <v>40999.823025533042</v>
      </c>
      <c r="J32" s="63">
        <f t="shared" si="2"/>
        <v>40999.823025533042</v>
      </c>
      <c r="K32" s="63">
        <f>((K33*VLOOKUP(B32,'IALM 2012-2014'!$B$5:$D$118,3,FALSE)+sa*VLOOKUP(B32,'IALM 2012-2014'!$B$5:$D$118,2,FALSE))/(1+i)) -P_50 + fre*12 + vre*P_50</f>
        <v>-11085858.018378617</v>
      </c>
      <c r="L32" s="64">
        <f>K33*VLOOKUP(B32,'IALM 2012-2014'!$B$5:$D$118,3,FALSE)-'50 years '!K32*(1+i)</f>
        <v>837561.89354360849</v>
      </c>
    </row>
    <row r="33" spans="2:12" x14ac:dyDescent="0.35">
      <c r="B33" s="62">
        <f t="shared" si="3"/>
        <v>44</v>
      </c>
      <c r="C33" s="62">
        <f t="shared" si="4"/>
        <v>26</v>
      </c>
      <c r="D33" s="76">
        <f>D34*v*VLOOKUP(B33,'IALM 2012-2014'!$B$5:$D$118,3,FALSE)+m*v*VLOOKUP(B33,'IALM 2012-2014'!$B$5:$D$118,3,FALSE)-m+1</f>
        <v>13.942860977059675</v>
      </c>
      <c r="E33" s="63">
        <f t="shared" si="0"/>
        <v>990730.16011641046</v>
      </c>
      <c r="F33" s="72">
        <f>F34*v*VLOOKUP(B33,'IALM 2012-2014'!$B$5:$D$118,3,FALSE)+v*VLOOKUP(B33,'IALM 2012-2014'!$B$5:$D$118,2,FALSE)</f>
        <v>0.10025888089359168</v>
      </c>
      <c r="G33" s="63">
        <f t="shared" si="1"/>
        <v>1002588.8089359169</v>
      </c>
      <c r="H33" s="63">
        <v>0</v>
      </c>
      <c r="I33" s="63">
        <f>(fre+vre*pm_50)*'50 years '!D33</f>
        <v>40179.050536287068</v>
      </c>
      <c r="J33" s="63">
        <f t="shared" si="2"/>
        <v>40179.050536287068</v>
      </c>
      <c r="K33" s="63">
        <f>((K34*VLOOKUP(B33,'IALM 2012-2014'!$B$5:$D$118,3,FALSE)+sa*VLOOKUP(B33,'IALM 2012-2014'!$B$5:$D$118,2,FALSE))/(1+i)) -P_50 + fre*12 + vre*P_50</f>
        <v>-10825799.53996763</v>
      </c>
      <c r="L33" s="64">
        <f>K34*VLOOKUP(B33,'IALM 2012-2014'!$B$5:$D$118,3,FALSE)-'50 years '!K33*(1+i)</f>
        <v>835551.89354360662</v>
      </c>
    </row>
    <row r="34" spans="2:12" x14ac:dyDescent="0.35">
      <c r="B34" s="62">
        <f t="shared" si="3"/>
        <v>45</v>
      </c>
      <c r="C34" s="62">
        <f t="shared" si="4"/>
        <v>25</v>
      </c>
      <c r="D34" s="76">
        <f>D35*v*VLOOKUP(B34,'IALM 2012-2014'!$B$5:$D$118,3,FALSE)+m*v*VLOOKUP(B34,'IALM 2012-2014'!$B$5:$D$118,3,FALSE)-m+1</f>
        <v>13.645995343326096</v>
      </c>
      <c r="E34" s="63">
        <f t="shared" si="0"/>
        <v>969635.94298795762</v>
      </c>
      <c r="F34" s="72">
        <f>F35*v*VLOOKUP(B34,'IALM 2012-2014'!$B$5:$D$118,3,FALSE)+v*VLOOKUP(B34,'IALM 2012-2014'!$B$5:$D$118,2,FALSE)</f>
        <v>0.10316875567031818</v>
      </c>
      <c r="G34" s="63">
        <f t="shared" si="1"/>
        <v>1031687.5567031818</v>
      </c>
      <c r="H34" s="63">
        <v>0</v>
      </c>
      <c r="I34" s="63">
        <f>(fre+vre*pm_50)*'50 years '!D34</f>
        <v>39323.574797133297</v>
      </c>
      <c r="J34" s="63">
        <f t="shared" si="2"/>
        <v>39323.574797133297</v>
      </c>
      <c r="K34" s="63">
        <f>((K35*VLOOKUP(B34,'IALM 2012-2014'!$B$5:$D$118,3,FALSE)+sa*VLOOKUP(B34,'IALM 2012-2014'!$B$5:$D$118,2,FALSE))/(1+i)) -P_50 + fre*12 + vre*P_50</f>
        <v>-10556292.128463652</v>
      </c>
      <c r="L34" s="64">
        <f>K35*VLOOKUP(B34,'IALM 2012-2014'!$B$5:$D$118,3,FALSE)-'50 years '!K34*(1+i)</f>
        <v>833211.89354360662</v>
      </c>
    </row>
    <row r="35" spans="2:12" x14ac:dyDescent="0.35">
      <c r="B35" s="62">
        <f t="shared" si="3"/>
        <v>46</v>
      </c>
      <c r="C35" s="62">
        <f t="shared" si="4"/>
        <v>24</v>
      </c>
      <c r="D35" s="76">
        <f>D36*v*VLOOKUP(B35,'IALM 2012-2014'!$B$5:$D$118,3,FALSE)+m*v*VLOOKUP(B35,'IALM 2012-2014'!$B$5:$D$118,3,FALSE)-m+1</f>
        <v>13.336789398684944</v>
      </c>
      <c r="E35" s="63">
        <f t="shared" si="0"/>
        <v>947664.86721324408</v>
      </c>
      <c r="F35" s="72">
        <f>F36*v*VLOOKUP(B35,'IALM 2012-2014'!$B$5:$D$118,3,FALSE)+v*VLOOKUP(B35,'IALM 2012-2014'!$B$5:$D$118,2,FALSE)</f>
        <v>0.10602162322011878</v>
      </c>
      <c r="G35" s="63">
        <f t="shared" si="1"/>
        <v>1060216.2322011879</v>
      </c>
      <c r="H35" s="63">
        <v>0</v>
      </c>
      <c r="I35" s="63">
        <f>(fre+vre*pm_50)*'50 years '!D35</f>
        <v>38432.538065411027</v>
      </c>
      <c r="J35" s="63">
        <f t="shared" si="2"/>
        <v>38432.538065411027</v>
      </c>
      <c r="K35" s="63">
        <f>((K36*VLOOKUP(B35,'IALM 2012-2014'!$B$5:$D$118,3,FALSE)+sa*VLOOKUP(B35,'IALM 2012-2014'!$B$5:$D$118,2,FALSE))/(1+i)) -P_50 + fre*12 + vre*P_50</f>
        <v>-10277400.256605012</v>
      </c>
      <c r="L35" s="64">
        <f>K36*VLOOKUP(B35,'IALM 2012-2014'!$B$5:$D$118,3,FALSE)-'50 years '!K35*(1+i)</f>
        <v>830491.89354360849</v>
      </c>
    </row>
    <row r="36" spans="2:12" x14ac:dyDescent="0.35">
      <c r="B36" s="62">
        <f t="shared" si="3"/>
        <v>47</v>
      </c>
      <c r="C36" s="62">
        <f t="shared" si="4"/>
        <v>23</v>
      </c>
      <c r="D36" s="76">
        <f>D37*v*VLOOKUP(B36,'IALM 2012-2014'!$B$5:$D$118,3,FALSE)+m*v*VLOOKUP(B36,'IALM 2012-2014'!$B$5:$D$118,3,FALSE)-m+1</f>
        <v>13.014957888559476</v>
      </c>
      <c r="E36" s="63">
        <f t="shared" si="0"/>
        <v>924796.66361559543</v>
      </c>
      <c r="F36" s="72">
        <f>F37*v*VLOOKUP(B36,'IALM 2012-2014'!$B$5:$D$118,3,FALSE)+v*VLOOKUP(B36,'IALM 2012-2014'!$B$5:$D$118,2,FALSE)</f>
        <v>0.10878184141098747</v>
      </c>
      <c r="G36" s="63">
        <f t="shared" si="1"/>
        <v>1087818.4141098747</v>
      </c>
      <c r="H36" s="63">
        <v>0</v>
      </c>
      <c r="I36" s="63">
        <f>(fre+vre*pm_50)*'50 years '!D36</f>
        <v>37505.118324887466</v>
      </c>
      <c r="J36" s="63">
        <f t="shared" si="2"/>
        <v>37505.118324887466</v>
      </c>
      <c r="K36" s="63">
        <f>((K37*VLOOKUP(B36,'IALM 2012-2014'!$B$5:$D$118,3,FALSE)+sa*VLOOKUP(B36,'IALM 2012-2014'!$B$5:$D$118,2,FALSE))/(1+i)) -P_50 + fre*12 + vre*P_50</f>
        <v>-9989257.7497361545</v>
      </c>
      <c r="L36" s="64">
        <f>K37*VLOOKUP(B36,'IALM 2012-2014'!$B$5:$D$118,3,FALSE)-'50 years '!K36*(1+i)</f>
        <v>827321.89354360849</v>
      </c>
    </row>
    <row r="37" spans="2:12" x14ac:dyDescent="0.35">
      <c r="B37" s="62">
        <f t="shared" si="3"/>
        <v>48</v>
      </c>
      <c r="C37" s="62">
        <f t="shared" si="4"/>
        <v>22</v>
      </c>
      <c r="D37" s="76">
        <f>D38*v*VLOOKUP(B37,'IALM 2012-2014'!$B$5:$D$118,3,FALSE)+m*v*VLOOKUP(B37,'IALM 2012-2014'!$B$5:$D$118,3,FALSE)-m+1</f>
        <v>12.680245467294505</v>
      </c>
      <c r="E37" s="63">
        <f t="shared" si="0"/>
        <v>901013.18824003253</v>
      </c>
      <c r="F37" s="72">
        <f>F38*v*VLOOKUP(B37,'IALM 2012-2014'!$B$5:$D$118,3,FALSE)+v*VLOOKUP(B37,'IALM 2012-2014'!$B$5:$D$118,2,FALSE)</f>
        <v>0.11140586726904518</v>
      </c>
      <c r="G37" s="63">
        <f t="shared" si="1"/>
        <v>1114058.6726904518</v>
      </c>
      <c r="H37" s="63">
        <v>0</v>
      </c>
      <c r="I37" s="63">
        <f>(fre+vre*pm_50)*'50 years '!D37</f>
        <v>36540.579747671851</v>
      </c>
      <c r="J37" s="63">
        <f t="shared" si="2"/>
        <v>36540.579747671851</v>
      </c>
      <c r="K37" s="63">
        <f>((K38*VLOOKUP(B37,'IALM 2012-2014'!$B$5:$D$118,3,FALSE)+sa*VLOOKUP(B37,'IALM 2012-2014'!$B$5:$D$118,2,FALSE))/(1+i)) -P_50 + fre*12 + vre*P_50</f>
        <v>-9692103.3270193506</v>
      </c>
      <c r="L37" s="64">
        <f>K38*VLOOKUP(B37,'IALM 2012-2014'!$B$5:$D$118,3,FALSE)-'50 years '!K37*(1+i)</f>
        <v>823641.89354360849</v>
      </c>
    </row>
    <row r="38" spans="2:12" x14ac:dyDescent="0.35">
      <c r="B38" s="62">
        <f t="shared" si="3"/>
        <v>49</v>
      </c>
      <c r="C38" s="62">
        <f t="shared" si="4"/>
        <v>21</v>
      </c>
      <c r="D38" s="76">
        <f>D39*v*VLOOKUP(B38,'IALM 2012-2014'!$B$5:$D$118,3,FALSE)+m*v*VLOOKUP(B38,'IALM 2012-2014'!$B$5:$D$118,3,FALSE)-m+1</f>
        <v>12.332402449052413</v>
      </c>
      <c r="E38" s="63">
        <f t="shared" si="0"/>
        <v>876296.69929810253</v>
      </c>
      <c r="F38" s="72">
        <f>F39*v*VLOOKUP(B38,'IALM 2012-2014'!$B$5:$D$118,3,FALSE)+v*VLOOKUP(B38,'IALM 2012-2014'!$B$5:$D$118,2,FALSE)</f>
        <v>0.11384270844957514</v>
      </c>
      <c r="G38" s="63">
        <f t="shared" si="1"/>
        <v>1138427.0844957514</v>
      </c>
      <c r="H38" s="63">
        <v>0</v>
      </c>
      <c r="I38" s="63">
        <f>(fre+vre*pm_50)*'50 years '!D38</f>
        <v>35538.20281573238</v>
      </c>
      <c r="J38" s="63">
        <f t="shared" si="2"/>
        <v>35538.20281573238</v>
      </c>
      <c r="K38" s="63">
        <f>((K39*VLOOKUP(B38,'IALM 2012-2014'!$B$5:$D$118,3,FALSE)+sa*VLOOKUP(B38,'IALM 2012-2014'!$B$5:$D$118,2,FALSE))/(1+i)) -P_50 + fre*12 + vre*P_50</f>
        <v>-9386256.4024658296</v>
      </c>
      <c r="L38" s="64">
        <f>K39*VLOOKUP(B38,'IALM 2012-2014'!$B$5:$D$118,3,FALSE)-'50 years '!K38*(1+i)</f>
        <v>819421.89354360849</v>
      </c>
    </row>
    <row r="39" spans="2:12" x14ac:dyDescent="0.35">
      <c r="B39" s="62">
        <f t="shared" si="3"/>
        <v>50</v>
      </c>
      <c r="C39" s="62">
        <f t="shared" si="4"/>
        <v>20</v>
      </c>
      <c r="D39" s="76">
        <f>D40*v*VLOOKUP(B39,'IALM 2012-2014'!$B$5:$D$118,3,FALSE)+m*v*VLOOKUP(B39,'IALM 2012-2014'!$B$5:$D$118,3,FALSE)-m+1</f>
        <v>11.971135074128435</v>
      </c>
      <c r="E39" s="63">
        <f t="shared" si="0"/>
        <v>850626.32326895359</v>
      </c>
      <c r="F39" s="72">
        <f>F40*v*VLOOKUP(B39,'IALM 2012-2014'!$B$5:$D$118,3,FALSE)+v*VLOOKUP(B39,'IALM 2012-2014'!$B$5:$D$118,2,FALSE)</f>
        <v>0.11603611481448967</v>
      </c>
      <c r="G39" s="63">
        <f t="shared" si="1"/>
        <v>1160361.1481448966</v>
      </c>
      <c r="H39" s="63">
        <v>0</v>
      </c>
      <c r="I39" s="63">
        <f>(fre+vre*pm_50)*'50 years '!D39</f>
        <v>34497.141003664932</v>
      </c>
      <c r="J39" s="63">
        <f t="shared" si="2"/>
        <v>34497.141003664932</v>
      </c>
      <c r="K39" s="63">
        <f>((K40*VLOOKUP(B39,'IALM 2012-2014'!$B$5:$D$118,3,FALSE)+sa*VLOOKUP(B39,'IALM 2012-2014'!$B$5:$D$118,2,FALSE))/(1+i)) -P_50 + fre*12 + vre*P_50</f>
        <v>-9072054.5208389945</v>
      </c>
      <c r="L39" s="64">
        <f>K40*VLOOKUP(B39,'IALM 2012-2014'!$B$5:$D$118,3,FALSE)-'50 years '!K39*(1+i)</f>
        <v>814641.89354360849</v>
      </c>
    </row>
    <row r="40" spans="2:12" x14ac:dyDescent="0.35">
      <c r="B40" s="62">
        <f t="shared" si="3"/>
        <v>51</v>
      </c>
      <c r="C40" s="62">
        <f t="shared" si="4"/>
        <v>19</v>
      </c>
      <c r="D40" s="76">
        <f>D41*v*VLOOKUP(B40,'IALM 2012-2014'!$B$5:$D$118,3,FALSE)+m*v*VLOOKUP(B40,'IALM 2012-2014'!$B$5:$D$118,3,FALSE)-m+1</f>
        <v>11.596081880389601</v>
      </c>
      <c r="E40" s="63">
        <f t="shared" si="0"/>
        <v>823976.37593774195</v>
      </c>
      <c r="F40" s="72">
        <f>F41*v*VLOOKUP(B40,'IALM 2012-2014'!$B$5:$D$118,3,FALSE)+v*VLOOKUP(B40,'IALM 2012-2014'!$B$5:$D$118,2,FALSE)</f>
        <v>0.11792503601497659</v>
      </c>
      <c r="G40" s="63">
        <f t="shared" si="1"/>
        <v>1179250.3601497659</v>
      </c>
      <c r="H40" s="63">
        <v>0</v>
      </c>
      <c r="I40" s="63">
        <f>(fre+vre*pm_50)*'50 years '!D40</f>
        <v>33416.352688424457</v>
      </c>
      <c r="J40" s="63">
        <f t="shared" si="2"/>
        <v>33416.352688424457</v>
      </c>
      <c r="K40" s="63">
        <f>((K41*VLOOKUP(B40,'IALM 2012-2014'!$B$5:$D$118,3,FALSE)+sa*VLOOKUP(B40,'IALM 2012-2014'!$B$5:$D$118,2,FALSE))/(1+i)) -P_50 + fre*12 + vre*P_50</f>
        <v>-8749829.5974315424</v>
      </c>
      <c r="L40" s="63">
        <f>K41*VLOOKUP(B40,'IALM 2012-2014'!$B$5:$D$118,3,FALSE)-'50 years '!K40*(1+i)</f>
        <v>809311.89354360756</v>
      </c>
    </row>
    <row r="41" spans="2:12" x14ac:dyDescent="0.35">
      <c r="B41" s="62">
        <f t="shared" si="3"/>
        <v>52</v>
      </c>
      <c r="C41" s="62">
        <f t="shared" si="4"/>
        <v>18</v>
      </c>
      <c r="D41" s="76">
        <f>D42*v*VLOOKUP(B41,'IALM 2012-2014'!$B$5:$D$118,3,FALSE)+m*v*VLOOKUP(B41,'IALM 2012-2014'!$B$5:$D$118,3,FALSE)-m+1</f>
        <v>11.206766522258183</v>
      </c>
      <c r="E41" s="63">
        <f t="shared" si="0"/>
        <v>796313.009880236</v>
      </c>
      <c r="F41" s="72">
        <f>F42*v*VLOOKUP(B41,'IALM 2012-2014'!$B$5:$D$118,3,FALSE)+v*VLOOKUP(B41,'IALM 2012-2014'!$B$5:$D$118,2,FALSE)</f>
        <v>0.11944581406581849</v>
      </c>
      <c r="G41" s="63">
        <f t="shared" si="1"/>
        <v>1194458.1406581849</v>
      </c>
      <c r="H41" s="63">
        <v>0</v>
      </c>
      <c r="I41" s="63">
        <f>(fre+vre*pm_50)*'50 years '!D41</f>
        <v>32294.465188100716</v>
      </c>
      <c r="J41" s="63">
        <f t="shared" si="2"/>
        <v>32294.465188100716</v>
      </c>
      <c r="K41" s="63">
        <f>((K42*VLOOKUP(B41,'IALM 2012-2014'!$B$5:$D$118,3,FALSE)+sa*VLOOKUP(B41,'IALM 2012-2014'!$B$5:$D$118,2,FALSE))/(1+i)) -P_50 + fre*12 + vre*P_50</f>
        <v>-8419847.4055175278</v>
      </c>
      <c r="L41" s="64">
        <f>K42*VLOOKUP(B41,'IALM 2012-2014'!$B$5:$D$118,3,FALSE)-'50 years '!K41*(1+i)</f>
        <v>803501.89354360849</v>
      </c>
    </row>
    <row r="42" spans="2:12" x14ac:dyDescent="0.35">
      <c r="B42" s="62">
        <f t="shared" si="3"/>
        <v>53</v>
      </c>
      <c r="C42" s="62">
        <f t="shared" si="4"/>
        <v>17</v>
      </c>
      <c r="D42" s="76">
        <f>D43*v*VLOOKUP(B42,'IALM 2012-2014'!$B$5:$D$118,3,FALSE)+m*v*VLOOKUP(B42,'IALM 2012-2014'!$B$5:$D$118,3,FALSE)-m+1</f>
        <v>10.802519246857823</v>
      </c>
      <c r="E42" s="63">
        <f t="shared" si="0"/>
        <v>767588.63483676629</v>
      </c>
      <c r="F42" s="72">
        <f>F43*v*VLOOKUP(B42,'IALM 2012-2014'!$B$5:$D$118,3,FALSE)+v*VLOOKUP(B42,'IALM 2012-2014'!$B$5:$D$118,2,FALSE)</f>
        <v>0.120537085594157</v>
      </c>
      <c r="G42" s="63">
        <f t="shared" si="1"/>
        <v>1205370.8559415701</v>
      </c>
      <c r="H42" s="63">
        <v>0</v>
      </c>
      <c r="I42" s="63">
        <f>(fre+vre*pm_50)*'50 years '!D42</f>
        <v>31129.548480246354</v>
      </c>
      <c r="J42" s="63">
        <f t="shared" si="2"/>
        <v>31129.548480246354</v>
      </c>
      <c r="K42" s="63">
        <f>((K43*VLOOKUP(B42,'IALM 2012-2014'!$B$5:$D$118,3,FALSE)+sa*VLOOKUP(B42,'IALM 2012-2014'!$B$5:$D$118,2,FALSE))/(1+i)) -P_50 + fre*12 + vre*P_50</f>
        <v>-8082194.0592787946</v>
      </c>
      <c r="L42" s="64">
        <f>K43*VLOOKUP(B42,'IALM 2012-2014'!$B$5:$D$118,3,FALSE)-'50 years '!K42*(1+i)</f>
        <v>797261.89354360849</v>
      </c>
    </row>
    <row r="43" spans="2:12" x14ac:dyDescent="0.35">
      <c r="B43" s="62">
        <f t="shared" si="3"/>
        <v>54</v>
      </c>
      <c r="C43" s="62">
        <f t="shared" si="4"/>
        <v>16</v>
      </c>
      <c r="D43" s="76">
        <f>D44*v*VLOOKUP(B43,'IALM 2012-2014'!$B$5:$D$118,3,FALSE)+m*v*VLOOKUP(B43,'IALM 2012-2014'!$B$5:$D$118,3,FALSE)-m+1</f>
        <v>10.382493138504509</v>
      </c>
      <c r="E43" s="63">
        <f t="shared" si="0"/>
        <v>737743.07198803534</v>
      </c>
      <c r="F43" s="72">
        <f>F44*v*VLOOKUP(B43,'IALM 2012-2014'!$B$5:$D$118,3,FALSE)+v*VLOOKUP(B43,'IALM 2012-2014'!$B$5:$D$118,2,FALSE)</f>
        <v>0.12113784492845314</v>
      </c>
      <c r="G43" s="63">
        <f t="shared" si="1"/>
        <v>1211378.4492845314</v>
      </c>
      <c r="H43" s="63">
        <v>0</v>
      </c>
      <c r="I43" s="63">
        <f>(fre+vre*pm_50)*'50 years '!D43</f>
        <v>29919.162013519443</v>
      </c>
      <c r="J43" s="63">
        <f t="shared" si="2"/>
        <v>29919.162013519443</v>
      </c>
      <c r="K43" s="63">
        <f>((K44*VLOOKUP(B43,'IALM 2012-2014'!$B$5:$D$118,3,FALSE)+sa*VLOOKUP(B43,'IALM 2012-2014'!$B$5:$D$118,2,FALSE))/(1+i)) -P_50 + fre*12 + vre*P_50</f>
        <v>-7736808.9270145139</v>
      </c>
      <c r="L43" s="64">
        <f>K44*VLOOKUP(B43,'IALM 2012-2014'!$B$5:$D$118,3,FALSE)-'50 years '!K43*(1+i)</f>
        <v>790691.89354360942</v>
      </c>
    </row>
    <row r="44" spans="2:12" x14ac:dyDescent="0.35">
      <c r="B44" s="62">
        <f t="shared" si="3"/>
        <v>55</v>
      </c>
      <c r="C44" s="62">
        <f t="shared" si="4"/>
        <v>15</v>
      </c>
      <c r="D44" s="76">
        <f>D45*v*VLOOKUP(B44,'IALM 2012-2014'!$B$5:$D$118,3,FALSE)+m*v*VLOOKUP(B44,'IALM 2012-2014'!$B$5:$D$118,3,FALSE)-m+1</f>
        <v>9.9456037563560713</v>
      </c>
      <c r="E44" s="63">
        <f t="shared" si="0"/>
        <v>706699.2648209671</v>
      </c>
      <c r="F44" s="72">
        <f>F45*v*VLOOKUP(B44,'IALM 2012-2014'!$B$5:$D$118,3,FALSE)+v*VLOOKUP(B44,'IALM 2012-2014'!$B$5:$D$118,2,FALSE)</f>
        <v>0.12119159697380387</v>
      </c>
      <c r="G44" s="63">
        <f t="shared" si="1"/>
        <v>1211915.9697380387</v>
      </c>
      <c r="H44" s="63">
        <v>0</v>
      </c>
      <c r="I44" s="63">
        <f>(fre+vre*pm_50)*'50 years '!D44</f>
        <v>28660.180761896067</v>
      </c>
      <c r="J44" s="63">
        <f t="shared" si="2"/>
        <v>28660.180761896067</v>
      </c>
      <c r="K44" s="63">
        <f>((K45*VLOOKUP(B44,'IALM 2012-2014'!$B$5:$D$118,3,FALSE)+sa*VLOOKUP(B44,'IALM 2012-2014'!$B$5:$D$118,2,FALSE))/(1+i)) -P_50 + fre*12 + vre*P_50</f>
        <v>-7383393.4404130932</v>
      </c>
      <c r="L44" s="64">
        <f>K45*VLOOKUP(B44,'IALM 2012-2014'!$B$5:$D$118,3,FALSE)-'50 years '!K44*(1+i)</f>
        <v>783871.89354360942</v>
      </c>
    </row>
    <row r="45" spans="2:12" x14ac:dyDescent="0.35">
      <c r="B45" s="62">
        <f t="shared" si="3"/>
        <v>56</v>
      </c>
      <c r="C45" s="62">
        <f t="shared" si="4"/>
        <v>14</v>
      </c>
      <c r="D45" s="76">
        <f>D46*v*VLOOKUP(B45,'IALM 2012-2014'!$B$5:$D$118,3,FALSE)+m*v*VLOOKUP(B45,'IALM 2012-2014'!$B$5:$D$118,3,FALSE)-m+1</f>
        <v>9.4905465453692361</v>
      </c>
      <c r="E45" s="63">
        <f t="shared" si="0"/>
        <v>674364.51628945093</v>
      </c>
      <c r="F45" s="72">
        <f>F46*v*VLOOKUP(B45,'IALM 2012-2014'!$B$5:$D$118,3,FALSE)+v*VLOOKUP(B45,'IALM 2012-2014'!$B$5:$D$118,2,FALSE)</f>
        <v>0.12064457954864302</v>
      </c>
      <c r="G45" s="63">
        <f t="shared" si="1"/>
        <v>1206445.7954864302</v>
      </c>
      <c r="H45" s="63">
        <v>0</v>
      </c>
      <c r="I45" s="63">
        <f>(fre+vre*pm_50)*'50 years '!D45</f>
        <v>27348.845397710455</v>
      </c>
      <c r="J45" s="63">
        <f t="shared" si="2"/>
        <v>27348.845397710455</v>
      </c>
      <c r="K45" s="63">
        <f>((K46*VLOOKUP(B45,'IALM 2012-2014'!$B$5:$D$118,3,FALSE)+sa*VLOOKUP(B45,'IALM 2012-2014'!$B$5:$D$118,2,FALSE))/(1+i)) -P_50 + fre*12 + vre*P_50</f>
        <v>-7021443.3225726271</v>
      </c>
      <c r="L45" s="64">
        <f>K46*VLOOKUP(B45,'IALM 2012-2014'!$B$5:$D$118,3,FALSE)-'50 years '!K45*(1+i)</f>
        <v>776881.89354360942</v>
      </c>
    </row>
    <row r="46" spans="2:12" x14ac:dyDescent="0.35">
      <c r="B46" s="62">
        <f t="shared" si="3"/>
        <v>57</v>
      </c>
      <c r="C46" s="62">
        <f t="shared" si="4"/>
        <v>13</v>
      </c>
      <c r="D46" s="76">
        <f>D47*v*VLOOKUP(B46,'IALM 2012-2014'!$B$5:$D$118,3,FALSE)+m*v*VLOOKUP(B46,'IALM 2012-2014'!$B$5:$D$118,3,FALSE)-m+1</f>
        <v>9.0157920570098629</v>
      </c>
      <c r="E46" s="63">
        <f t="shared" si="0"/>
        <v>640630.149214993</v>
      </c>
      <c r="F46" s="72">
        <f>F47*v*VLOOKUP(B46,'IALM 2012-2014'!$B$5:$D$118,3,FALSE)+v*VLOOKUP(B46,'IALM 2012-2014'!$B$5:$D$118,2,FALSE)</f>
        <v>0.11944569658644305</v>
      </c>
      <c r="G46" s="63">
        <f t="shared" si="1"/>
        <v>1194456.9658644304</v>
      </c>
      <c r="H46" s="63">
        <v>0</v>
      </c>
      <c r="I46" s="63">
        <f>(fre+vre*pm_50)*'50 years '!D46</f>
        <v>25980.748519207187</v>
      </c>
      <c r="J46" s="63">
        <f t="shared" si="2"/>
        <v>25980.748519207187</v>
      </c>
      <c r="K46" s="63">
        <f>((K47*VLOOKUP(B46,'IALM 2012-2014'!$B$5:$D$118,3,FALSE)+sa*VLOOKUP(B46,'IALM 2012-2014'!$B$5:$D$118,2,FALSE))/(1+i)) -P_50 + fre*12 + vre*P_50</f>
        <v>-6650245.4104684163</v>
      </c>
      <c r="L46" s="64">
        <f>K47*VLOOKUP(B46,'IALM 2012-2014'!$B$5:$D$118,3,FALSE)-'50 years '!K46*(1+i)</f>
        <v>769751.89354360942</v>
      </c>
    </row>
    <row r="47" spans="2:12" x14ac:dyDescent="0.35">
      <c r="B47" s="62">
        <f t="shared" si="3"/>
        <v>58</v>
      </c>
      <c r="C47" s="62">
        <f t="shared" si="4"/>
        <v>12</v>
      </c>
      <c r="D47" s="76">
        <f>D48*v*VLOOKUP(B47,'IALM 2012-2014'!$B$5:$D$118,3,FALSE)+m*v*VLOOKUP(B47,'IALM 2012-2014'!$B$5:$D$118,3,FALSE)-m+1</f>
        <v>8.5196266191025121</v>
      </c>
      <c r="E47" s="63">
        <f t="shared" si="0"/>
        <v>605374.39614172082</v>
      </c>
      <c r="F47" s="72">
        <f>F48*v*VLOOKUP(B47,'IALM 2012-2014'!$B$5:$D$118,3,FALSE)+v*VLOOKUP(B47,'IALM 2012-2014'!$B$5:$D$118,2,FALSE)</f>
        <v>0.11754204415989224</v>
      </c>
      <c r="G47" s="63">
        <f t="shared" si="1"/>
        <v>1175420.4415989225</v>
      </c>
      <c r="H47" s="63">
        <v>0</v>
      </c>
      <c r="I47" s="63">
        <f>(fre+vre*pm_50)*'50 years '!D47</f>
        <v>24550.951848578508</v>
      </c>
      <c r="J47" s="63">
        <f t="shared" si="2"/>
        <v>24550.951848578508</v>
      </c>
      <c r="K47" s="63">
        <f>((K48*VLOOKUP(B47,'IALM 2012-2014'!$B$5:$D$118,3,FALSE)+sa*VLOOKUP(B47,'IALM 2012-2014'!$B$5:$D$118,2,FALSE))/(1+i)) -P_50 + fre*12 + vre*P_50</f>
        <v>-6268956.221727143</v>
      </c>
      <c r="L47" s="64">
        <f>K48*VLOOKUP(B47,'IALM 2012-2014'!$B$5:$D$118,3,FALSE)-'50 years '!K47*(1+i)</f>
        <v>762491.89354360942</v>
      </c>
    </row>
    <row r="48" spans="2:12" x14ac:dyDescent="0.35">
      <c r="B48" s="62">
        <f t="shared" si="3"/>
        <v>59</v>
      </c>
      <c r="C48" s="62">
        <f t="shared" si="4"/>
        <v>11</v>
      </c>
      <c r="D48" s="76">
        <f>D49*v*VLOOKUP(B48,'IALM 2012-2014'!$B$5:$D$118,3,FALSE)+m*v*VLOOKUP(B48,'IALM 2012-2014'!$B$5:$D$118,3,FALSE)-m+1</f>
        <v>8.0001575118713752</v>
      </c>
      <c r="E48" s="63">
        <f t="shared" si="0"/>
        <v>568462.76712746057</v>
      </c>
      <c r="F48" s="72">
        <f>F49*v*VLOOKUP(B48,'IALM 2012-2014'!$B$5:$D$118,3,FALSE)+v*VLOOKUP(B48,'IALM 2012-2014'!$B$5:$D$118,2,FALSE)</f>
        <v>0.11487682258263182</v>
      </c>
      <c r="G48" s="63">
        <f t="shared" si="1"/>
        <v>1148768.2258263181</v>
      </c>
      <c r="H48" s="63">
        <v>0</v>
      </c>
      <c r="I48" s="63">
        <f>(fre+vre*pm_50)*'50 years '!D48</f>
        <v>23054.001147727347</v>
      </c>
      <c r="J48" s="63">
        <f t="shared" si="2"/>
        <v>23054.001147727347</v>
      </c>
      <c r="K48" s="63">
        <f>((K49*VLOOKUP(B48,'IALM 2012-2014'!$B$5:$D$118,3,FALSE)+sa*VLOOKUP(B48,'IALM 2012-2014'!$B$5:$D$118,2,FALSE))/(1+i)) -P_50 + fre*12 + vre*P_50</f>
        <v>-5876627.4709924394</v>
      </c>
      <c r="L48" s="64">
        <f>K49*VLOOKUP(B48,'IALM 2012-2014'!$B$5:$D$118,3,FALSE)-'50 years '!K48*(1+i)</f>
        <v>755071.89354360942</v>
      </c>
    </row>
    <row r="49" spans="2:12" x14ac:dyDescent="0.35">
      <c r="B49" s="62">
        <f t="shared" si="3"/>
        <v>60</v>
      </c>
      <c r="C49" s="62">
        <f t="shared" si="4"/>
        <v>10</v>
      </c>
      <c r="D49" s="76">
        <f>D50*v*VLOOKUP(B49,'IALM 2012-2014'!$B$5:$D$118,3,FALSE)+m*v*VLOOKUP(B49,'IALM 2012-2014'!$B$5:$D$118,3,FALSE)-m+1</f>
        <v>7.4553287441024008</v>
      </c>
      <c r="E49" s="63">
        <f t="shared" si="0"/>
        <v>529749.17074176285</v>
      </c>
      <c r="F49" s="72">
        <f>F50*v*VLOOKUP(B49,'IALM 2012-2014'!$B$5:$D$118,3,FALSE)+v*VLOOKUP(B49,'IALM 2012-2014'!$B$5:$D$118,2,FALSE)</f>
        <v>0.11138529104155834</v>
      </c>
      <c r="G49" s="63">
        <f t="shared" si="1"/>
        <v>1113852.9104155833</v>
      </c>
      <c r="H49" s="63">
        <v>0</v>
      </c>
      <c r="I49" s="63">
        <f>(fre+vre*pm_50)*'50 years '!D49</f>
        <v>21483.971680329687</v>
      </c>
      <c r="J49" s="63">
        <f t="shared" si="2"/>
        <v>21483.971680329687</v>
      </c>
      <c r="K49" s="63">
        <f>((K50*VLOOKUP(B49,'IALM 2012-2014'!$B$5:$D$118,3,FALSE)+sa*VLOOKUP(B49,'IALM 2012-2014'!$B$5:$D$118,2,FALSE))/(1+i)) -P_50 + fre*12 + vre*P_50</f>
        <v>-5472260.1507451469</v>
      </c>
      <c r="L49" s="64">
        <f>K50*VLOOKUP(B49,'IALM 2012-2014'!$B$5:$D$118,3,FALSE)-'50 years '!K49*(1+i)</f>
        <v>747381.89354360942</v>
      </c>
    </row>
    <row r="50" spans="2:12" x14ac:dyDescent="0.35">
      <c r="B50" s="62">
        <f t="shared" si="3"/>
        <v>61</v>
      </c>
      <c r="C50" s="62">
        <f t="shared" si="4"/>
        <v>9</v>
      </c>
      <c r="D50" s="69">
        <f>D51*v*VLOOKUP(B50,'IALM 2012-2014'!$B$5:$D$118,3,FALSE)+m*v*VLOOKUP(B50,'IALM 2012-2014'!$B$5:$D$118,3,FALSE)-m+1</f>
        <v>6.882955311831517</v>
      </c>
      <c r="E50" s="63">
        <f t="shared" si="0"/>
        <v>489078.3483665621</v>
      </c>
      <c r="F50" s="72">
        <f>F51*v*VLOOKUP(B50,'IALM 2012-2014'!$B$5:$D$118,3,FALSE)+v*VLOOKUP(B50,'IALM 2012-2014'!$B$5:$D$118,2,FALSE)</f>
        <v>0.10698674160341357</v>
      </c>
      <c r="G50" s="63">
        <f t="shared" si="1"/>
        <v>1069867.4160341357</v>
      </c>
      <c r="H50" s="63">
        <v>0</v>
      </c>
      <c r="I50" s="63">
        <f>(fre+vre*pm_50)*'50 years '!D50</f>
        <v>19834.566934870501</v>
      </c>
      <c r="J50" s="63">
        <f t="shared" si="2"/>
        <v>19834.566934870501</v>
      </c>
      <c r="K50" s="63">
        <f>((K51*VLOOKUP(B50,'IALM 2012-2014'!$B$5:$D$118,3,FALSE)+sa*VLOOKUP(B50,'IALM 2012-2014'!$B$5:$D$118,2,FALSE))/(1+i)) -P_50 + fre*12 + vre*P_50</f>
        <v>-5054914.2172315335</v>
      </c>
      <c r="L50" s="63">
        <f>K51*VLOOKUP(B50,'IALM 2012-2014'!$B$5:$D$118,3,FALSE)-'50 years '!K50*(1+i)</f>
        <v>739311.89354360849</v>
      </c>
    </row>
    <row r="51" spans="2:12" x14ac:dyDescent="0.35">
      <c r="B51" s="62">
        <f t="shared" si="3"/>
        <v>62</v>
      </c>
      <c r="C51" s="62">
        <f t="shared" si="4"/>
        <v>8</v>
      </c>
      <c r="D51" s="69">
        <f>D52*v*VLOOKUP(B51,'IALM 2012-2014'!$B$5:$D$118,3,FALSE)+m*v*VLOOKUP(B51,'IALM 2012-2014'!$B$5:$D$118,3,FALSE)-m+1</f>
        <v>6.2806789824979443</v>
      </c>
      <c r="E51" s="63">
        <f t="shared" si="0"/>
        <v>446282.73237521574</v>
      </c>
      <c r="F51" s="72">
        <f>F52*v*VLOOKUP(B51,'IALM 2012-2014'!$B$5:$D$118,3,FALSE)+v*VLOOKUP(B51,'IALM 2012-2014'!$B$5:$D$118,2,FALSE)</f>
        <v>0.10158292470943145</v>
      </c>
      <c r="G51" s="63">
        <f t="shared" si="1"/>
        <v>1015829.2470943145</v>
      </c>
      <c r="H51" s="63">
        <v>0</v>
      </c>
      <c r="I51" s="63">
        <f>(fre+vre*pm_50)*'50 years '!D51</f>
        <v>18098.99120812993</v>
      </c>
      <c r="J51" s="63">
        <f t="shared" si="2"/>
        <v>18098.99120812993</v>
      </c>
      <c r="K51" s="63">
        <f>((K52*VLOOKUP(B51,'IALM 2012-2014'!$B$5:$D$118,3,FALSE)+sa*VLOOKUP(B51,'IALM 2012-2014'!$B$5:$D$118,2,FALSE))/(1+i)) -P_50 + fre*12 + vre*P_50</f>
        <v>-4623688.9678051621</v>
      </c>
      <c r="L51" s="64">
        <f>K52*VLOOKUP(B51,'IALM 2012-2014'!$B$5:$D$118,3,FALSE)-'50 years '!K51*(1+i)</f>
        <v>730691.89354360942</v>
      </c>
    </row>
    <row r="52" spans="2:12" x14ac:dyDescent="0.35">
      <c r="B52" s="62">
        <f t="shared" si="3"/>
        <v>63</v>
      </c>
      <c r="C52" s="62">
        <f t="shared" si="4"/>
        <v>7</v>
      </c>
      <c r="D52" s="69">
        <f>D53*v*VLOOKUP(B52,'IALM 2012-2014'!$B$5:$D$118,3,FALSE)+m*v*VLOOKUP(B52,'IALM 2012-2014'!$B$5:$D$118,3,FALSE)-m+1</f>
        <v>5.6459537052819808</v>
      </c>
      <c r="E52" s="63">
        <f t="shared" si="0"/>
        <v>401181.40944294643</v>
      </c>
      <c r="F52" s="72">
        <f>F53*v*VLOOKUP(B52,'IALM 2012-2014'!$B$5:$D$118,3,FALSE)+v*VLOOKUP(B52,'IALM 2012-2014'!$B$5:$D$118,2,FALSE)</f>
        <v>9.5050666040873477E-2</v>
      </c>
      <c r="G52" s="63">
        <f t="shared" si="1"/>
        <v>950506.66040873481</v>
      </c>
      <c r="H52" s="63">
        <v>0</v>
      </c>
      <c r="I52" s="63">
        <f>(fre+vre*pm_50)*'50 years '!D52</f>
        <v>16269.907562249877</v>
      </c>
      <c r="J52" s="63">
        <f t="shared" si="2"/>
        <v>16269.907562249877</v>
      </c>
      <c r="K52" s="63">
        <f>((K53*VLOOKUP(B52,'IALM 2012-2014'!$B$5:$D$118,3,FALSE)+sa*VLOOKUP(B52,'IALM 2012-2014'!$B$5:$D$118,2,FALSE))/(1+i)) -P_50 + fre*12 + vre*P_50</f>
        <v>-4177786.7038488965</v>
      </c>
      <c r="L52" s="64">
        <f>K53*VLOOKUP(B52,'IALM 2012-2014'!$B$5:$D$118,3,FALSE)-'50 years '!K52*(1+i)</f>
        <v>721351.89354360849</v>
      </c>
    </row>
    <row r="53" spans="2:12" x14ac:dyDescent="0.35">
      <c r="B53" s="62">
        <f t="shared" si="3"/>
        <v>64</v>
      </c>
      <c r="C53" s="62">
        <f t="shared" si="4"/>
        <v>6</v>
      </c>
      <c r="D53" s="69">
        <f>D54*v*VLOOKUP(B53,'IALM 2012-2014'!$B$5:$D$118,3,FALSE)+m*v*VLOOKUP(B53,'IALM 2012-2014'!$B$5:$D$118,3,FALSE)-m+1</f>
        <v>4.9759712599391417</v>
      </c>
      <c r="E53" s="63">
        <f t="shared" si="0"/>
        <v>353574.83741717599</v>
      </c>
      <c r="F53" s="72">
        <f>F54*v*VLOOKUP(B53,'IALM 2012-2014'!$B$5:$D$118,3,FALSE)+v*VLOOKUP(B53,'IALM 2012-2014'!$B$5:$D$118,2,FALSE)</f>
        <v>8.7239044794513637E-2</v>
      </c>
      <c r="G53" s="63">
        <f t="shared" si="1"/>
        <v>872390.44794513634</v>
      </c>
      <c r="H53" s="63">
        <v>0</v>
      </c>
      <c r="I53" s="63">
        <f>(fre+vre*pm_50)*'50 years '!D53</f>
        <v>14339.223567469635</v>
      </c>
      <c r="J53" s="63">
        <f t="shared" si="2"/>
        <v>14339.223567469635</v>
      </c>
      <c r="K53" s="63">
        <f>((K54*VLOOKUP(B53,'IALM 2012-2014'!$B$5:$D$118,3,FALSE)+sa*VLOOKUP(B53,'IALM 2012-2014'!$B$5:$D$118,2,FALSE))/(1+i)) -P_50 + fre*12 + vre*P_50</f>
        <v>-3716481.513531494</v>
      </c>
      <c r="L53" s="64">
        <f>K54*VLOOKUP(B53,'IALM 2012-2014'!$B$5:$D$118,3,FALSE)-'50 years '!K53*(1+i)</f>
        <v>711081.89354360895</v>
      </c>
    </row>
    <row r="54" spans="2:12" x14ac:dyDescent="0.35">
      <c r="B54" s="62">
        <f t="shared" si="3"/>
        <v>65</v>
      </c>
      <c r="C54" s="62">
        <f t="shared" si="4"/>
        <v>5</v>
      </c>
      <c r="D54" s="69">
        <f>D55*v*VLOOKUP(B54,'IALM 2012-2014'!$B$5:$D$118,3,FALSE)+m*v*VLOOKUP(B54,'IALM 2012-2014'!$B$5:$D$118,3,FALSE)-m+1</f>
        <v>4.2675923827957476</v>
      </c>
      <c r="E54" s="63">
        <f t="shared" si="0"/>
        <v>303239.95137549081</v>
      </c>
      <c r="F54" s="72">
        <f>F55*v*VLOOKUP(B54,'IALM 2012-2014'!$B$5:$D$118,3,FALSE)+v*VLOOKUP(B54,'IALM 2012-2014'!$B$5:$D$118,2,FALSE)</f>
        <v>7.79622141052847E-2</v>
      </c>
      <c r="G54" s="63">
        <f t="shared" si="1"/>
        <v>779622.14105284703</v>
      </c>
      <c r="H54" s="63">
        <v>0</v>
      </c>
      <c r="I54" s="63">
        <f>(fre+vre*pm_50)*'50 years '!D54</f>
        <v>12297.892828361535</v>
      </c>
      <c r="J54" s="63">
        <f t="shared" si="2"/>
        <v>12297.892828361535</v>
      </c>
      <c r="K54" s="63">
        <f>((K55*VLOOKUP(B54,'IALM 2012-2014'!$B$5:$D$118,3,FALSE)+sa*VLOOKUP(B54,'IALM 2012-2014'!$B$5:$D$118,2,FALSE))/(1+i)) -P_50 + fre*12 + vre*P_50</f>
        <v>-3239137.01032113</v>
      </c>
      <c r="L54" s="64">
        <f>K55*VLOOKUP(B54,'IALM 2012-2014'!$B$5:$D$118,3,FALSE)-'50 years '!K54*(1+i)</f>
        <v>699681.89354360849</v>
      </c>
    </row>
    <row r="55" spans="2:12" x14ac:dyDescent="0.35">
      <c r="B55" s="62">
        <f t="shared" si="3"/>
        <v>66</v>
      </c>
      <c r="C55" s="62">
        <f t="shared" si="4"/>
        <v>4</v>
      </c>
      <c r="D55" s="69">
        <f>D56*v*VLOOKUP(B55,'IALM 2012-2014'!$B$5:$D$118,3,FALSE)+m*v*VLOOKUP(B55,'IALM 2012-2014'!$B$5:$D$118,3,FALSE)-m+1</f>
        <v>3.5172273006223844</v>
      </c>
      <c r="E55" s="63">
        <f t="shared" si="0"/>
        <v>249921.67478716953</v>
      </c>
      <c r="F55" s="72">
        <f>F56*v*VLOOKUP(B55,'IALM 2012-2014'!$B$5:$D$118,3,FALSE)+v*VLOOKUP(B55,'IALM 2012-2014'!$B$5:$D$118,2,FALSE)</f>
        <v>6.6995700307853664E-2</v>
      </c>
      <c r="G55" s="63">
        <f t="shared" si="1"/>
        <v>669957.0030785366</v>
      </c>
      <c r="H55" s="63">
        <v>0</v>
      </c>
      <c r="I55" s="63">
        <f>(fre+vre*pm_50)*'50 years '!D55</f>
        <v>10135.570719081874</v>
      </c>
      <c r="J55" s="63">
        <f t="shared" si="2"/>
        <v>10135.570719081874</v>
      </c>
      <c r="K55" s="63">
        <f>((K56*VLOOKUP(B55,'IALM 2012-2014'!$B$5:$D$118,3,FALSE)+sa*VLOOKUP(B55,'IALM 2012-2014'!$B$5:$D$118,2,FALSE))/(1+i)) -P_50 + fre*12 + vre*P_50</f>
        <v>-2745147.6598096658</v>
      </c>
      <c r="L55" s="64">
        <f>K56*VLOOKUP(B55,'IALM 2012-2014'!$B$5:$D$118,3,FALSE)-'50 years '!K55*(1+i)</f>
        <v>686941.89354360895</v>
      </c>
    </row>
    <row r="56" spans="2:12" x14ac:dyDescent="0.35">
      <c r="B56" s="62">
        <f t="shared" si="3"/>
        <v>67</v>
      </c>
      <c r="C56" s="62">
        <f t="shared" si="4"/>
        <v>3</v>
      </c>
      <c r="D56" s="69">
        <f>D57*v*VLOOKUP(B56,'IALM 2012-2014'!$B$5:$D$118,3,FALSE)+m*v*VLOOKUP(B56,'IALM 2012-2014'!$B$5:$D$118,3,FALSE)-m+1</f>
        <v>2.7207038460282664</v>
      </c>
      <c r="E56" s="63">
        <f t="shared" si="0"/>
        <v>193323.54826171065</v>
      </c>
      <c r="F56" s="72">
        <f>F57*v*VLOOKUP(B56,'IALM 2012-2014'!$B$5:$D$118,3,FALSE)+v*VLOOKUP(B56,'IALM 2012-2014'!$B$5:$D$118,2,FALSE)</f>
        <v>5.4069810482406645E-2</v>
      </c>
      <c r="G56" s="63">
        <f t="shared" si="1"/>
        <v>540698.10482406639</v>
      </c>
      <c r="H56" s="63">
        <v>0</v>
      </c>
      <c r="I56" s="63">
        <f>(fre+vre*pm_50)*'50 years '!D56</f>
        <v>7840.234332372519</v>
      </c>
      <c r="J56" s="63">
        <f t="shared" si="2"/>
        <v>7840.234332372519</v>
      </c>
      <c r="K56" s="63">
        <f>((K57*VLOOKUP(B56,'IALM 2012-2014'!$B$5:$D$118,3,FALSE)+sa*VLOOKUP(B56,'IALM 2012-2014'!$B$5:$D$118,2,FALSE))/(1+i)) -P_50 + fre*12 + vre*P_50</f>
        <v>-2233899.6262253737</v>
      </c>
      <c r="L56" s="64">
        <f>K57*VLOOKUP(B56,'IALM 2012-2014'!$B$5:$D$118,3,FALSE)-'50 years '!K56*(1+i)</f>
        <v>672651.89354360895</v>
      </c>
    </row>
    <row r="57" spans="2:12" x14ac:dyDescent="0.35">
      <c r="B57" s="62">
        <f t="shared" si="3"/>
        <v>68</v>
      </c>
      <c r="C57" s="62">
        <f t="shared" si="4"/>
        <v>2</v>
      </c>
      <c r="D57" s="69">
        <f>D58*v*VLOOKUP(B57,'IALM 2012-2014'!$B$5:$D$118,3,FALSE)+m*v*VLOOKUP(B57,'IALM 2012-2014'!$B$5:$D$118,3,FALSE)-m+1</f>
        <v>1.8731020024792138</v>
      </c>
      <c r="E57" s="63">
        <f t="shared" si="0"/>
        <v>133095.97290569457</v>
      </c>
      <c r="F57" s="72">
        <f>F58*v*VLOOKUP(B57,'IALM 2012-2014'!$B$5:$D$118,3,FALSE)+v*VLOOKUP(B57,'IALM 2012-2014'!$B$5:$D$118,2,FALSE)</f>
        <v>3.8862503764172329E-2</v>
      </c>
      <c r="G57" s="63">
        <f t="shared" si="1"/>
        <v>388625.03764172329</v>
      </c>
      <c r="H57" s="63">
        <v>0</v>
      </c>
      <c r="I57" s="63">
        <f>(fre+vre*pm_50)*'50 years '!D57</f>
        <v>5397.7056890302465</v>
      </c>
      <c r="J57" s="63">
        <f t="shared" si="2"/>
        <v>5397.7056890302465</v>
      </c>
      <c r="K57" s="63">
        <f>((K58*VLOOKUP(B57,'IALM 2012-2014'!$B$5:$D$118,3,FALSE)+sa*VLOOKUP(B57,'IALM 2012-2014'!$B$5:$D$118,2,FALSE))/(1+i)) -P_50 + fre*12 + vre*P_50</f>
        <v>-1704709.9845552198</v>
      </c>
      <c r="L57" s="64">
        <f>K58*VLOOKUP(B57,'IALM 2012-2014'!$B$5:$D$118,3,FALSE)-'50 years '!K57*(1+i)</f>
        <v>656601.89354360872</v>
      </c>
    </row>
    <row r="58" spans="2:12" x14ac:dyDescent="0.35">
      <c r="B58" s="62">
        <f t="shared" si="3"/>
        <v>69</v>
      </c>
      <c r="C58" s="62">
        <f t="shared" si="4"/>
        <v>1</v>
      </c>
      <c r="D58" s="69">
        <f>D59*v*VLOOKUP(B58,'IALM 2012-2014'!$B$5:$D$118,3,FALSE)+m*v*VLOOKUP(B58,'IALM 2012-2014'!$B$5:$D$118,3,FALSE)-m+1</f>
        <v>0.96855396825396822</v>
      </c>
      <c r="E58" s="63">
        <f t="shared" si="0"/>
        <v>68822.00357791975</v>
      </c>
      <c r="F58" s="72">
        <f>v*VLOOKUP(B58,'IALM 2012-2014'!$B$5:$D$118,2,FALSE)</f>
        <v>2.0990476190476191E-2</v>
      </c>
      <c r="G58" s="63">
        <f t="shared" si="1"/>
        <v>209904.76190476192</v>
      </c>
      <c r="H58" s="63">
        <v>0</v>
      </c>
      <c r="I58" s="63">
        <f>(fre+vre*pm_50)*'50 years '!D58</f>
        <v>2791.0755835280684</v>
      </c>
      <c r="J58" s="63">
        <f t="shared" si="2"/>
        <v>2791.0755835280684</v>
      </c>
      <c r="K58" s="63">
        <f>((K59*VLOOKUP(B58,'IALM 2012-2014'!$B$5:$D$118,3,FALSE)+sa*VLOOKUP(B58,'IALM 2012-2014'!$B$5:$D$118,2,FALSE))/(1+i)) -P_50 + fre*12 + vre*P_50</f>
        <v>-1156756.3385312445</v>
      </c>
      <c r="L58" s="64">
        <f>K59*VLOOKUP(B58,'IALM 2012-2014'!$B$5:$D$118,3,FALSE)-'50 years '!K58*(1+i)</f>
        <v>638601.89354360872</v>
      </c>
    </row>
    <row r="59" spans="2:12" x14ac:dyDescent="0.35">
      <c r="B59" s="65">
        <f t="shared" si="3"/>
        <v>70</v>
      </c>
      <c r="C59" s="65">
        <f t="shared" si="4"/>
        <v>0</v>
      </c>
      <c r="D59" s="70">
        <v>0</v>
      </c>
      <c r="E59" s="66">
        <f t="shared" si="0"/>
        <v>0</v>
      </c>
      <c r="F59" s="73">
        <v>0</v>
      </c>
      <c r="G59" s="66">
        <f t="shared" si="1"/>
        <v>0</v>
      </c>
      <c r="H59" s="66">
        <v>0</v>
      </c>
      <c r="I59" s="66">
        <f>(fre+vre*pm_50)*'50 years '!D59</f>
        <v>0</v>
      </c>
      <c r="J59" s="66">
        <f t="shared" si="2"/>
        <v>0</v>
      </c>
      <c r="K59" s="66">
        <f>((K60*VLOOKUP(B59,'IALM 2012-2014'!$B$5:$D$118,3,FALSE)+sa*VLOOKUP(B59,'IALM 2012-2014'!$B$5:$D$118,2,FALSE))/(1+i)) -P_50 + fre*12 + vre*P_50</f>
        <v>-588973.23194629431</v>
      </c>
      <c r="L59" s="67">
        <f>K60*VLOOKUP(B59,'IALM 2012-2014'!$B$5:$D$118,3,FALSE)-'50 years '!K59*(1+i)</f>
        <v>618421.89354360907</v>
      </c>
    </row>
    <row r="60" spans="2:12" x14ac:dyDescent="0.35">
      <c r="C60" s="74"/>
    </row>
  </sheetData>
  <mergeCells count="1">
    <mergeCell ref="C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B246-9A93-4649-8B91-4CD2C44AA1E7}">
  <dimension ref="B2:E6"/>
  <sheetViews>
    <sheetView zoomScale="82" workbookViewId="0">
      <selection activeCell="G4" sqref="G4"/>
    </sheetView>
  </sheetViews>
  <sheetFormatPr defaultRowHeight="14.5" x14ac:dyDescent="0.35"/>
  <cols>
    <col min="2" max="2" width="21.81640625" customWidth="1"/>
    <col min="3" max="3" width="12.81640625" customWidth="1"/>
    <col min="4" max="4" width="11.81640625" customWidth="1"/>
    <col min="5" max="5" width="12.54296875" customWidth="1"/>
  </cols>
  <sheetData>
    <row r="2" spans="2:5" x14ac:dyDescent="0.35">
      <c r="B2" s="79"/>
      <c r="C2" s="79" t="s">
        <v>48</v>
      </c>
      <c r="D2" s="79" t="s">
        <v>49</v>
      </c>
      <c r="E2" s="79" t="s">
        <v>50</v>
      </c>
    </row>
    <row r="3" spans="2:5" x14ac:dyDescent="0.35">
      <c r="B3" s="45" t="s">
        <v>8</v>
      </c>
      <c r="C3" s="80">
        <f>pm_30</f>
        <v>19627.240680130999</v>
      </c>
      <c r="D3" s="80">
        <f>'40 years'!pm_40</f>
        <v>38935.488301030782</v>
      </c>
      <c r="E3" s="80">
        <f>'50 years '!pm_50</f>
        <v>71056.446861692762</v>
      </c>
    </row>
    <row r="4" spans="2:5" x14ac:dyDescent="0.35">
      <c r="B4" s="4" t="s">
        <v>51</v>
      </c>
      <c r="C4" s="4"/>
      <c r="D4" s="4"/>
      <c r="E4" s="4"/>
    </row>
    <row r="5" spans="2:5" x14ac:dyDescent="0.35">
      <c r="B5" s="4" t="s">
        <v>52</v>
      </c>
      <c r="C5" s="4"/>
      <c r="D5" s="4"/>
      <c r="E5" s="4"/>
    </row>
    <row r="6" spans="2:5" x14ac:dyDescent="0.35">
      <c r="B6" s="4" t="s">
        <v>53</v>
      </c>
      <c r="C6" s="4"/>
      <c r="D6" s="4"/>
      <c r="E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IALM 2012-2014</vt:lpstr>
      <vt:lpstr>Parameters</vt:lpstr>
      <vt:lpstr>30 years</vt:lpstr>
      <vt:lpstr>40 years</vt:lpstr>
      <vt:lpstr>50 years </vt:lpstr>
      <vt:lpstr>Answers</vt:lpstr>
      <vt:lpstr>fie</vt:lpstr>
      <vt:lpstr>fre</vt:lpstr>
      <vt:lpstr>i</vt:lpstr>
      <vt:lpstr>ife</vt:lpstr>
      <vt:lpstr>m</vt:lpstr>
      <vt:lpstr>P_30</vt:lpstr>
      <vt:lpstr>'40 years'!P_40</vt:lpstr>
      <vt:lpstr>'50 years '!P_50</vt:lpstr>
      <vt:lpstr>pm_30</vt:lpstr>
      <vt:lpstr>'40 years'!pm_40</vt:lpstr>
      <vt:lpstr>'50 years '!pm_50</vt:lpstr>
      <vt:lpstr>sa</vt:lpstr>
      <vt:lpstr>v</vt:lpstr>
      <vt:lpstr>vie</vt:lpstr>
      <vt:lpstr>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2021-11-23T11:35:56Z</dcterms:created>
  <dcterms:modified xsi:type="dcterms:W3CDTF">2021-11-23T17:16:42Z</dcterms:modified>
</cp:coreProperties>
</file>