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8e777a8b49889f/Desktop/"/>
    </mc:Choice>
  </mc:AlternateContent>
  <xr:revisionPtr revIDLastSave="881" documentId="8_{91ED1E27-A422-4F13-9529-5611812D3A51}" xr6:coauthVersionLast="47" xr6:coauthVersionMax="47" xr10:uidLastSave="{4E984F8F-2D98-4BF1-B5D3-7D96296AD6DC}"/>
  <bookViews>
    <workbookView xWindow="-120" yWindow="-120" windowWidth="29040" windowHeight="15720" xr2:uid="{67987FBE-9BCA-4E60-A946-DFCB333B589D}"/>
  </bookViews>
  <sheets>
    <sheet name="qs 1" sheetId="1" r:id="rId1"/>
    <sheet name="qs 2" sheetId="2" r:id="rId2"/>
    <sheet name="qs 3" sheetId="3" r:id="rId3"/>
  </sheets>
  <definedNames>
    <definedName name="br">'qs 1'!$B$5</definedName>
    <definedName name="cc">'qs 1'!$B$7</definedName>
    <definedName name="ch">'qs 1'!$B$8</definedName>
    <definedName name="char">'qs 1'!$B$9</definedName>
    <definedName name="charge">'qs 1'!$B$8</definedName>
    <definedName name="g">'qs 1'!$E$6</definedName>
    <definedName name="gr">'qs 1'!$E$7</definedName>
    <definedName name="grw">'qs 1'!$F$7</definedName>
    <definedName name="inf">'qs 1'!$B$6</definedName>
    <definedName name="t">'qs 1'!$B$4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1" i="3" l="1"/>
  <c r="AL18" i="3"/>
  <c r="I8" i="2"/>
  <c r="I9" i="2"/>
  <c r="I10" i="2"/>
  <c r="I11" i="2"/>
  <c r="I12" i="2"/>
  <c r="I13" i="2"/>
  <c r="I14" i="2"/>
  <c r="I15" i="2"/>
  <c r="I16" i="2"/>
  <c r="I17" i="2"/>
  <c r="I7" i="2"/>
  <c r="H8" i="2"/>
  <c r="H9" i="2"/>
  <c r="H10" i="2"/>
  <c r="H11" i="2"/>
  <c r="H12" i="2"/>
  <c r="H13" i="2"/>
  <c r="H14" i="2"/>
  <c r="H15" i="2"/>
  <c r="H16" i="2"/>
  <c r="H17" i="2"/>
  <c r="H7" i="2"/>
  <c r="G8" i="2"/>
  <c r="G9" i="2"/>
  <c r="G10" i="2"/>
  <c r="G11" i="2"/>
  <c r="G12" i="2"/>
  <c r="G13" i="2"/>
  <c r="G14" i="2"/>
  <c r="G15" i="2"/>
  <c r="G16" i="2"/>
  <c r="G17" i="2"/>
  <c r="G7" i="2"/>
  <c r="B8" i="2"/>
  <c r="D8" i="2" s="1"/>
  <c r="B9" i="2"/>
  <c r="E9" i="2" s="1"/>
  <c r="B10" i="2"/>
  <c r="E10" i="2" s="1"/>
  <c r="B11" i="2"/>
  <c r="C11" i="2" s="1"/>
  <c r="B12" i="2"/>
  <c r="D12" i="2" s="1"/>
  <c r="B13" i="2"/>
  <c r="D13" i="2" s="1"/>
  <c r="B14" i="2"/>
  <c r="E14" i="2" s="1"/>
  <c r="B15" i="2"/>
  <c r="E15" i="2" s="1"/>
  <c r="B16" i="2"/>
  <c r="E16" i="2" s="1"/>
  <c r="B17" i="2"/>
  <c r="B7" i="2"/>
  <c r="C7" i="2" s="1"/>
  <c r="E17" i="2"/>
  <c r="F7" i="2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C13" i="2" l="1"/>
  <c r="C9" i="2"/>
  <c r="C15" i="2"/>
  <c r="D9" i="2"/>
  <c r="D15" i="2"/>
  <c r="E8" i="2"/>
  <c r="E11" i="2"/>
  <c r="E13" i="2"/>
  <c r="C8" i="2"/>
  <c r="J8" i="2" s="1"/>
  <c r="K8" i="2" s="1"/>
  <c r="D17" i="2"/>
  <c r="C12" i="2"/>
  <c r="J12" i="2" s="1"/>
  <c r="K12" i="2" s="1"/>
  <c r="C10" i="2"/>
  <c r="C16" i="2"/>
  <c r="D7" i="2"/>
  <c r="J7" i="2" s="1"/>
  <c r="K7" i="2" s="1"/>
  <c r="D11" i="2"/>
  <c r="D16" i="2"/>
  <c r="E7" i="2"/>
  <c r="E12" i="2"/>
  <c r="C14" i="2"/>
  <c r="C17" i="2"/>
  <c r="D10" i="2"/>
  <c r="D14" i="2"/>
  <c r="B40" i="3"/>
  <c r="AG14" i="1"/>
  <c r="J11" i="2" l="1"/>
  <c r="K11" i="2" s="1"/>
  <c r="L11" i="2" s="1"/>
  <c r="M11" i="2" s="1"/>
  <c r="N11" i="2" s="1"/>
  <c r="L12" i="2"/>
  <c r="M12" i="2" s="1"/>
  <c r="N12" i="2" s="1"/>
  <c r="L8" i="2"/>
  <c r="M8" i="2" s="1"/>
  <c r="N8" i="2" s="1"/>
  <c r="L7" i="2"/>
  <c r="M7" i="2" s="1"/>
  <c r="N7" i="2" s="1"/>
  <c r="J17" i="2"/>
  <c r="K17" i="2" s="1"/>
  <c r="J14" i="2"/>
  <c r="K14" i="2" s="1"/>
  <c r="J15" i="2"/>
  <c r="K15" i="2" s="1"/>
  <c r="J9" i="2"/>
  <c r="K9" i="2" s="1"/>
  <c r="J16" i="2"/>
  <c r="K16" i="2" s="1"/>
  <c r="J13" i="2"/>
  <c r="K13" i="2" s="1"/>
  <c r="J10" i="2"/>
  <c r="K10" i="2" s="1"/>
  <c r="D29" i="3"/>
  <c r="D30" i="3"/>
  <c r="D31" i="3"/>
  <c r="D32" i="3"/>
  <c r="D33" i="3"/>
  <c r="D34" i="3"/>
  <c r="D35" i="3"/>
  <c r="D36" i="3"/>
  <c r="D20" i="3"/>
  <c r="D21" i="3"/>
  <c r="D22" i="3"/>
  <c r="D23" i="3"/>
  <c r="D24" i="3"/>
  <c r="D25" i="3"/>
  <c r="D26" i="3"/>
  <c r="D27" i="3"/>
  <c r="D28" i="3"/>
  <c r="D19" i="3"/>
  <c r="AG29" i="3"/>
  <c r="AG30" i="3"/>
  <c r="AG31" i="3"/>
  <c r="AG32" i="3"/>
  <c r="AG33" i="3"/>
  <c r="AG34" i="3"/>
  <c r="AG35" i="3"/>
  <c r="AG36" i="3"/>
  <c r="AG28" i="3"/>
  <c r="AG27" i="3"/>
  <c r="AG26" i="3"/>
  <c r="AG25" i="3"/>
  <c r="AG24" i="3"/>
  <c r="AG23" i="3"/>
  <c r="AG22" i="3"/>
  <c r="AG21" i="3"/>
  <c r="AG20" i="3"/>
  <c r="I20" i="3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AG19" i="3"/>
  <c r="X19" i="3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X34" i="3" s="1"/>
  <c r="X35" i="3" s="1"/>
  <c r="X36" i="3" s="1"/>
  <c r="W19" i="3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W35" i="3" s="1"/>
  <c r="W36" i="3" s="1"/>
  <c r="V19" i="3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V35" i="3" s="1"/>
  <c r="V36" i="3" s="1"/>
  <c r="U19" i="3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T19" i="3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Q19" i="3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P19" i="3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L19" i="3"/>
  <c r="L20" i="3" s="1"/>
  <c r="K19" i="3"/>
  <c r="K20" i="3" s="1"/>
  <c r="AG18" i="3"/>
  <c r="AD18" i="3"/>
  <c r="AD19" i="3" s="1"/>
  <c r="AD20" i="3" s="1"/>
  <c r="AD21" i="3" s="1"/>
  <c r="AD22" i="3" s="1"/>
  <c r="AD23" i="3" s="1"/>
  <c r="AD24" i="3" s="1"/>
  <c r="AD25" i="3" s="1"/>
  <c r="AD26" i="3" s="1"/>
  <c r="AD27" i="3" s="1"/>
  <c r="AD28" i="3" s="1"/>
  <c r="AD29" i="3" s="1"/>
  <c r="AD30" i="3" s="1"/>
  <c r="AD31" i="3" s="1"/>
  <c r="AD32" i="3" s="1"/>
  <c r="AD33" i="3" s="1"/>
  <c r="AD34" i="3" s="1"/>
  <c r="AD35" i="3" s="1"/>
  <c r="AD36" i="3" s="1"/>
  <c r="M18" i="3"/>
  <c r="L9" i="3"/>
  <c r="L10" i="3" s="1"/>
  <c r="K9" i="3"/>
  <c r="K10" i="3" s="1"/>
  <c r="AG15" i="1"/>
  <c r="AG16" i="1"/>
  <c r="AG17" i="1"/>
  <c r="AG18" i="1"/>
  <c r="AG19" i="1"/>
  <c r="AG20" i="1"/>
  <c r="AG21" i="1"/>
  <c r="AG22" i="1"/>
  <c r="AG23" i="1"/>
  <c r="AG24" i="1"/>
  <c r="L15" i="2" l="1"/>
  <c r="M15" i="2" s="1"/>
  <c r="N15" i="2" s="1"/>
  <c r="L9" i="2"/>
  <c r="M9" i="2" s="1"/>
  <c r="N9" i="2" s="1"/>
  <c r="L14" i="2"/>
  <c r="M14" i="2" s="1"/>
  <c r="N14" i="2" s="1"/>
  <c r="L17" i="2"/>
  <c r="M17" i="2" s="1"/>
  <c r="N17" i="2" s="1"/>
  <c r="L10" i="2"/>
  <c r="M10" i="2" s="1"/>
  <c r="N10" i="2" s="1"/>
  <c r="L13" i="2"/>
  <c r="M13" i="2" s="1"/>
  <c r="N13" i="2" s="1"/>
  <c r="L16" i="2"/>
  <c r="M16" i="2" s="1"/>
  <c r="N16" i="2" s="1"/>
  <c r="H18" i="3"/>
  <c r="F18" i="3"/>
  <c r="K21" i="3"/>
  <c r="M20" i="3"/>
  <c r="L21" i="3"/>
  <c r="G18" i="3"/>
  <c r="E18" i="3"/>
  <c r="M19" i="3"/>
  <c r="F21" i="2" l="1"/>
  <c r="F19" i="3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E19" i="3"/>
  <c r="R18" i="3"/>
  <c r="Y18" i="3" s="1"/>
  <c r="N18" i="3"/>
  <c r="G19" i="3"/>
  <c r="L22" i="3"/>
  <c r="M21" i="3"/>
  <c r="K22" i="3"/>
  <c r="J18" i="3"/>
  <c r="S18" i="3" s="1"/>
  <c r="H19" i="3"/>
  <c r="AE18" i="3" l="1"/>
  <c r="Z18" i="3"/>
  <c r="K23" i="3"/>
  <c r="M22" i="3"/>
  <c r="L23" i="3"/>
  <c r="O18" i="3"/>
  <c r="G20" i="3"/>
  <c r="J19" i="3"/>
  <c r="O19" i="3" s="1"/>
  <c r="H20" i="3"/>
  <c r="R19" i="3"/>
  <c r="Y19" i="3" s="1"/>
  <c r="N19" i="3"/>
  <c r="E20" i="3"/>
  <c r="S19" i="3" l="1"/>
  <c r="G21" i="3"/>
  <c r="L24" i="3"/>
  <c r="M23" i="3"/>
  <c r="E21" i="3"/>
  <c r="R20" i="3"/>
  <c r="Y20" i="3" s="1"/>
  <c r="N20" i="3"/>
  <c r="K24" i="3"/>
  <c r="AC18" i="3"/>
  <c r="AB18" i="3"/>
  <c r="AA18" i="3"/>
  <c r="AF18" i="3" s="1"/>
  <c r="AH18" i="3" s="1"/>
  <c r="AI18" i="3" s="1"/>
  <c r="H21" i="3"/>
  <c r="J20" i="3"/>
  <c r="S20" i="3" s="1"/>
  <c r="Z20" i="3" l="1"/>
  <c r="AE20" i="3"/>
  <c r="E22" i="3"/>
  <c r="R21" i="3"/>
  <c r="Y21" i="3" s="1"/>
  <c r="N21" i="3"/>
  <c r="AJ18" i="3"/>
  <c r="AK18" i="3"/>
  <c r="M24" i="3"/>
  <c r="L25" i="3"/>
  <c r="H22" i="3"/>
  <c r="J21" i="3"/>
  <c r="S21" i="3" s="1"/>
  <c r="O20" i="3"/>
  <c r="G22" i="3"/>
  <c r="Z19" i="3"/>
  <c r="AE19" i="3"/>
  <c r="K25" i="3"/>
  <c r="Z21" i="3" l="1"/>
  <c r="AE21" i="3"/>
  <c r="H23" i="3"/>
  <c r="J22" i="3"/>
  <c r="S22" i="3" s="1"/>
  <c r="L26" i="3"/>
  <c r="M25" i="3"/>
  <c r="K26" i="3"/>
  <c r="AA19" i="3"/>
  <c r="AB19" i="3"/>
  <c r="AC19" i="3"/>
  <c r="O21" i="3"/>
  <c r="R22" i="3"/>
  <c r="Y22" i="3" s="1"/>
  <c r="E23" i="3"/>
  <c r="N22" i="3"/>
  <c r="G23" i="3"/>
  <c r="O22" i="3"/>
  <c r="AC20" i="3"/>
  <c r="AB20" i="3"/>
  <c r="AA20" i="3"/>
  <c r="AF19" i="3" l="1"/>
  <c r="AH19" i="3" s="1"/>
  <c r="AI19" i="3" s="1"/>
  <c r="AJ19" i="3" s="1"/>
  <c r="AF20" i="3"/>
  <c r="AH20" i="3" s="1"/>
  <c r="AI20" i="3" s="1"/>
  <c r="AJ20" i="3" s="1"/>
  <c r="AK20" i="3" s="1"/>
  <c r="AL20" i="3" s="1"/>
  <c r="G24" i="3"/>
  <c r="K27" i="3"/>
  <c r="AE22" i="3"/>
  <c r="Z22" i="3"/>
  <c r="M26" i="3"/>
  <c r="L27" i="3"/>
  <c r="R23" i="3"/>
  <c r="Y23" i="3" s="1"/>
  <c r="E24" i="3"/>
  <c r="N23" i="3"/>
  <c r="J23" i="3"/>
  <c r="S23" i="3" s="1"/>
  <c r="H24" i="3"/>
  <c r="AC21" i="3"/>
  <c r="AB21" i="3"/>
  <c r="AA21" i="3"/>
  <c r="O23" i="3" l="1"/>
  <c r="AF21" i="3"/>
  <c r="AH21" i="3" s="1"/>
  <c r="AI21" i="3" s="1"/>
  <c r="AJ21" i="3" s="1"/>
  <c r="AK19" i="3"/>
  <c r="AL19" i="3" s="1"/>
  <c r="Z23" i="3"/>
  <c r="AE23" i="3"/>
  <c r="H25" i="3"/>
  <c r="J24" i="3"/>
  <c r="S24" i="3" s="1"/>
  <c r="E25" i="3"/>
  <c r="R24" i="3"/>
  <c r="Y24" i="3" s="1"/>
  <c r="N24" i="3"/>
  <c r="K28" i="3"/>
  <c r="K29" i="3" s="1"/>
  <c r="L28" i="3"/>
  <c r="M27" i="3"/>
  <c r="G25" i="3"/>
  <c r="AC22" i="3"/>
  <c r="AA22" i="3"/>
  <c r="AB22" i="3"/>
  <c r="AK21" i="3" l="1"/>
  <c r="AL21" i="3" s="1"/>
  <c r="K30" i="3"/>
  <c r="M28" i="3"/>
  <c r="L29" i="3"/>
  <c r="Z24" i="3"/>
  <c r="AE24" i="3"/>
  <c r="AF22" i="3"/>
  <c r="AH22" i="3" s="1"/>
  <c r="AI22" i="3" s="1"/>
  <c r="E26" i="3"/>
  <c r="R25" i="3"/>
  <c r="Y25" i="3" s="1"/>
  <c r="N25" i="3"/>
  <c r="O24" i="3"/>
  <c r="H26" i="3"/>
  <c r="J25" i="3"/>
  <c r="S25" i="3" s="1"/>
  <c r="G26" i="3"/>
  <c r="AA23" i="3"/>
  <c r="AB23" i="3"/>
  <c r="AC23" i="3"/>
  <c r="L30" i="3" l="1"/>
  <c r="M29" i="3"/>
  <c r="K31" i="3"/>
  <c r="Z25" i="3"/>
  <c r="AE25" i="3"/>
  <c r="H27" i="3"/>
  <c r="J26" i="3"/>
  <c r="S26" i="3" s="1"/>
  <c r="R26" i="3"/>
  <c r="Y26" i="3" s="1"/>
  <c r="E27" i="3"/>
  <c r="N26" i="3"/>
  <c r="AJ22" i="3"/>
  <c r="AK22" i="3" s="1"/>
  <c r="AL22" i="3" s="1"/>
  <c r="AF23" i="3"/>
  <c r="AH23" i="3" s="1"/>
  <c r="AI23" i="3" s="1"/>
  <c r="O25" i="3"/>
  <c r="G27" i="3"/>
  <c r="AC24" i="3"/>
  <c r="AB24" i="3"/>
  <c r="AA24" i="3"/>
  <c r="K32" i="3" l="1"/>
  <c r="L31" i="3"/>
  <c r="M30" i="3"/>
  <c r="AF24" i="3"/>
  <c r="AH24" i="3" s="1"/>
  <c r="AI24" i="3" s="1"/>
  <c r="AJ24" i="3" s="1"/>
  <c r="AK24" i="3" s="1"/>
  <c r="AL24" i="3" s="1"/>
  <c r="AE26" i="3"/>
  <c r="Z26" i="3"/>
  <c r="AJ23" i="3"/>
  <c r="AK23" i="3" s="1"/>
  <c r="AL23" i="3" s="1"/>
  <c r="E28" i="3"/>
  <c r="E29" i="3" s="1"/>
  <c r="R27" i="3"/>
  <c r="Y27" i="3" s="1"/>
  <c r="N27" i="3"/>
  <c r="O26" i="3"/>
  <c r="J27" i="3"/>
  <c r="S27" i="3" s="1"/>
  <c r="H28" i="3"/>
  <c r="G28" i="3"/>
  <c r="G29" i="3" s="1"/>
  <c r="AC25" i="3"/>
  <c r="AB25" i="3"/>
  <c r="AA25" i="3"/>
  <c r="AF25" i="3" s="1"/>
  <c r="AH25" i="3" s="1"/>
  <c r="AI25" i="3" s="1"/>
  <c r="E30" i="3" l="1"/>
  <c r="R29" i="3"/>
  <c r="Y29" i="3" s="1"/>
  <c r="N29" i="3"/>
  <c r="G30" i="3"/>
  <c r="J28" i="3"/>
  <c r="S28" i="3" s="1"/>
  <c r="H29" i="3"/>
  <c r="L32" i="3"/>
  <c r="M31" i="3"/>
  <c r="K33" i="3"/>
  <c r="Z27" i="3"/>
  <c r="AE27" i="3"/>
  <c r="AJ25" i="3"/>
  <c r="AK25" i="3" s="1"/>
  <c r="AL25" i="3" s="1"/>
  <c r="R28" i="3"/>
  <c r="Y28" i="3" s="1"/>
  <c r="N28" i="3"/>
  <c r="O27" i="3"/>
  <c r="AC26" i="3"/>
  <c r="AB26" i="3"/>
  <c r="AA26" i="3"/>
  <c r="AF26" i="3" s="1"/>
  <c r="AH26" i="3" s="1"/>
  <c r="AI26" i="3" s="1"/>
  <c r="O28" i="3" l="1"/>
  <c r="K34" i="3"/>
  <c r="L33" i="3"/>
  <c r="M32" i="3"/>
  <c r="J29" i="3"/>
  <c r="H30" i="3"/>
  <c r="G31" i="3"/>
  <c r="E31" i="3"/>
  <c r="R30" i="3"/>
  <c r="Y30" i="3" s="1"/>
  <c r="N30" i="3"/>
  <c r="AJ26" i="3"/>
  <c r="AK26" i="3" s="1"/>
  <c r="AL26" i="3" s="1"/>
  <c r="AB27" i="3"/>
  <c r="AA27" i="3"/>
  <c r="AC27" i="3"/>
  <c r="Z28" i="3"/>
  <c r="AE28" i="3"/>
  <c r="AF27" i="3" l="1"/>
  <c r="AH27" i="3" s="1"/>
  <c r="AI27" i="3" s="1"/>
  <c r="G32" i="3"/>
  <c r="S29" i="3"/>
  <c r="O29" i="3"/>
  <c r="L34" i="3"/>
  <c r="M33" i="3"/>
  <c r="E32" i="3"/>
  <c r="R31" i="3"/>
  <c r="Y31" i="3" s="1"/>
  <c r="N31" i="3"/>
  <c r="H31" i="3"/>
  <c r="J30" i="3"/>
  <c r="K35" i="3"/>
  <c r="AJ27" i="3"/>
  <c r="AK27" i="3" s="1"/>
  <c r="AL27" i="3" s="1"/>
  <c r="AC28" i="3"/>
  <c r="AB28" i="3"/>
  <c r="AA28" i="3"/>
  <c r="AF28" i="3" l="1"/>
  <c r="AH28" i="3" s="1"/>
  <c r="AI28" i="3" s="1"/>
  <c r="AJ28" i="3" s="1"/>
  <c r="AK28" i="3" s="1"/>
  <c r="AL28" i="3" s="1"/>
  <c r="O30" i="3"/>
  <c r="S30" i="3"/>
  <c r="L35" i="3"/>
  <c r="M34" i="3"/>
  <c r="AE29" i="3"/>
  <c r="Z29" i="3"/>
  <c r="J31" i="3"/>
  <c r="H32" i="3"/>
  <c r="E33" i="3"/>
  <c r="R32" i="3"/>
  <c r="Y32" i="3" s="1"/>
  <c r="N32" i="3"/>
  <c r="K36" i="3"/>
  <c r="G33" i="3"/>
  <c r="E34" i="3" l="1"/>
  <c r="R33" i="3"/>
  <c r="Y33" i="3" s="1"/>
  <c r="N33" i="3"/>
  <c r="H33" i="3"/>
  <c r="J32" i="3"/>
  <c r="S31" i="3"/>
  <c r="O31" i="3"/>
  <c r="AA29" i="3"/>
  <c r="AB29" i="3"/>
  <c r="AC29" i="3"/>
  <c r="G34" i="3"/>
  <c r="L36" i="3"/>
  <c r="M36" i="3" s="1"/>
  <c r="M35" i="3"/>
  <c r="AE30" i="3"/>
  <c r="Z30" i="3"/>
  <c r="G35" i="3" l="1"/>
  <c r="AF29" i="3"/>
  <c r="AH29" i="3" s="1"/>
  <c r="AI29" i="3" s="1"/>
  <c r="AB30" i="3"/>
  <c r="AA30" i="3"/>
  <c r="AC30" i="3"/>
  <c r="Z31" i="3"/>
  <c r="AE31" i="3"/>
  <c r="S32" i="3"/>
  <c r="O32" i="3"/>
  <c r="H34" i="3"/>
  <c r="J33" i="3"/>
  <c r="E35" i="3"/>
  <c r="R34" i="3"/>
  <c r="Y34" i="3" s="1"/>
  <c r="N34" i="3"/>
  <c r="AC31" i="3" l="1"/>
  <c r="AB31" i="3"/>
  <c r="AA31" i="3"/>
  <c r="E36" i="3"/>
  <c r="R35" i="3"/>
  <c r="Y35" i="3" s="1"/>
  <c r="N35" i="3"/>
  <c r="AJ29" i="3"/>
  <c r="AK29" i="3" s="1"/>
  <c r="AL29" i="3" s="1"/>
  <c r="S33" i="3"/>
  <c r="O33" i="3"/>
  <c r="H35" i="3"/>
  <c r="J34" i="3"/>
  <c r="Z32" i="3"/>
  <c r="AE32" i="3"/>
  <c r="AF30" i="3"/>
  <c r="AH30" i="3" s="1"/>
  <c r="AI30" i="3" s="1"/>
  <c r="G36" i="3"/>
  <c r="AF31" i="3" l="1"/>
  <c r="AH31" i="3" s="1"/>
  <c r="AI31" i="3" s="1"/>
  <c r="AJ31" i="3" s="1"/>
  <c r="AK31" i="3" s="1"/>
  <c r="AL31" i="3" s="1"/>
  <c r="R36" i="3"/>
  <c r="Y36" i="3" s="1"/>
  <c r="N36" i="3"/>
  <c r="S34" i="3"/>
  <c r="O34" i="3"/>
  <c r="H36" i="3"/>
  <c r="J36" i="3" s="1"/>
  <c r="S36" i="3" s="1"/>
  <c r="J35" i="3"/>
  <c r="Z33" i="3"/>
  <c r="AE33" i="3"/>
  <c r="AJ30" i="3"/>
  <c r="AK30" i="3" s="1"/>
  <c r="AL30" i="3" s="1"/>
  <c r="AB32" i="3"/>
  <c r="AC32" i="3"/>
  <c r="AA32" i="3"/>
  <c r="AF32" i="3" l="1"/>
  <c r="AH32" i="3" s="1"/>
  <c r="AI32" i="3" s="1"/>
  <c r="AJ32" i="3" s="1"/>
  <c r="AK32" i="3" s="1"/>
  <c r="AL32" i="3" s="1"/>
  <c r="Z36" i="3"/>
  <c r="AE36" i="3"/>
  <c r="S35" i="3"/>
  <c r="O35" i="3"/>
  <c r="Z34" i="3"/>
  <c r="AE34" i="3"/>
  <c r="O36" i="3"/>
  <c r="AA33" i="3"/>
  <c r="AB33" i="3"/>
  <c r="AC33" i="3"/>
  <c r="AF33" i="3" l="1"/>
  <c r="AH33" i="3" s="1"/>
  <c r="AI33" i="3" s="1"/>
  <c r="AJ33" i="3" s="1"/>
  <c r="AC34" i="3"/>
  <c r="AB34" i="3"/>
  <c r="AA34" i="3"/>
  <c r="AE35" i="3"/>
  <c r="Z35" i="3"/>
  <c r="AB36" i="3"/>
  <c r="AC36" i="3"/>
  <c r="AA36" i="3"/>
  <c r="AK33" i="3" l="1"/>
  <c r="AL33" i="3" s="1"/>
  <c r="AF34" i="3"/>
  <c r="AH34" i="3" s="1"/>
  <c r="AI34" i="3" s="1"/>
  <c r="AF36" i="3"/>
  <c r="AH36" i="3" s="1"/>
  <c r="AI36" i="3" s="1"/>
  <c r="AJ36" i="3"/>
  <c r="AK36" i="3" s="1"/>
  <c r="AL36" i="3" s="1"/>
  <c r="AB35" i="3"/>
  <c r="AA35" i="3"/>
  <c r="AC35" i="3"/>
  <c r="AJ34" i="3"/>
  <c r="AK34" i="3" s="1"/>
  <c r="AL34" i="3" s="1"/>
  <c r="Q15" i="1"/>
  <c r="Q16" i="1" s="1"/>
  <c r="Q17" i="1" s="1"/>
  <c r="Q18" i="1" s="1"/>
  <c r="Q19" i="1" s="1"/>
  <c r="Q20" i="1" s="1"/>
  <c r="Q21" i="1" s="1"/>
  <c r="Q22" i="1" s="1"/>
  <c r="Q23" i="1" s="1"/>
  <c r="Q24" i="1" s="1"/>
  <c r="P15" i="1"/>
  <c r="P16" i="1" s="1"/>
  <c r="P17" i="1" s="1"/>
  <c r="P18" i="1" s="1"/>
  <c r="P19" i="1" s="1"/>
  <c r="P20" i="1" s="1"/>
  <c r="P21" i="1" s="1"/>
  <c r="P22" i="1" s="1"/>
  <c r="P23" i="1" s="1"/>
  <c r="P24" i="1" s="1"/>
  <c r="M14" i="1"/>
  <c r="K15" i="1"/>
  <c r="L15" i="1"/>
  <c r="M15" i="1" s="1"/>
  <c r="T15" i="1"/>
  <c r="T16" i="1" s="1"/>
  <c r="T17" i="1" s="1"/>
  <c r="T18" i="1" s="1"/>
  <c r="T19" i="1" s="1"/>
  <c r="T20" i="1" s="1"/>
  <c r="T21" i="1" s="1"/>
  <c r="T22" i="1" s="1"/>
  <c r="T23" i="1" s="1"/>
  <c r="T24" i="1" s="1"/>
  <c r="F22" i="2" s="1"/>
  <c r="U15" i="1"/>
  <c r="U16" i="1" s="1"/>
  <c r="U17" i="1" s="1"/>
  <c r="U18" i="1" s="1"/>
  <c r="U19" i="1" s="1"/>
  <c r="U20" i="1" s="1"/>
  <c r="U21" i="1" s="1"/>
  <c r="U22" i="1" s="1"/>
  <c r="U23" i="1" s="1"/>
  <c r="U24" i="1" s="1"/>
  <c r="V15" i="1"/>
  <c r="V16" i="1" s="1"/>
  <c r="V17" i="1" s="1"/>
  <c r="V18" i="1" s="1"/>
  <c r="V19" i="1" s="1"/>
  <c r="V20" i="1" s="1"/>
  <c r="V21" i="1" s="1"/>
  <c r="V22" i="1" s="1"/>
  <c r="V23" i="1" s="1"/>
  <c r="V24" i="1" s="1"/>
  <c r="W15" i="1"/>
  <c r="W16" i="1" s="1"/>
  <c r="W17" i="1" s="1"/>
  <c r="W18" i="1" s="1"/>
  <c r="W19" i="1" s="1"/>
  <c r="W20" i="1" s="1"/>
  <c r="W21" i="1" s="1"/>
  <c r="W22" i="1" s="1"/>
  <c r="W23" i="1" s="1"/>
  <c r="W24" i="1" s="1"/>
  <c r="X15" i="1"/>
  <c r="X16" i="1" s="1"/>
  <c r="X17" i="1" s="1"/>
  <c r="X18" i="1" s="1"/>
  <c r="X19" i="1" s="1"/>
  <c r="X20" i="1" s="1"/>
  <c r="X21" i="1" s="1"/>
  <c r="X22" i="1" s="1"/>
  <c r="X23" i="1" s="1"/>
  <c r="X24" i="1" s="1"/>
  <c r="I16" i="1"/>
  <c r="I17" i="1" s="1"/>
  <c r="I18" i="1" s="1"/>
  <c r="I19" i="1" s="1"/>
  <c r="I20" i="1" s="1"/>
  <c r="I21" i="1" s="1"/>
  <c r="I22" i="1" s="1"/>
  <c r="I23" i="1" s="1"/>
  <c r="I24" i="1" s="1"/>
  <c r="L5" i="1"/>
  <c r="K5" i="1"/>
  <c r="K6" i="1" s="1"/>
  <c r="G14" i="1" s="1"/>
  <c r="L6" i="1" l="1"/>
  <c r="H14" i="1" s="1"/>
  <c r="J14" i="1" s="1"/>
  <c r="AF35" i="3"/>
  <c r="AH35" i="3" s="1"/>
  <c r="AI35" i="3" s="1"/>
  <c r="K16" i="1"/>
  <c r="L16" i="1"/>
  <c r="L17" i="1" s="1"/>
  <c r="M17" i="1" s="1"/>
  <c r="E14" i="1"/>
  <c r="F14" i="1" l="1"/>
  <c r="S14" i="1"/>
  <c r="O14" i="1"/>
  <c r="AJ35" i="3"/>
  <c r="AK35" i="3" s="1"/>
  <c r="AL35" i="3" s="1"/>
  <c r="Z14" i="1"/>
  <c r="AE14" i="1"/>
  <c r="AC14" i="1"/>
  <c r="AB14" i="1"/>
  <c r="AA14" i="1"/>
  <c r="R14" i="1"/>
  <c r="Y14" i="1" s="1"/>
  <c r="N14" i="1"/>
  <c r="K17" i="1"/>
  <c r="L18" i="1"/>
  <c r="M18" i="1" s="1"/>
  <c r="M16" i="1"/>
  <c r="K18" i="1" l="1"/>
  <c r="L19" i="1"/>
  <c r="L20" i="1" s="1"/>
  <c r="K19" i="1" l="1"/>
  <c r="M19" i="1"/>
  <c r="L21" i="1"/>
  <c r="M20" i="1"/>
  <c r="K20" i="1" l="1"/>
  <c r="L22" i="1"/>
  <c r="M21" i="1"/>
  <c r="K21" i="1" l="1"/>
  <c r="L23" i="1"/>
  <c r="M22" i="1"/>
  <c r="K22" i="1" l="1"/>
  <c r="L24" i="1"/>
  <c r="M24" i="1" s="1"/>
  <c r="M23" i="1"/>
  <c r="K23" i="1" l="1"/>
  <c r="K24" i="1" l="1"/>
  <c r="H15" i="1" l="1"/>
  <c r="F15" i="1"/>
  <c r="G15" i="1"/>
  <c r="E15" i="1"/>
  <c r="AD14" i="1"/>
  <c r="D31" i="1"/>
  <c r="AD15" i="1" l="1"/>
  <c r="AD16" i="1" s="1"/>
  <c r="AD17" i="1" s="1"/>
  <c r="AD18" i="1" s="1"/>
  <c r="AD19" i="1" s="1"/>
  <c r="AD20" i="1" s="1"/>
  <c r="AD21" i="1" s="1"/>
  <c r="AD22" i="1" s="1"/>
  <c r="AD23" i="1" s="1"/>
  <c r="AD24" i="1" s="1"/>
  <c r="AF14" i="1"/>
  <c r="AH14" i="1" s="1"/>
  <c r="AI14" i="1" s="1"/>
  <c r="N15" i="1"/>
  <c r="R15" i="1"/>
  <c r="Y15" i="1" s="1"/>
  <c r="F16" i="1"/>
  <c r="G16" i="1"/>
  <c r="E16" i="1"/>
  <c r="H16" i="1"/>
  <c r="J15" i="1"/>
  <c r="O15" i="1" s="1"/>
  <c r="AJ14" i="1" l="1"/>
  <c r="AK14" i="1" s="1"/>
  <c r="R16" i="1"/>
  <c r="Y16" i="1" s="1"/>
  <c r="S15" i="1"/>
  <c r="N16" i="1"/>
  <c r="E17" i="1"/>
  <c r="F17" i="1"/>
  <c r="H17" i="1"/>
  <c r="J16" i="1"/>
  <c r="O16" i="1" s="1"/>
  <c r="G17" i="1"/>
  <c r="Z15" i="1" l="1"/>
  <c r="AC15" i="1" s="1"/>
  <c r="AE15" i="1"/>
  <c r="S16" i="1"/>
  <c r="R17" i="1"/>
  <c r="Y17" i="1" s="1"/>
  <c r="N17" i="1"/>
  <c r="E18" i="1"/>
  <c r="F18" i="1"/>
  <c r="G18" i="1"/>
  <c r="H18" i="1"/>
  <c r="J17" i="1"/>
  <c r="O17" i="1" s="1"/>
  <c r="AB15" i="1" l="1"/>
  <c r="AA15" i="1"/>
  <c r="Z16" i="1"/>
  <c r="AC16" i="1" s="1"/>
  <c r="AE16" i="1"/>
  <c r="AF15" i="1"/>
  <c r="AH15" i="1" s="1"/>
  <c r="AI15" i="1" s="1"/>
  <c r="S17" i="1"/>
  <c r="R18" i="1"/>
  <c r="Y18" i="1" s="1"/>
  <c r="N18" i="1"/>
  <c r="E19" i="1"/>
  <c r="F19" i="1"/>
  <c r="G19" i="1"/>
  <c r="H19" i="1"/>
  <c r="J18" i="1"/>
  <c r="O18" i="1" s="1"/>
  <c r="Z17" i="1" l="1"/>
  <c r="AC17" i="1" s="1"/>
  <c r="AE17" i="1"/>
  <c r="AA16" i="1"/>
  <c r="AB16" i="1"/>
  <c r="AJ15" i="1"/>
  <c r="AK15" i="1"/>
  <c r="S18" i="1"/>
  <c r="R19" i="1"/>
  <c r="Y19" i="1" s="1"/>
  <c r="N19" i="1"/>
  <c r="F20" i="1"/>
  <c r="E20" i="1"/>
  <c r="H20" i="1"/>
  <c r="J19" i="1"/>
  <c r="O19" i="1" s="1"/>
  <c r="G20" i="1"/>
  <c r="Z18" i="1" l="1"/>
  <c r="AC18" i="1" s="1"/>
  <c r="AE18" i="1"/>
  <c r="AB17" i="1"/>
  <c r="AA17" i="1"/>
  <c r="AF17" i="1" s="1"/>
  <c r="AH17" i="1" s="1"/>
  <c r="AI17" i="1" s="1"/>
  <c r="AF16" i="1"/>
  <c r="AH16" i="1" s="1"/>
  <c r="AI16" i="1" s="1"/>
  <c r="S19" i="1"/>
  <c r="R20" i="1"/>
  <c r="Y20" i="1" s="1"/>
  <c r="N20" i="1"/>
  <c r="E21" i="1"/>
  <c r="F21" i="1"/>
  <c r="H21" i="1"/>
  <c r="J20" i="1"/>
  <c r="O20" i="1" s="1"/>
  <c r="G21" i="1"/>
  <c r="Z19" i="1" l="1"/>
  <c r="AC19" i="1" s="1"/>
  <c r="AE19" i="1"/>
  <c r="AB18" i="1"/>
  <c r="AA18" i="1"/>
  <c r="AF18" i="1" s="1"/>
  <c r="AH18" i="1" s="1"/>
  <c r="AI18" i="1" s="1"/>
  <c r="AJ17" i="1"/>
  <c r="AK17" i="1"/>
  <c r="AJ16" i="1"/>
  <c r="AK16" i="1"/>
  <c r="AB19" i="1"/>
  <c r="AA19" i="1"/>
  <c r="AF19" i="1" s="1"/>
  <c r="AH19" i="1" s="1"/>
  <c r="R21" i="1"/>
  <c r="Y21" i="1" s="1"/>
  <c r="S20" i="1"/>
  <c r="N21" i="1"/>
  <c r="E22" i="1"/>
  <c r="F22" i="1"/>
  <c r="H22" i="1"/>
  <c r="J21" i="1"/>
  <c r="O21" i="1" s="1"/>
  <c r="G22" i="1"/>
  <c r="AI19" i="1" l="1"/>
  <c r="AJ18" i="1"/>
  <c r="AK18" i="1"/>
  <c r="Z20" i="1"/>
  <c r="AC20" i="1" s="1"/>
  <c r="AE20" i="1"/>
  <c r="AB20" i="1"/>
  <c r="AA20" i="1"/>
  <c r="AF20" i="1" s="1"/>
  <c r="AH20" i="1" s="1"/>
  <c r="S21" i="1"/>
  <c r="R22" i="1"/>
  <c r="Y22" i="1" s="1"/>
  <c r="N22" i="1"/>
  <c r="E23" i="1"/>
  <c r="F23" i="1"/>
  <c r="H23" i="1"/>
  <c r="J22" i="1"/>
  <c r="O22" i="1" s="1"/>
  <c r="G23" i="1"/>
  <c r="AI20" i="1" l="1"/>
  <c r="Z21" i="1"/>
  <c r="AC21" i="1" s="1"/>
  <c r="AE21" i="1"/>
  <c r="AJ19" i="1"/>
  <c r="AK19" i="1"/>
  <c r="R23" i="1"/>
  <c r="Y23" i="1" s="1"/>
  <c r="S22" i="1"/>
  <c r="N23" i="1"/>
  <c r="E24" i="1"/>
  <c r="F24" i="1"/>
  <c r="H24" i="1"/>
  <c r="J23" i="1"/>
  <c r="O23" i="1" s="1"/>
  <c r="G24" i="1"/>
  <c r="AB21" i="1" l="1"/>
  <c r="AA21" i="1"/>
  <c r="Z22" i="1"/>
  <c r="AC22" i="1" s="1"/>
  <c r="AE22" i="1"/>
  <c r="AF21" i="1"/>
  <c r="AH21" i="1" s="1"/>
  <c r="AI21" i="1" s="1"/>
  <c r="AJ20" i="1"/>
  <c r="AK20" i="1"/>
  <c r="AB22" i="1"/>
  <c r="AA22" i="1"/>
  <c r="AF22" i="1" s="1"/>
  <c r="AH22" i="1" s="1"/>
  <c r="S23" i="1"/>
  <c r="R24" i="1"/>
  <c r="Y24" i="1" s="1"/>
  <c r="N24" i="1"/>
  <c r="J24" i="1"/>
  <c r="O24" i="1" s="1"/>
  <c r="AI22" i="1" l="1"/>
  <c r="Z23" i="1"/>
  <c r="AC23" i="1" s="1"/>
  <c r="AE23" i="1"/>
  <c r="AJ21" i="1"/>
  <c r="AK21" i="1"/>
  <c r="AA23" i="1"/>
  <c r="AB23" i="1"/>
  <c r="S24" i="1"/>
  <c r="Z24" i="1" l="1"/>
  <c r="AC24" i="1" s="1"/>
  <c r="AE24" i="1"/>
  <c r="AF23" i="1"/>
  <c r="AH23" i="1" s="1"/>
  <c r="AI23" i="1" s="1"/>
  <c r="AJ22" i="1"/>
  <c r="AK22" i="1"/>
  <c r="AB24" i="1"/>
  <c r="AA24" i="1"/>
  <c r="AF24" i="1" s="1"/>
  <c r="AH24" i="1" s="1"/>
  <c r="AI24" i="1" l="1"/>
  <c r="AJ23" i="1"/>
  <c r="AK23" i="1" s="1"/>
  <c r="AJ24" i="1" l="1"/>
  <c r="AK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tc={CF4DAFAD-22E6-486B-9D27-538E9CDE6E09}</author>
    <author>tc={42D14814-C8B5-45D0-8350-A95E693BC26C}</author>
  </authors>
  <commentList>
    <comment ref="T18" authorId="0" shapeId="0" xr:uid="{CF4DAFAD-22E6-486B-9D27-538E9CDE6E0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server has been bought at t=4 , so the expense is the sum of the cost and the inflation over the years</t>
      </text>
    </comment>
    <comment ref="D24" authorId="1" shapeId="0" xr:uid="{42D14814-C8B5-45D0-8350-A95E693BC26C}">
      <text>
        <t>[Threaded comment]
Your version of Excel allows you to read this threaded comment; however, any edits to it will get removed if the file is opened in a newer version of Excel. Learn more: https://go.microsoft.com/fwlink/?linkid=870924
Comment:
    as the value depriciated over 10 years</t>
      </text>
    </comment>
  </commentList>
</comments>
</file>

<file path=xl/sharedStrings.xml><?xml version="1.0" encoding="utf-8"?>
<sst xmlns="http://schemas.openxmlformats.org/spreadsheetml/2006/main" count="167" uniqueCount="77">
  <si>
    <t xml:space="preserve">taxes </t>
  </si>
  <si>
    <t xml:space="preserve">Inflation </t>
  </si>
  <si>
    <t>time</t>
  </si>
  <si>
    <t>R&amp;D Expenses</t>
  </si>
  <si>
    <t>Introductory costs</t>
  </si>
  <si>
    <t>without alternium</t>
  </si>
  <si>
    <t>with alternium</t>
  </si>
  <si>
    <t xml:space="preserve">International </t>
  </si>
  <si>
    <t xml:space="preserve">US and russia </t>
  </si>
  <si>
    <t>Pricing and unit costs</t>
  </si>
  <si>
    <t>Server Facilities and Costs</t>
  </si>
  <si>
    <t xml:space="preserve">G&amp;A expenses </t>
  </si>
  <si>
    <t>Advertising expenses</t>
  </si>
  <si>
    <t xml:space="preserve">expense for only old pool </t>
  </si>
  <si>
    <t xml:space="preserve">total expense after new pool </t>
  </si>
  <si>
    <t>Accounts payable</t>
  </si>
  <si>
    <t xml:space="preserve">Inventory </t>
  </si>
  <si>
    <t>side benefits</t>
  </si>
  <si>
    <t>Equity &amp; Debt</t>
  </si>
  <si>
    <t>stock price</t>
  </si>
  <si>
    <t>number of shares</t>
  </si>
  <si>
    <t>total value</t>
  </si>
  <si>
    <t xml:space="preserve">year </t>
  </si>
  <si>
    <t xml:space="preserve"> total participants </t>
  </si>
  <si>
    <t>without altrium</t>
  </si>
  <si>
    <t xml:space="preserve">US bond rate </t>
  </si>
  <si>
    <t>firm expense</t>
  </si>
  <si>
    <t>only alterium expense</t>
  </si>
  <si>
    <t>participants</t>
  </si>
  <si>
    <t xml:space="preserve">growth </t>
  </si>
  <si>
    <t xml:space="preserve">USA and Russia </t>
  </si>
  <si>
    <t>International</t>
  </si>
  <si>
    <t xml:space="preserve">with altrium </t>
  </si>
  <si>
    <t>new participants in the alternium</t>
  </si>
  <si>
    <t xml:space="preserve"> without alternium</t>
  </si>
  <si>
    <t>total revenue</t>
  </si>
  <si>
    <t>cost of capital</t>
  </si>
  <si>
    <t>no of participants (universal swaps)</t>
  </si>
  <si>
    <t xml:space="preserve">USA and russia </t>
  </si>
  <si>
    <t>international (universal swaps)</t>
  </si>
  <si>
    <t>charges (paticipants without alterium)</t>
  </si>
  <si>
    <t>charges (paticipants with alterium)</t>
  </si>
  <si>
    <t>Cost to Company(Per Participant)</t>
  </si>
  <si>
    <t>Without Alternium</t>
  </si>
  <si>
    <t>With Alternium</t>
  </si>
  <si>
    <t>US and Russia</t>
  </si>
  <si>
    <t>total amout paid by company</t>
  </si>
  <si>
    <t>cost to per participant</t>
  </si>
  <si>
    <t xml:space="preserve">total cost </t>
  </si>
  <si>
    <t>universal swaps</t>
  </si>
  <si>
    <t>alternium</t>
  </si>
  <si>
    <t>working capital(with alterium)</t>
  </si>
  <si>
    <t>revenue genrated</t>
  </si>
  <si>
    <t>total cost                   (with alternium)</t>
  </si>
  <si>
    <t>ptofits made</t>
  </si>
  <si>
    <t xml:space="preserve"> tax </t>
  </si>
  <si>
    <t>after tax increment profit</t>
  </si>
  <si>
    <t xml:space="preserve">cost of capital </t>
  </si>
  <si>
    <t>irr</t>
  </si>
  <si>
    <t>npv of assets</t>
  </si>
  <si>
    <t xml:space="preserve">npv </t>
  </si>
  <si>
    <t xml:space="preserve">intrest on debt </t>
  </si>
  <si>
    <t>intrest bearing debt amount</t>
  </si>
  <si>
    <t>total cost (including debt)</t>
  </si>
  <si>
    <t>total cost                               (with alternium)</t>
  </si>
  <si>
    <t>interntional</t>
  </si>
  <si>
    <t>Assumptions</t>
  </si>
  <si>
    <t>pv of all cash flows</t>
  </si>
  <si>
    <t>pv of all cash flows at t=0</t>
  </si>
  <si>
    <t>npv</t>
  </si>
  <si>
    <t>w</t>
  </si>
  <si>
    <t>Intrest rate (inductory costs)</t>
  </si>
  <si>
    <t>lets assume that the project goes on till 2040 , as in 8 more years with the same growth rates , same rate of cost of capital , etc as mentioned in qs 1</t>
  </si>
  <si>
    <t>profits made</t>
  </si>
  <si>
    <t>present value of all cashflows</t>
  </si>
  <si>
    <t>the given below cashflows have been taken from qs 1 (only the ones needed to calculate the npv and irr)</t>
  </si>
  <si>
    <t>total cost                      (with alternium)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</si>
</sst>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76" formatCode="[$$-409]#,##0.0000000000000000000000000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Border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1" fillId="0" borderId="1" xfId="0" applyNumberFormat="1" applyFont="1" applyBorder="1"/>
    <xf numFmtId="0" fontId="0" fillId="0" borderId="9" xfId="0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64" fontId="0" fillId="3" borderId="3" xfId="0" applyNumberFormat="1" applyFill="1" applyBorder="1" applyAlignment="1"/>
    <xf numFmtId="164" fontId="0" fillId="3" borderId="0" xfId="0" applyNumberFormat="1" applyFill="1" applyBorder="1" applyAlignment="1">
      <alignment vertical="center"/>
    </xf>
    <xf numFmtId="9" fontId="0" fillId="0" borderId="1" xfId="0" applyNumberFormat="1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/>
    <xf numFmtId="1" fontId="0" fillId="0" borderId="1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9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NumberFormat="1" applyBorder="1"/>
    <xf numFmtId="0" fontId="2" fillId="0" borderId="12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3" fillId="0" borderId="8" xfId="0" applyNumberFormat="1" applyFont="1" applyBorder="1"/>
    <xf numFmtId="164" fontId="3" fillId="0" borderId="3" xfId="0" applyNumberFormat="1" applyFont="1" applyBorder="1"/>
    <xf numFmtId="164" fontId="3" fillId="0" borderId="5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/>
    <xf numFmtId="164" fontId="4" fillId="0" borderId="8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6" fillId="0" borderId="8" xfId="0" applyNumberFormat="1" applyFont="1" applyBorder="1"/>
    <xf numFmtId="0" fontId="2" fillId="0" borderId="0" xfId="0" applyFont="1" applyBorder="1"/>
    <xf numFmtId="0" fontId="2" fillId="0" borderId="10" xfId="0" applyFont="1" applyFill="1" applyBorder="1" applyAlignment="1">
      <alignment horizontal="center" vertical="center" wrapText="1"/>
    </xf>
    <xf numFmtId="164" fontId="5" fillId="0" borderId="4" xfId="0" applyNumberFormat="1" applyFont="1" applyBorder="1"/>
    <xf numFmtId="164" fontId="2" fillId="0" borderId="4" xfId="0" applyNumberFormat="1" applyFont="1" applyBorder="1"/>
    <xf numFmtId="164" fontId="4" fillId="0" borderId="4" xfId="0" applyNumberFormat="1" applyFont="1" applyBorder="1"/>
    <xf numFmtId="164" fontId="5" fillId="0" borderId="0" xfId="0" applyNumberFormat="1" applyFont="1" applyBorder="1"/>
    <xf numFmtId="164" fontId="2" fillId="0" borderId="11" xfId="0" applyNumberFormat="1" applyFont="1" applyBorder="1"/>
    <xf numFmtId="164" fontId="5" fillId="0" borderId="8" xfId="0" applyNumberFormat="1" applyFont="1" applyBorder="1"/>
    <xf numFmtId="164" fontId="2" fillId="0" borderId="8" xfId="0" applyNumberFormat="1" applyFont="1" applyBorder="1"/>
    <xf numFmtId="164" fontId="4" fillId="0" borderId="1" xfId="0" applyNumberFormat="1" applyFont="1" applyBorder="1"/>
    <xf numFmtId="164" fontId="6" fillId="0" borderId="3" xfId="0" applyNumberFormat="1" applyFont="1" applyBorder="1"/>
    <xf numFmtId="164" fontId="4" fillId="0" borderId="12" xfId="0" applyNumberFormat="1" applyFont="1" applyBorder="1"/>
    <xf numFmtId="164" fontId="4" fillId="0" borderId="12" xfId="0" applyNumberFormat="1" applyFont="1" applyBorder="1" applyAlignment="1"/>
    <xf numFmtId="164" fontId="4" fillId="0" borderId="1" xfId="0" applyNumberFormat="1" applyFont="1" applyBorder="1" applyAlignment="1"/>
    <xf numFmtId="0" fontId="2" fillId="0" borderId="1" xfId="0" applyFont="1" applyFill="1" applyBorder="1" applyAlignment="1">
      <alignment horizontal="center" vertical="center"/>
    </xf>
    <xf numFmtId="164" fontId="3" fillId="0" borderId="11" xfId="0" applyNumberFormat="1" applyFont="1" applyBorder="1"/>
    <xf numFmtId="164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/>
    <xf numFmtId="0" fontId="4" fillId="0" borderId="9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2" fillId="0" borderId="1" xfId="0" applyNumberFormat="1" applyFont="1" applyBorder="1"/>
    <xf numFmtId="164" fontId="0" fillId="3" borderId="1" xfId="0" applyNumberFormat="1" applyFill="1" applyBorder="1" applyAlignment="1"/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4" xfId="0" applyFill="1" applyBorder="1" applyAlignment="1">
      <alignment horizontal="right"/>
    </xf>
    <xf numFmtId="0" fontId="0" fillId="6" borderId="15" xfId="0" applyFill="1" applyBorder="1"/>
    <xf numFmtId="0" fontId="0" fillId="6" borderId="2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/>
    <xf numFmtId="16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agam Shah" id="{32A44E63-41F8-4CF5-8B21-C862CDBF5462}" userId="1c8e777a8b49889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8" dT="2022-02-25T09:22:27.83" personId="{32A44E63-41F8-4CF5-8B21-C862CDBF5462}" id="{CF4DAFAD-22E6-486B-9D27-538E9CDE6E09}">
    <text>the server has been bought at t=4 , so the expense is the sum of the cost and the inflation over the years</text>
  </threadedComment>
  <threadedComment ref="D24" dT="2022-02-25T09:21:07.03" personId="{32A44E63-41F8-4CF5-8B21-C862CDBF5462}" id="{42D14814-C8B5-45D0-8350-A95E693BC26C}">
    <text>as the value depriciated over 10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B455-C93C-4CB5-9637-1232ECFB89B6}">
  <dimension ref="A2:AR31"/>
  <sheetViews>
    <sheetView tabSelected="1" topLeftCell="W5" zoomScale="115" zoomScaleNormal="115" workbookViewId="0">
      <selection activeCell="AM20" sqref="AM20"/>
    </sheetView>
  </sheetViews>
  <sheetFormatPr defaultRowHeight="15" x14ac:dyDescent="0.25"/>
  <cols>
    <col min="1" max="1" width="20" style="3" customWidth="1"/>
    <col min="3" max="3" width="19.42578125" customWidth="1"/>
    <col min="4" max="4" width="24.5703125" customWidth="1"/>
    <col min="5" max="6" width="18.42578125" customWidth="1"/>
    <col min="7" max="7" width="16.7109375" customWidth="1"/>
    <col min="8" max="10" width="16.5703125" customWidth="1"/>
    <col min="11" max="11" width="19.140625" customWidth="1"/>
    <col min="12" max="12" width="19.7109375" customWidth="1"/>
    <col min="13" max="17" width="18.140625" customWidth="1"/>
    <col min="18" max="18" width="21" customWidth="1"/>
    <col min="19" max="19" width="23.42578125" customWidth="1"/>
    <col min="20" max="20" width="18.5703125" customWidth="1"/>
    <col min="21" max="21" width="17.85546875" customWidth="1"/>
    <col min="22" max="22" width="20.42578125" customWidth="1"/>
    <col min="23" max="23" width="17.85546875" customWidth="1"/>
    <col min="24" max="24" width="18.140625" customWidth="1"/>
    <col min="25" max="27" width="20.5703125" customWidth="1"/>
    <col min="28" max="28" width="21.140625" customWidth="1"/>
    <col min="29" max="29" width="20.5703125" customWidth="1"/>
    <col min="30" max="30" width="18" customWidth="1"/>
    <col min="31" max="31" width="20.7109375" customWidth="1"/>
    <col min="32" max="32" width="20.28515625" customWidth="1"/>
    <col min="33" max="34" width="22.42578125" customWidth="1"/>
    <col min="35" max="35" width="21.42578125" customWidth="1"/>
    <col min="36" max="36" width="18.42578125" customWidth="1"/>
    <col min="37" max="37" width="22.28515625" customWidth="1"/>
  </cols>
  <sheetData>
    <row r="2" spans="1:44" ht="18" customHeight="1" x14ac:dyDescent="0.25">
      <c r="J2" s="6"/>
      <c r="K2" s="128" t="s">
        <v>37</v>
      </c>
      <c r="L2" s="128"/>
    </row>
    <row r="3" spans="1:44" ht="27.75" customHeight="1" x14ac:dyDescent="0.25">
      <c r="D3" s="29"/>
      <c r="E3" s="129" t="s">
        <v>28</v>
      </c>
      <c r="F3" s="130"/>
      <c r="G3" s="23"/>
      <c r="H3" s="23"/>
      <c r="I3" s="23"/>
      <c r="J3" s="6"/>
      <c r="K3" s="15" t="s">
        <v>38</v>
      </c>
      <c r="L3" s="6" t="s">
        <v>65</v>
      </c>
      <c r="M3" s="3"/>
      <c r="N3" s="3"/>
      <c r="O3" s="3"/>
      <c r="P3" s="3"/>
      <c r="Q3" s="3"/>
      <c r="R3" s="3"/>
    </row>
    <row r="4" spans="1:44" ht="18.75" customHeight="1" x14ac:dyDescent="0.25">
      <c r="A4" s="3" t="s">
        <v>0</v>
      </c>
      <c r="B4" s="1">
        <v>0.1</v>
      </c>
      <c r="D4" s="30"/>
      <c r="E4" s="18" t="s">
        <v>24</v>
      </c>
      <c r="F4" s="5" t="s">
        <v>32</v>
      </c>
      <c r="G4" s="23"/>
      <c r="H4" s="23"/>
      <c r="J4" s="15">
        <v>2020</v>
      </c>
      <c r="K4" s="6">
        <v>45000000</v>
      </c>
      <c r="L4" s="6">
        <v>30000000</v>
      </c>
    </row>
    <row r="5" spans="1:44" x14ac:dyDescent="0.25">
      <c r="A5" s="10" t="s">
        <v>25</v>
      </c>
      <c r="B5" s="1">
        <v>0.02</v>
      </c>
      <c r="D5" s="9"/>
      <c r="E5" s="6" t="s">
        <v>29</v>
      </c>
      <c r="F5" s="6" t="s">
        <v>29</v>
      </c>
      <c r="G5" s="19"/>
      <c r="H5" s="19"/>
      <c r="J5" s="15">
        <v>2021</v>
      </c>
      <c r="K5" s="6">
        <f>K4*(1+g)</f>
        <v>47250000</v>
      </c>
      <c r="L5" s="6">
        <f>L4*(1+gr)</f>
        <v>32400000.000000004</v>
      </c>
    </row>
    <row r="6" spans="1:44" x14ac:dyDescent="0.25">
      <c r="A6" s="3" t="s">
        <v>1</v>
      </c>
      <c r="B6" s="2">
        <v>1.4999999999999999E-2</v>
      </c>
      <c r="D6" s="6" t="s">
        <v>30</v>
      </c>
      <c r="E6" s="28">
        <v>0.05</v>
      </c>
      <c r="F6" s="28">
        <v>0.05</v>
      </c>
      <c r="G6" s="39"/>
      <c r="H6" s="19"/>
      <c r="J6" s="15">
        <v>2022</v>
      </c>
      <c r="K6" s="6">
        <f>K5*(1+g)</f>
        <v>49612500</v>
      </c>
      <c r="L6" s="6">
        <f>L5*(1+gr)</f>
        <v>34992000.000000007</v>
      </c>
    </row>
    <row r="7" spans="1:44" x14ac:dyDescent="0.25">
      <c r="A7" s="3" t="s">
        <v>36</v>
      </c>
      <c r="B7" s="34">
        <v>0.11</v>
      </c>
      <c r="D7" s="6" t="s">
        <v>31</v>
      </c>
      <c r="E7" s="28">
        <v>0.08</v>
      </c>
      <c r="F7" s="28">
        <v>0.1</v>
      </c>
      <c r="G7" s="19"/>
      <c r="H7" s="19"/>
    </row>
    <row r="8" spans="1:44" ht="44.25" customHeight="1" x14ac:dyDescent="0.25">
      <c r="A8" s="36" t="s">
        <v>40</v>
      </c>
      <c r="B8" s="35">
        <v>100</v>
      </c>
      <c r="AF8" s="100" t="s">
        <v>62</v>
      </c>
      <c r="AG8" s="101">
        <v>2432000000</v>
      </c>
    </row>
    <row r="9" spans="1:44" ht="38.25" customHeight="1" x14ac:dyDescent="0.25">
      <c r="A9" s="10" t="s">
        <v>41</v>
      </c>
      <c r="B9" s="35">
        <v>50</v>
      </c>
      <c r="AO9" s="4"/>
      <c r="AP9" s="4"/>
      <c r="AQ9" s="4"/>
    </row>
    <row r="10" spans="1:44" x14ac:dyDescent="0.25">
      <c r="AO10" s="4"/>
      <c r="AP10" s="4"/>
      <c r="AQ10" s="4"/>
    </row>
    <row r="11" spans="1:44" x14ac:dyDescent="0.25">
      <c r="E11" s="119" t="s">
        <v>23</v>
      </c>
      <c r="F11" s="131"/>
      <c r="G11" s="131"/>
      <c r="H11" s="131"/>
      <c r="I11" s="131"/>
      <c r="J11" s="120"/>
      <c r="K11" s="133" t="s">
        <v>42</v>
      </c>
      <c r="L11" s="134"/>
      <c r="M11" s="135"/>
      <c r="N11" s="41"/>
      <c r="O11" s="41"/>
      <c r="P11" s="117" t="s">
        <v>9</v>
      </c>
      <c r="Q11" s="117"/>
      <c r="R11" s="117"/>
      <c r="S11" s="117"/>
      <c r="T11" s="31"/>
      <c r="U11" s="31"/>
      <c r="AP11" s="4"/>
      <c r="AQ11" s="4"/>
      <c r="AR11" s="4"/>
    </row>
    <row r="12" spans="1:44" ht="15" customHeight="1" x14ac:dyDescent="0.25">
      <c r="E12" s="118" t="s">
        <v>34</v>
      </c>
      <c r="F12" s="118"/>
      <c r="G12" s="123" t="s">
        <v>6</v>
      </c>
      <c r="H12" s="124"/>
      <c r="I12" s="124"/>
      <c r="J12" s="125"/>
      <c r="K12" s="126" t="s">
        <v>43</v>
      </c>
      <c r="L12" s="127"/>
      <c r="M12" s="37" t="s">
        <v>44</v>
      </c>
      <c r="N12" s="119" t="s">
        <v>46</v>
      </c>
      <c r="O12" s="120"/>
      <c r="P12" s="117" t="s">
        <v>47</v>
      </c>
      <c r="Q12" s="117"/>
      <c r="R12" s="117" t="s">
        <v>48</v>
      </c>
      <c r="S12" s="117"/>
      <c r="T12" s="66"/>
      <c r="U12" s="119" t="s">
        <v>11</v>
      </c>
      <c r="V12" s="120"/>
      <c r="W12" s="121" t="s">
        <v>12</v>
      </c>
      <c r="X12" s="122"/>
      <c r="Y12" s="132" t="s">
        <v>35</v>
      </c>
      <c r="Z12" s="132"/>
      <c r="AA12" s="117" t="s">
        <v>51</v>
      </c>
      <c r="AB12" s="117"/>
      <c r="AC12" s="117"/>
      <c r="AK12" s="4"/>
      <c r="AL12" s="4"/>
      <c r="AM12" s="4"/>
    </row>
    <row r="13" spans="1:44" ht="51" customHeight="1" x14ac:dyDescent="0.25">
      <c r="A13" s="37" t="s">
        <v>22</v>
      </c>
      <c r="B13" s="37" t="s">
        <v>2</v>
      </c>
      <c r="C13" s="89" t="s">
        <v>3</v>
      </c>
      <c r="D13" s="90" t="s">
        <v>4</v>
      </c>
      <c r="E13" s="16" t="s">
        <v>8</v>
      </c>
      <c r="F13" s="24" t="s">
        <v>7</v>
      </c>
      <c r="G13" s="50" t="s">
        <v>8</v>
      </c>
      <c r="H13" s="51" t="s">
        <v>7</v>
      </c>
      <c r="I13" s="40" t="s">
        <v>33</v>
      </c>
      <c r="J13" s="52" t="s">
        <v>39</v>
      </c>
      <c r="K13" s="38" t="s">
        <v>45</v>
      </c>
      <c r="L13" s="38" t="s">
        <v>31</v>
      </c>
      <c r="M13" s="37" t="s">
        <v>31</v>
      </c>
      <c r="N13" s="11" t="s">
        <v>5</v>
      </c>
      <c r="O13" s="52" t="s">
        <v>6</v>
      </c>
      <c r="P13" s="42" t="s">
        <v>49</v>
      </c>
      <c r="Q13" s="37" t="s">
        <v>50</v>
      </c>
      <c r="R13" s="42" t="s">
        <v>5</v>
      </c>
      <c r="S13" s="63" t="s">
        <v>6</v>
      </c>
      <c r="T13" s="67" t="s">
        <v>10</v>
      </c>
      <c r="U13" s="52" t="s">
        <v>26</v>
      </c>
      <c r="V13" s="52" t="s">
        <v>27</v>
      </c>
      <c r="W13" s="13" t="s">
        <v>13</v>
      </c>
      <c r="X13" s="52" t="s">
        <v>14</v>
      </c>
      <c r="Y13" s="15" t="s">
        <v>5</v>
      </c>
      <c r="Z13" s="37" t="s">
        <v>6</v>
      </c>
      <c r="AA13" s="37" t="s">
        <v>52</v>
      </c>
      <c r="AB13" s="52" t="s">
        <v>16</v>
      </c>
      <c r="AC13" s="37" t="s">
        <v>15</v>
      </c>
      <c r="AD13" s="37" t="s">
        <v>17</v>
      </c>
      <c r="AE13" s="80" t="s">
        <v>35</v>
      </c>
      <c r="AF13" s="40" t="s">
        <v>53</v>
      </c>
      <c r="AG13" s="102" t="s">
        <v>61</v>
      </c>
      <c r="AH13" s="103" t="s">
        <v>63</v>
      </c>
      <c r="AI13" s="80" t="s">
        <v>73</v>
      </c>
      <c r="AJ13" s="59" t="s">
        <v>55</v>
      </c>
      <c r="AK13" s="82" t="s">
        <v>56</v>
      </c>
      <c r="AL13" s="4"/>
    </row>
    <row r="14" spans="1:44" x14ac:dyDescent="0.25">
      <c r="A14" s="110">
        <v>2022</v>
      </c>
      <c r="B14" s="96">
        <v>0</v>
      </c>
      <c r="C14" s="91">
        <v>150000000</v>
      </c>
      <c r="D14" s="70">
        <v>1000000000</v>
      </c>
      <c r="E14" s="25">
        <f>K6</f>
        <v>49612500</v>
      </c>
      <c r="F14" s="7">
        <f>L6</f>
        <v>34992000.000000007</v>
      </c>
      <c r="G14" s="53">
        <f>K6</f>
        <v>49612500</v>
      </c>
      <c r="H14" s="53">
        <f>L6</f>
        <v>34992000.000000007</v>
      </c>
      <c r="I14" s="54">
        <v>0</v>
      </c>
      <c r="J14" s="55">
        <f>H14-I14</f>
        <v>34992000.000000007</v>
      </c>
      <c r="K14" s="20">
        <v>36</v>
      </c>
      <c r="L14" s="20">
        <v>48</v>
      </c>
      <c r="M14" s="59">
        <f>L14*60%</f>
        <v>28.799999999999997</v>
      </c>
      <c r="N14" s="43">
        <f>(K14*E14)+(L14*F14)</f>
        <v>3465666000.0000005</v>
      </c>
      <c r="O14" s="60">
        <f>(K14*G14)+(J14*L14)+(I14*M14)</f>
        <v>3465666000.0000005</v>
      </c>
      <c r="P14" s="20">
        <v>100</v>
      </c>
      <c r="Q14" s="59">
        <v>50</v>
      </c>
      <c r="R14" s="46">
        <f>(E14+F14)*P14</f>
        <v>8460450000</v>
      </c>
      <c r="S14" s="64">
        <f>((G14+J14)*P14)+(I14*Q14)</f>
        <v>8460450000</v>
      </c>
      <c r="T14" s="68">
        <v>600000000</v>
      </c>
      <c r="U14" s="69">
        <v>400000000</v>
      </c>
      <c r="V14" s="69">
        <v>400000000</v>
      </c>
      <c r="W14" s="17">
        <v>500000000</v>
      </c>
      <c r="X14" s="75">
        <v>500000000</v>
      </c>
      <c r="Y14" s="48">
        <f>R14</f>
        <v>8460450000</v>
      </c>
      <c r="Z14" s="76">
        <f>S14</f>
        <v>8460450000</v>
      </c>
      <c r="AA14" s="60">
        <f t="shared" ref="AA14:AA21" si="0">5%*Z14</f>
        <v>423022500</v>
      </c>
      <c r="AB14" s="60">
        <f t="shared" ref="AB14:AB21" si="1">10%*Z14</f>
        <v>846045000</v>
      </c>
      <c r="AC14" s="78">
        <f t="shared" ref="AC14:AC24" si="2">6%*Z14</f>
        <v>507627000</v>
      </c>
      <c r="AD14" s="59">
        <f>30000000</f>
        <v>30000000</v>
      </c>
      <c r="AE14" s="150">
        <f>S14</f>
        <v>8460450000</v>
      </c>
      <c r="AF14" s="77">
        <f>C14+D14+O14+AA14+AB14+AC14-AD14</f>
        <v>6362360500</v>
      </c>
      <c r="AG14" s="104">
        <f>br*$AG$8</f>
        <v>48640000</v>
      </c>
      <c r="AH14" s="60">
        <f>AF14+AG14</f>
        <v>6411000500</v>
      </c>
      <c r="AI14" s="83">
        <f>AE14-AH14</f>
        <v>2049449500</v>
      </c>
      <c r="AJ14" s="75">
        <f t="shared" ref="AJ14:AJ24" si="3">AI14*t</f>
        <v>204944950</v>
      </c>
      <c r="AK14" s="151">
        <f>AI14-AJ14</f>
        <v>1844504550</v>
      </c>
      <c r="AL14" s="4"/>
    </row>
    <row r="15" spans="1:44" x14ac:dyDescent="0.25">
      <c r="A15" s="95">
        <v>2023</v>
      </c>
      <c r="B15" s="96">
        <v>1</v>
      </c>
      <c r="C15" s="92"/>
      <c r="D15" s="69"/>
      <c r="E15" s="32">
        <f t="shared" ref="E15:E24" si="4">E14*(1+g)</f>
        <v>52093125</v>
      </c>
      <c r="F15" s="8">
        <f t="shared" ref="F15:F24" si="5">F14*(1+gr)</f>
        <v>37791360.000000007</v>
      </c>
      <c r="G15" s="56">
        <f t="shared" ref="G15:G24" si="6">G14*(1+g)</f>
        <v>52093125</v>
      </c>
      <c r="H15" s="56">
        <f>H14*(1+grw)</f>
        <v>38491200.000000015</v>
      </c>
      <c r="I15" s="57">
        <v>5000000</v>
      </c>
      <c r="J15" s="55">
        <f t="shared" ref="J15:J24" si="7">H15-I15</f>
        <v>33491200.000000015</v>
      </c>
      <c r="K15" s="20">
        <f t="shared" ref="K15:K24" si="8">K14*(1+inf)</f>
        <v>36.54</v>
      </c>
      <c r="L15" s="20">
        <f t="shared" ref="L15:L24" si="9">L14*(1+inf)</f>
        <v>48.72</v>
      </c>
      <c r="M15" s="59">
        <f t="shared" ref="M15:M24" si="10">L15*60%</f>
        <v>29.231999999999999</v>
      </c>
      <c r="N15" s="43">
        <f t="shared" ref="N15:N24" si="11">(K15*E15)+(L15*F15)</f>
        <v>3744677846.7000003</v>
      </c>
      <c r="O15" s="60">
        <f>(K15*G15)+(J15*L15)+(I15*M15)</f>
        <v>3681334051.500001</v>
      </c>
      <c r="P15" s="20">
        <f t="shared" ref="P15:P24" si="12">P14*(1+inf)</f>
        <v>101.49999999999999</v>
      </c>
      <c r="Q15" s="59">
        <f t="shared" ref="Q15:Q24" si="13">Q14*(1+inf)</f>
        <v>50.749999999999993</v>
      </c>
      <c r="R15" s="46">
        <f t="shared" ref="R15:R24" si="14">(E15+F15)*P15</f>
        <v>9123275227.4999981</v>
      </c>
      <c r="S15" s="64">
        <f t="shared" ref="S15:S24" si="15">((G15+J15)*P15)+(I15*Q15)</f>
        <v>8940558987.5</v>
      </c>
      <c r="T15" s="68">
        <f t="shared" ref="T15:T24" si="16">T14*(1+inf)</f>
        <v>609000000</v>
      </c>
      <c r="U15" s="69">
        <f>U14*(1+5%)</f>
        <v>420000000</v>
      </c>
      <c r="V15" s="69">
        <f>V14*(1+10%)</f>
        <v>440000000.00000006</v>
      </c>
      <c r="W15" s="17">
        <f>W14*(1+5%)</f>
        <v>525000000</v>
      </c>
      <c r="X15" s="75">
        <f>X14*(1+15%)</f>
        <v>575000000</v>
      </c>
      <c r="Y15" s="48">
        <f t="shared" ref="Y15:Y24" si="17">R15</f>
        <v>9123275227.4999981</v>
      </c>
      <c r="Z15" s="76">
        <f t="shared" ref="Z15:Z24" si="18">S15</f>
        <v>8940558987.5</v>
      </c>
      <c r="AA15" s="60">
        <f t="shared" si="0"/>
        <v>447027949.375</v>
      </c>
      <c r="AB15" s="60">
        <f t="shared" si="1"/>
        <v>894055898.75</v>
      </c>
      <c r="AC15" s="78">
        <f t="shared" si="2"/>
        <v>536433539.25</v>
      </c>
      <c r="AD15" s="59">
        <f t="shared" ref="AD15:AD24" si="19">AD14*(1.03)</f>
        <v>30900000</v>
      </c>
      <c r="AE15" s="150">
        <f t="shared" ref="AE15:AE24" si="20">S15</f>
        <v>8940558987.5</v>
      </c>
      <c r="AF15" s="60">
        <f>O15+X15+AA15+AB15+AC15-AD15</f>
        <v>6102951438.875001</v>
      </c>
      <c r="AG15" s="104">
        <f t="shared" ref="AG14:AG24" si="21">br*$AG$8</f>
        <v>48640000</v>
      </c>
      <c r="AH15" s="60">
        <f t="shared" ref="AH15:AH24" si="22">AF15+AG15</f>
        <v>6151591438.875001</v>
      </c>
      <c r="AI15" s="83">
        <f t="shared" ref="AI15:AI24" si="23">AE15-AH15</f>
        <v>2788967548.624999</v>
      </c>
      <c r="AJ15" s="75">
        <f t="shared" si="3"/>
        <v>278896754.86249989</v>
      </c>
      <c r="AK15" s="151">
        <f t="shared" ref="AK15:AK24" si="24">AI15-AJ15</f>
        <v>2510070793.7624993</v>
      </c>
      <c r="AL15" s="4"/>
    </row>
    <row r="16" spans="1:44" x14ac:dyDescent="0.25">
      <c r="A16" s="95">
        <v>2024</v>
      </c>
      <c r="B16" s="96">
        <v>2</v>
      </c>
      <c r="C16" s="92"/>
      <c r="D16" s="69"/>
      <c r="E16" s="32">
        <f t="shared" si="4"/>
        <v>54697781.25</v>
      </c>
      <c r="F16" s="8">
        <f t="shared" si="5"/>
        <v>40814668.800000012</v>
      </c>
      <c r="G16" s="56">
        <f t="shared" si="6"/>
        <v>54697781.25</v>
      </c>
      <c r="H16" s="56">
        <f t="shared" ref="H16:H24" si="25">H15*(1.1)</f>
        <v>42340320.000000022</v>
      </c>
      <c r="I16" s="57">
        <f>I15*(1+8%)</f>
        <v>5400000</v>
      </c>
      <c r="J16" s="55">
        <f t="shared" si="7"/>
        <v>36940320.000000022</v>
      </c>
      <c r="K16" s="20">
        <f t="shared" si="8"/>
        <v>37.088099999999997</v>
      </c>
      <c r="L16" s="20">
        <f t="shared" si="9"/>
        <v>49.450799999999994</v>
      </c>
      <c r="M16" s="59">
        <f t="shared" si="10"/>
        <v>29.670479999999994</v>
      </c>
      <c r="N16" s="43">
        <f t="shared" si="11"/>
        <v>4046954804.6731653</v>
      </c>
      <c r="O16" s="60">
        <f t="shared" ref="O16:O24" si="26">(K16*G16)+(J16*L16)+(I16*M16)</f>
        <v>4015585749.0341258</v>
      </c>
      <c r="P16" s="20">
        <f t="shared" si="12"/>
        <v>103.02249999999998</v>
      </c>
      <c r="Q16" s="59">
        <f t="shared" si="13"/>
        <v>51.51124999999999</v>
      </c>
      <c r="R16" s="46">
        <f t="shared" si="14"/>
        <v>9839931385.276125</v>
      </c>
      <c r="S16" s="64">
        <f t="shared" si="15"/>
        <v>9718947036.0281258</v>
      </c>
      <c r="T16" s="68">
        <f t="shared" si="16"/>
        <v>618135000</v>
      </c>
      <c r="U16" s="69">
        <f t="shared" ref="U16:U24" si="27">U15*(1+5%)</f>
        <v>441000000</v>
      </c>
      <c r="V16" s="69">
        <f t="shared" ref="V16:V24" si="28">V15*(1+10%)</f>
        <v>484000000.00000012</v>
      </c>
      <c r="W16" s="17">
        <f t="shared" ref="W16:W24" si="29">W15*(1+5%)</f>
        <v>551250000</v>
      </c>
      <c r="X16" s="75">
        <f t="shared" ref="X16:X24" si="30">X15*(1+15%)</f>
        <v>661250000</v>
      </c>
      <c r="Y16" s="48">
        <f t="shared" si="17"/>
        <v>9839931385.276125</v>
      </c>
      <c r="Z16" s="76">
        <f t="shared" si="18"/>
        <v>9718947036.0281258</v>
      </c>
      <c r="AA16" s="60">
        <f t="shared" si="0"/>
        <v>485947351.80140632</v>
      </c>
      <c r="AB16" s="60">
        <f t="shared" si="1"/>
        <v>971894703.60281265</v>
      </c>
      <c r="AC16" s="78">
        <f t="shared" si="2"/>
        <v>583136822.16168749</v>
      </c>
      <c r="AD16" s="59">
        <f t="shared" si="19"/>
        <v>31827000</v>
      </c>
      <c r="AE16" s="150">
        <f t="shared" si="20"/>
        <v>9718947036.0281258</v>
      </c>
      <c r="AF16" s="60">
        <f>O16+X16+AA16+AB16+AC16-AD16</f>
        <v>6685987626.6000328</v>
      </c>
      <c r="AG16" s="104">
        <f t="shared" si="21"/>
        <v>48640000</v>
      </c>
      <c r="AH16" s="60">
        <f t="shared" si="22"/>
        <v>6734627626.6000328</v>
      </c>
      <c r="AI16" s="83">
        <f t="shared" si="23"/>
        <v>2984319409.428093</v>
      </c>
      <c r="AJ16" s="75">
        <f t="shared" si="3"/>
        <v>298431940.94280928</v>
      </c>
      <c r="AK16" s="151">
        <f t="shared" si="24"/>
        <v>2685887468.4852839</v>
      </c>
      <c r="AL16" s="4"/>
    </row>
    <row r="17" spans="1:40" x14ac:dyDescent="0.25">
      <c r="A17" s="95">
        <v>2025</v>
      </c>
      <c r="B17" s="96">
        <v>3</v>
      </c>
      <c r="C17" s="92"/>
      <c r="D17" s="69"/>
      <c r="E17" s="32">
        <f t="shared" si="4"/>
        <v>57432670.3125</v>
      </c>
      <c r="F17" s="8">
        <f t="shared" si="5"/>
        <v>44079842.304000013</v>
      </c>
      <c r="G17" s="56">
        <f t="shared" si="6"/>
        <v>57432670.3125</v>
      </c>
      <c r="H17" s="56">
        <f t="shared" si="25"/>
        <v>46574352.00000003</v>
      </c>
      <c r="I17" s="57">
        <f t="shared" ref="I17:I24" si="31">I16*(1+8%)</f>
        <v>5832000</v>
      </c>
      <c r="J17" s="55">
        <f t="shared" si="7"/>
        <v>40742352.00000003</v>
      </c>
      <c r="K17" s="20">
        <f t="shared" si="8"/>
        <v>37.644421499999993</v>
      </c>
      <c r="L17" s="20">
        <f t="shared" si="9"/>
        <v>50.192561999999988</v>
      </c>
      <c r="M17" s="59">
        <f t="shared" si="10"/>
        <v>30.115537199999991</v>
      </c>
      <c r="N17" s="43">
        <f t="shared" si="11"/>
        <v>4374499866.9080296</v>
      </c>
      <c r="O17" s="60">
        <f t="shared" si="26"/>
        <v>4382616490.8505116</v>
      </c>
      <c r="P17" s="20">
        <f t="shared" si="12"/>
        <v>104.56783749999997</v>
      </c>
      <c r="Q17" s="59">
        <f t="shared" si="13"/>
        <v>52.283918749999984</v>
      </c>
      <c r="R17" s="46">
        <f t="shared" si="14"/>
        <v>10614943923.498871</v>
      </c>
      <c r="S17" s="64">
        <f t="shared" si="15"/>
        <v>10570869593.882374</v>
      </c>
      <c r="T17" s="68">
        <f t="shared" si="16"/>
        <v>627407024.99999988</v>
      </c>
      <c r="U17" s="69">
        <f t="shared" si="27"/>
        <v>463050000</v>
      </c>
      <c r="V17" s="69">
        <f t="shared" si="28"/>
        <v>532400000.00000018</v>
      </c>
      <c r="W17" s="17">
        <f t="shared" si="29"/>
        <v>578812500</v>
      </c>
      <c r="X17" s="75">
        <f t="shared" si="30"/>
        <v>760437500</v>
      </c>
      <c r="Y17" s="48">
        <f t="shared" si="17"/>
        <v>10614943923.498871</v>
      </c>
      <c r="Z17" s="76">
        <f t="shared" si="18"/>
        <v>10570869593.882374</v>
      </c>
      <c r="AA17" s="60">
        <f t="shared" si="0"/>
        <v>528543479.69411874</v>
      </c>
      <c r="AB17" s="60">
        <f t="shared" si="1"/>
        <v>1057086959.3882375</v>
      </c>
      <c r="AC17" s="78">
        <f t="shared" si="2"/>
        <v>634252175.63294244</v>
      </c>
      <c r="AD17" s="59">
        <f t="shared" si="19"/>
        <v>32781810</v>
      </c>
      <c r="AE17" s="150">
        <f t="shared" si="20"/>
        <v>10570869593.882374</v>
      </c>
      <c r="AF17" s="60">
        <f>O17+X17+AA17+AB17+AC17-AD17</f>
        <v>7330154795.5658092</v>
      </c>
      <c r="AG17" s="104">
        <f t="shared" si="21"/>
        <v>48640000</v>
      </c>
      <c r="AH17" s="60">
        <f t="shared" si="22"/>
        <v>7378794795.5658092</v>
      </c>
      <c r="AI17" s="83">
        <f t="shared" si="23"/>
        <v>3192074798.3165646</v>
      </c>
      <c r="AJ17" s="75">
        <f t="shared" si="3"/>
        <v>319207479.83165646</v>
      </c>
      <c r="AK17" s="151">
        <f t="shared" si="24"/>
        <v>2872867318.4849081</v>
      </c>
      <c r="AL17" s="4"/>
    </row>
    <row r="18" spans="1:40" x14ac:dyDescent="0.25">
      <c r="A18" s="95">
        <v>2026</v>
      </c>
      <c r="B18" s="96">
        <v>4</v>
      </c>
      <c r="C18" s="92"/>
      <c r="D18" s="69"/>
      <c r="E18" s="32">
        <f t="shared" si="4"/>
        <v>60304303.828125</v>
      </c>
      <c r="F18" s="8">
        <f t="shared" si="5"/>
        <v>47606229.688320018</v>
      </c>
      <c r="G18" s="56">
        <f t="shared" si="6"/>
        <v>60304303.828125</v>
      </c>
      <c r="H18" s="56">
        <f t="shared" si="25"/>
        <v>51231787.20000004</v>
      </c>
      <c r="I18" s="57">
        <f t="shared" si="31"/>
        <v>6298560</v>
      </c>
      <c r="J18" s="55">
        <f t="shared" si="7"/>
        <v>44933227.20000004</v>
      </c>
      <c r="K18" s="20">
        <f t="shared" si="8"/>
        <v>38.209087822499988</v>
      </c>
      <c r="L18" s="20">
        <f t="shared" si="9"/>
        <v>50.94545042999998</v>
      </c>
      <c r="M18" s="59">
        <f t="shared" si="10"/>
        <v>30.567270257999986</v>
      </c>
      <c r="N18" s="43">
        <f t="shared" si="11"/>
        <v>4729493255.7890511</v>
      </c>
      <c r="O18" s="60">
        <f t="shared" si="26"/>
        <v>4785845725.7773085</v>
      </c>
      <c r="P18" s="20">
        <f t="shared" si="12"/>
        <v>106.13635506249996</v>
      </c>
      <c r="Q18" s="59">
        <f t="shared" si="13"/>
        <v>53.068177531249979</v>
      </c>
      <c r="R18" s="46">
        <f t="shared" si="14"/>
        <v>11453230700.28521</v>
      </c>
      <c r="S18" s="64">
        <f t="shared" si="15"/>
        <v>11503781059.373167</v>
      </c>
      <c r="T18" s="70">
        <f t="shared" si="16"/>
        <v>636818130.37499976</v>
      </c>
      <c r="U18" s="69">
        <f t="shared" si="27"/>
        <v>486202500</v>
      </c>
      <c r="V18" s="69">
        <f t="shared" si="28"/>
        <v>585640000.00000024</v>
      </c>
      <c r="W18" s="17">
        <f t="shared" si="29"/>
        <v>607753125</v>
      </c>
      <c r="X18" s="75">
        <f t="shared" si="30"/>
        <v>874503124.99999988</v>
      </c>
      <c r="Y18" s="48">
        <f t="shared" si="17"/>
        <v>11453230700.28521</v>
      </c>
      <c r="Z18" s="76">
        <f t="shared" si="18"/>
        <v>11503781059.373167</v>
      </c>
      <c r="AA18" s="60">
        <f t="shared" si="0"/>
        <v>575189052.96865833</v>
      </c>
      <c r="AB18" s="60">
        <f t="shared" si="1"/>
        <v>1150378105.9373167</v>
      </c>
      <c r="AC18" s="78">
        <f t="shared" si="2"/>
        <v>690226863.56238997</v>
      </c>
      <c r="AD18" s="59">
        <f t="shared" si="19"/>
        <v>33765264.300000004</v>
      </c>
      <c r="AE18" s="150">
        <f t="shared" si="20"/>
        <v>11503781059.373167</v>
      </c>
      <c r="AF18" s="60">
        <f>O18+X18+AA18+AB18+AC18+T18-AD18</f>
        <v>8679195739.3206749</v>
      </c>
      <c r="AG18" s="104">
        <f t="shared" si="21"/>
        <v>48640000</v>
      </c>
      <c r="AH18" s="60">
        <f t="shared" si="22"/>
        <v>8727835739.3206749</v>
      </c>
      <c r="AI18" s="83">
        <f t="shared" si="23"/>
        <v>2775945320.0524921</v>
      </c>
      <c r="AJ18" s="75">
        <f t="shared" si="3"/>
        <v>277594532.0052492</v>
      </c>
      <c r="AK18" s="151">
        <f t="shared" si="24"/>
        <v>2498350788.0472431</v>
      </c>
      <c r="AL18" s="4"/>
    </row>
    <row r="19" spans="1:40" x14ac:dyDescent="0.25">
      <c r="A19" s="95">
        <v>2027</v>
      </c>
      <c r="B19" s="96">
        <v>5</v>
      </c>
      <c r="C19" s="92"/>
      <c r="D19" s="69"/>
      <c r="E19" s="32">
        <f t="shared" si="4"/>
        <v>63319519.01953125</v>
      </c>
      <c r="F19" s="8">
        <f t="shared" si="5"/>
        <v>51414728.063385621</v>
      </c>
      <c r="G19" s="56">
        <f t="shared" si="6"/>
        <v>63319519.01953125</v>
      </c>
      <c r="H19" s="56">
        <f t="shared" si="25"/>
        <v>56354965.920000046</v>
      </c>
      <c r="I19" s="57">
        <f t="shared" si="31"/>
        <v>6802444.8000000007</v>
      </c>
      <c r="J19" s="55">
        <f t="shared" si="7"/>
        <v>49552521.120000049</v>
      </c>
      <c r="K19" s="20">
        <f t="shared" si="8"/>
        <v>38.782224139837481</v>
      </c>
      <c r="L19" s="20">
        <f t="shared" si="9"/>
        <v>51.709632186449973</v>
      </c>
      <c r="M19" s="59">
        <f t="shared" si="10"/>
        <v>31.025779311869982</v>
      </c>
      <c r="N19" s="43">
        <f t="shared" si="11"/>
        <v>5114308456.1661816</v>
      </c>
      <c r="O19" s="60">
        <f t="shared" si="26"/>
        <v>5229065571.2146378</v>
      </c>
      <c r="P19" s="20">
        <f t="shared" si="12"/>
        <v>107.72840038843745</v>
      </c>
      <c r="Q19" s="59">
        <f t="shared" si="13"/>
        <v>53.864200194218725</v>
      </c>
      <c r="R19" s="46">
        <f t="shared" si="14"/>
        <v>12360136908.01438</v>
      </c>
      <c r="S19" s="64">
        <f t="shared" si="15"/>
        <v>12525932581.328533</v>
      </c>
      <c r="T19" s="68">
        <f t="shared" si="16"/>
        <v>646370402.3306247</v>
      </c>
      <c r="U19" s="69">
        <f t="shared" si="27"/>
        <v>510512625</v>
      </c>
      <c r="V19" s="69">
        <f t="shared" si="28"/>
        <v>644204000.00000036</v>
      </c>
      <c r="W19" s="17">
        <f t="shared" si="29"/>
        <v>638140781.25</v>
      </c>
      <c r="X19" s="75">
        <f t="shared" si="30"/>
        <v>1005678593.7499998</v>
      </c>
      <c r="Y19" s="48">
        <f t="shared" si="17"/>
        <v>12360136908.01438</v>
      </c>
      <c r="Z19" s="76">
        <f t="shared" si="18"/>
        <v>12525932581.328533</v>
      </c>
      <c r="AA19" s="60">
        <f t="shared" si="0"/>
        <v>626296629.06642663</v>
      </c>
      <c r="AB19" s="60">
        <f t="shared" si="1"/>
        <v>1252593258.1328533</v>
      </c>
      <c r="AC19" s="78">
        <f t="shared" si="2"/>
        <v>751555954.87971199</v>
      </c>
      <c r="AD19" s="59">
        <f t="shared" si="19"/>
        <v>34778222.229000002</v>
      </c>
      <c r="AE19" s="150">
        <f t="shared" si="20"/>
        <v>12525932581.328533</v>
      </c>
      <c r="AF19" s="60">
        <f t="shared" ref="AF19:AF24" si="32">O19+X19+AA19+AB19+AC19-AD19</f>
        <v>8830411784.8146286</v>
      </c>
      <c r="AG19" s="104">
        <f t="shared" si="21"/>
        <v>48640000</v>
      </c>
      <c r="AH19" s="60">
        <f t="shared" si="22"/>
        <v>8879051784.8146286</v>
      </c>
      <c r="AI19" s="83">
        <f t="shared" si="23"/>
        <v>3646880796.5139046</v>
      </c>
      <c r="AJ19" s="75">
        <f t="shared" si="3"/>
        <v>364688079.65139049</v>
      </c>
      <c r="AK19" s="151">
        <f t="shared" si="24"/>
        <v>3282192716.862514</v>
      </c>
      <c r="AL19" s="4"/>
    </row>
    <row r="20" spans="1:40" x14ac:dyDescent="0.25">
      <c r="A20" s="95">
        <v>2028</v>
      </c>
      <c r="B20" s="96">
        <v>6</v>
      </c>
      <c r="C20" s="92"/>
      <c r="D20" s="69"/>
      <c r="E20" s="32">
        <f t="shared" si="4"/>
        <v>66485494.970507815</v>
      </c>
      <c r="F20" s="8">
        <f t="shared" si="5"/>
        <v>55527906.308456473</v>
      </c>
      <c r="G20" s="56">
        <f t="shared" si="6"/>
        <v>66485494.970507815</v>
      </c>
      <c r="H20" s="56">
        <f t="shared" si="25"/>
        <v>61990462.512000054</v>
      </c>
      <c r="I20" s="57">
        <f t="shared" si="31"/>
        <v>7346640.3840000015</v>
      </c>
      <c r="J20" s="55">
        <f t="shared" si="7"/>
        <v>54643822.128000051</v>
      </c>
      <c r="K20" s="20">
        <f t="shared" si="8"/>
        <v>39.36395750193504</v>
      </c>
      <c r="L20" s="20">
        <f t="shared" si="9"/>
        <v>52.485276669246716</v>
      </c>
      <c r="M20" s="59">
        <f t="shared" si="10"/>
        <v>31.491166001548027</v>
      </c>
      <c r="N20" s="43">
        <f t="shared" si="11"/>
        <v>5531529723.9775333</v>
      </c>
      <c r="O20" s="60">
        <f t="shared" si="26"/>
        <v>5716482593.0535946</v>
      </c>
      <c r="P20" s="20">
        <f t="shared" si="12"/>
        <v>109.344326394264</v>
      </c>
      <c r="Q20" s="59">
        <f t="shared" si="13"/>
        <v>54.672163197132001</v>
      </c>
      <c r="R20" s="46">
        <f t="shared" si="14"/>
        <v>13341473173.921379</v>
      </c>
      <c r="S20" s="64">
        <f t="shared" si="15"/>
        <v>13646460306.758236</v>
      </c>
      <c r="T20" s="71">
        <f t="shared" si="16"/>
        <v>656065958.36558402</v>
      </c>
      <c r="U20" s="72">
        <f t="shared" si="27"/>
        <v>536038256.25</v>
      </c>
      <c r="V20" s="69">
        <f t="shared" si="28"/>
        <v>708624400.00000048</v>
      </c>
      <c r="W20" s="17">
        <f t="shared" si="29"/>
        <v>670047820.3125</v>
      </c>
      <c r="X20" s="75">
        <f t="shared" si="30"/>
        <v>1156530382.8124995</v>
      </c>
      <c r="Y20" s="48">
        <f t="shared" si="17"/>
        <v>13341473173.921379</v>
      </c>
      <c r="Z20" s="76">
        <f t="shared" si="18"/>
        <v>13646460306.758236</v>
      </c>
      <c r="AA20" s="60">
        <f t="shared" si="0"/>
        <v>682323015.33791184</v>
      </c>
      <c r="AB20" s="60">
        <f t="shared" si="1"/>
        <v>1364646030.6758237</v>
      </c>
      <c r="AC20" s="78">
        <f t="shared" si="2"/>
        <v>818787618.40549409</v>
      </c>
      <c r="AD20" s="59">
        <f t="shared" si="19"/>
        <v>35821568.89587</v>
      </c>
      <c r="AE20" s="150">
        <f t="shared" si="20"/>
        <v>13646460306.758236</v>
      </c>
      <c r="AF20" s="60">
        <f t="shared" si="32"/>
        <v>9702948071.3894539</v>
      </c>
      <c r="AG20" s="104">
        <f t="shared" si="21"/>
        <v>48640000</v>
      </c>
      <c r="AH20" s="60">
        <f t="shared" si="22"/>
        <v>9751588071.3894539</v>
      </c>
      <c r="AI20" s="83">
        <f t="shared" si="23"/>
        <v>3894872235.368782</v>
      </c>
      <c r="AJ20" s="75">
        <f t="shared" si="3"/>
        <v>389487223.53687823</v>
      </c>
      <c r="AK20" s="151">
        <f t="shared" si="24"/>
        <v>3505385011.8319039</v>
      </c>
      <c r="AL20" s="4"/>
    </row>
    <row r="21" spans="1:40" x14ac:dyDescent="0.25">
      <c r="A21" s="95">
        <v>2029</v>
      </c>
      <c r="B21" s="96">
        <v>7</v>
      </c>
      <c r="C21" s="92"/>
      <c r="D21" s="69"/>
      <c r="E21" s="32">
        <f t="shared" si="4"/>
        <v>69809769.719033211</v>
      </c>
      <c r="F21" s="8">
        <f t="shared" si="5"/>
        <v>59970138.813132994</v>
      </c>
      <c r="G21" s="56">
        <f t="shared" si="6"/>
        <v>69809769.719033211</v>
      </c>
      <c r="H21" s="56">
        <f t="shared" si="25"/>
        <v>68189508.76320006</v>
      </c>
      <c r="I21" s="57">
        <f t="shared" si="31"/>
        <v>7934371.6147200018</v>
      </c>
      <c r="J21" s="55">
        <f t="shared" si="7"/>
        <v>60255137.148480058</v>
      </c>
      <c r="K21" s="20">
        <f t="shared" si="8"/>
        <v>39.954416864464065</v>
      </c>
      <c r="L21" s="20">
        <f t="shared" si="9"/>
        <v>53.272555819285408</v>
      </c>
      <c r="M21" s="59">
        <f t="shared" si="10"/>
        <v>31.963533491571244</v>
      </c>
      <c r="N21" s="43">
        <f t="shared" si="11"/>
        <v>5983971207.9794159</v>
      </c>
      <c r="O21" s="60">
        <f t="shared" si="26"/>
        <v>6252764350.5492706</v>
      </c>
      <c r="P21" s="20">
        <f t="shared" si="12"/>
        <v>110.98449129017796</v>
      </c>
      <c r="Q21" s="59">
        <f t="shared" si="13"/>
        <v>55.492245645088978</v>
      </c>
      <c r="R21" s="46">
        <f t="shared" si="14"/>
        <v>14403557128.128292</v>
      </c>
      <c r="S21" s="64">
        <f t="shared" si="15"/>
        <v>14875483622.078798</v>
      </c>
      <c r="T21" s="68">
        <f t="shared" si="16"/>
        <v>665906947.74106777</v>
      </c>
      <c r="U21" s="69">
        <f t="shared" si="27"/>
        <v>562840169.0625</v>
      </c>
      <c r="V21" s="69">
        <f t="shared" si="28"/>
        <v>779486840.0000006</v>
      </c>
      <c r="W21" s="17">
        <f t="shared" si="29"/>
        <v>703550211.328125</v>
      </c>
      <c r="X21" s="75">
        <f t="shared" si="30"/>
        <v>1330009940.2343743</v>
      </c>
      <c r="Y21" s="48">
        <f t="shared" si="17"/>
        <v>14403557128.128292</v>
      </c>
      <c r="Z21" s="76">
        <f t="shared" si="18"/>
        <v>14875483622.078798</v>
      </c>
      <c r="AA21" s="60">
        <f t="shared" si="0"/>
        <v>743774181.10394001</v>
      </c>
      <c r="AB21" s="60">
        <f t="shared" si="1"/>
        <v>1487548362.20788</v>
      </c>
      <c r="AC21" s="78">
        <f t="shared" si="2"/>
        <v>892529017.32472789</v>
      </c>
      <c r="AD21" s="59">
        <f t="shared" si="19"/>
        <v>36896215.962746099</v>
      </c>
      <c r="AE21" s="150">
        <f t="shared" si="20"/>
        <v>14875483622.078798</v>
      </c>
      <c r="AF21" s="60">
        <f t="shared" si="32"/>
        <v>10669729635.457447</v>
      </c>
      <c r="AG21" s="104">
        <f t="shared" si="21"/>
        <v>48640000</v>
      </c>
      <c r="AH21" s="60">
        <f t="shared" si="22"/>
        <v>10718369635.457447</v>
      </c>
      <c r="AI21" s="83">
        <f t="shared" si="23"/>
        <v>4157113986.6213512</v>
      </c>
      <c r="AJ21" s="75">
        <f t="shared" si="3"/>
        <v>415711398.66213512</v>
      </c>
      <c r="AK21" s="151">
        <f t="shared" si="24"/>
        <v>3741402587.9592161</v>
      </c>
    </row>
    <row r="22" spans="1:40" x14ac:dyDescent="0.25">
      <c r="A22" s="95">
        <v>2030</v>
      </c>
      <c r="B22" s="96">
        <v>8</v>
      </c>
      <c r="C22" s="92"/>
      <c r="D22" s="69"/>
      <c r="E22" s="32">
        <f t="shared" si="4"/>
        <v>73300258.204984874</v>
      </c>
      <c r="F22" s="8">
        <f t="shared" si="5"/>
        <v>64767749.91818364</v>
      </c>
      <c r="G22" s="56">
        <f t="shared" si="6"/>
        <v>73300258.204984874</v>
      </c>
      <c r="H22" s="56">
        <f t="shared" si="25"/>
        <v>75008459.639520079</v>
      </c>
      <c r="I22" s="57">
        <f t="shared" si="31"/>
        <v>8569121.3438976035</v>
      </c>
      <c r="J22" s="55">
        <f t="shared" si="7"/>
        <v>66439338.295622475</v>
      </c>
      <c r="K22" s="20">
        <f t="shared" si="8"/>
        <v>40.553733117431022</v>
      </c>
      <c r="L22" s="20">
        <f t="shared" si="9"/>
        <v>54.071644156574685</v>
      </c>
      <c r="M22" s="59">
        <f t="shared" si="10"/>
        <v>32.442986493944808</v>
      </c>
      <c r="N22" s="43">
        <f t="shared" si="11"/>
        <v>6474697835.0817852</v>
      </c>
      <c r="O22" s="60">
        <f t="shared" si="26"/>
        <v>6843091255.0279684</v>
      </c>
      <c r="P22" s="20">
        <f t="shared" si="12"/>
        <v>112.64925865953062</v>
      </c>
      <c r="Q22" s="59">
        <f t="shared" si="13"/>
        <v>56.324629329765308</v>
      </c>
      <c r="R22" s="46">
        <f t="shared" si="14"/>
        <v>15553258759.672985</v>
      </c>
      <c r="S22" s="64">
        <f t="shared" si="15"/>
        <v>16224214534.552168</v>
      </c>
      <c r="T22" s="68">
        <f t="shared" si="16"/>
        <v>675895551.95718372</v>
      </c>
      <c r="U22" s="69">
        <f t="shared" si="27"/>
        <v>590982177.515625</v>
      </c>
      <c r="V22" s="69">
        <f t="shared" si="28"/>
        <v>857435524.00000072</v>
      </c>
      <c r="W22" s="17">
        <f t="shared" si="29"/>
        <v>738727721.89453125</v>
      </c>
      <c r="X22" s="75">
        <f t="shared" si="30"/>
        <v>1529511431.2695303</v>
      </c>
      <c r="Y22" s="48">
        <f t="shared" si="17"/>
        <v>15553258759.672985</v>
      </c>
      <c r="Z22" s="76">
        <f t="shared" si="18"/>
        <v>16224214534.552168</v>
      </c>
      <c r="AA22" s="60">
        <f>5%*Z22</f>
        <v>811210726.72760844</v>
      </c>
      <c r="AB22" s="60">
        <f>10%*Z22</f>
        <v>1622421453.4552169</v>
      </c>
      <c r="AC22" s="78">
        <f t="shared" si="2"/>
        <v>973452872.07313001</v>
      </c>
      <c r="AD22" s="59">
        <f t="shared" si="19"/>
        <v>38003102.441628486</v>
      </c>
      <c r="AE22" s="150">
        <f t="shared" si="20"/>
        <v>16224214534.552168</v>
      </c>
      <c r="AF22" s="60">
        <f t="shared" si="32"/>
        <v>11741684636.111824</v>
      </c>
      <c r="AG22" s="104">
        <f t="shared" si="21"/>
        <v>48640000</v>
      </c>
      <c r="AH22" s="60">
        <f t="shared" si="22"/>
        <v>11790324636.111824</v>
      </c>
      <c r="AI22" s="83">
        <f t="shared" si="23"/>
        <v>4433889898.4403439</v>
      </c>
      <c r="AJ22" s="75">
        <f t="shared" si="3"/>
        <v>443388989.84403443</v>
      </c>
      <c r="AK22" s="151">
        <f t="shared" si="24"/>
        <v>3990500908.5963097</v>
      </c>
    </row>
    <row r="23" spans="1:40" x14ac:dyDescent="0.25">
      <c r="A23" s="95">
        <v>2031</v>
      </c>
      <c r="B23" s="96">
        <v>9</v>
      </c>
      <c r="C23" s="92"/>
      <c r="D23" s="69"/>
      <c r="E23" s="32">
        <f t="shared" si="4"/>
        <v>76965271.115234122</v>
      </c>
      <c r="F23" s="8">
        <f t="shared" si="5"/>
        <v>69949169.911638334</v>
      </c>
      <c r="G23" s="56">
        <f t="shared" si="6"/>
        <v>76965271.115234122</v>
      </c>
      <c r="H23" s="56">
        <f t="shared" si="25"/>
        <v>82509305.603472099</v>
      </c>
      <c r="I23" s="57">
        <f t="shared" si="31"/>
        <v>9254651.0514094122</v>
      </c>
      <c r="J23" s="55">
        <f t="shared" si="7"/>
        <v>73254654.55206269</v>
      </c>
      <c r="K23" s="20">
        <f t="shared" si="8"/>
        <v>41.162039114192481</v>
      </c>
      <c r="L23" s="20">
        <f t="shared" si="9"/>
        <v>54.882718818923301</v>
      </c>
      <c r="M23" s="59">
        <f t="shared" si="10"/>
        <v>32.929631291353978</v>
      </c>
      <c r="N23" s="43">
        <f t="shared" si="11"/>
        <v>7007048123.9572325</v>
      </c>
      <c r="O23" s="60">
        <f t="shared" si="26"/>
        <v>7493214354.8909655</v>
      </c>
      <c r="P23" s="20">
        <f t="shared" si="12"/>
        <v>114.33899753942356</v>
      </c>
      <c r="Q23" s="59">
        <f t="shared" si="13"/>
        <v>57.16949876971178</v>
      </c>
      <c r="R23" s="46">
        <f t="shared" si="14"/>
        <v>16798049911.077358</v>
      </c>
      <c r="S23" s="64">
        <f t="shared" si="15"/>
        <v>17705079473.143105</v>
      </c>
      <c r="T23" s="68">
        <f t="shared" si="16"/>
        <v>686033985.23654139</v>
      </c>
      <c r="U23" s="69">
        <f t="shared" si="27"/>
        <v>620531286.3914063</v>
      </c>
      <c r="V23" s="69">
        <f t="shared" si="28"/>
        <v>943179076.40000081</v>
      </c>
      <c r="W23" s="17">
        <f t="shared" si="29"/>
        <v>775664107.98925781</v>
      </c>
      <c r="X23" s="75">
        <f t="shared" si="30"/>
        <v>1758938145.9599597</v>
      </c>
      <c r="Y23" s="48">
        <f t="shared" si="17"/>
        <v>16798049911.077358</v>
      </c>
      <c r="Z23" s="76">
        <f t="shared" si="18"/>
        <v>17705079473.143105</v>
      </c>
      <c r="AA23" s="60">
        <f>5%*Z23</f>
        <v>885253973.65715528</v>
      </c>
      <c r="AB23" s="60">
        <f>10%*Z23</f>
        <v>1770507947.3143106</v>
      </c>
      <c r="AC23" s="78">
        <f t="shared" si="2"/>
        <v>1062304768.3885863</v>
      </c>
      <c r="AD23" s="59">
        <f t="shared" si="19"/>
        <v>39143195.514877342</v>
      </c>
      <c r="AE23" s="150">
        <f t="shared" si="20"/>
        <v>17705079473.143105</v>
      </c>
      <c r="AF23" s="60">
        <f t="shared" si="32"/>
        <v>12931075994.6961</v>
      </c>
      <c r="AG23" s="104">
        <f t="shared" si="21"/>
        <v>48640000</v>
      </c>
      <c r="AH23" s="60">
        <f t="shared" si="22"/>
        <v>12979715994.6961</v>
      </c>
      <c r="AI23" s="83">
        <f t="shared" si="23"/>
        <v>4725363478.4470043</v>
      </c>
      <c r="AJ23" s="75">
        <f t="shared" si="3"/>
        <v>472536347.84470046</v>
      </c>
      <c r="AK23" s="151">
        <f t="shared" si="24"/>
        <v>4252827130.602304</v>
      </c>
    </row>
    <row r="24" spans="1:40" x14ac:dyDescent="0.25">
      <c r="A24" s="111">
        <v>2032</v>
      </c>
      <c r="B24" s="97">
        <v>10</v>
      </c>
      <c r="C24" s="93"/>
      <c r="D24" s="94">
        <v>200000000</v>
      </c>
      <c r="E24" s="33">
        <f t="shared" si="4"/>
        <v>80813534.670995831</v>
      </c>
      <c r="F24" s="33">
        <f t="shared" si="5"/>
        <v>75545103.504569411</v>
      </c>
      <c r="G24" s="58">
        <f t="shared" si="6"/>
        <v>80813534.670995831</v>
      </c>
      <c r="H24" s="58">
        <f t="shared" si="25"/>
        <v>90760236.163819313</v>
      </c>
      <c r="I24" s="58">
        <f t="shared" si="31"/>
        <v>9995023.1355221663</v>
      </c>
      <c r="J24" s="58">
        <f t="shared" si="7"/>
        <v>80765213.028297141</v>
      </c>
      <c r="K24" s="20">
        <f t="shared" si="8"/>
        <v>41.779469700905366</v>
      </c>
      <c r="L24" s="20">
        <f t="shared" si="9"/>
        <v>55.705959601207148</v>
      </c>
      <c r="M24" s="59">
        <f t="shared" si="10"/>
        <v>33.42357576072429</v>
      </c>
      <c r="N24" s="44">
        <f t="shared" si="11"/>
        <v>7584659107.1044922</v>
      </c>
      <c r="O24" s="61">
        <f t="shared" si="26"/>
        <v>8209519730.3474627</v>
      </c>
      <c r="P24" s="45">
        <f t="shared" si="12"/>
        <v>116.0540825025149</v>
      </c>
      <c r="Q24" s="62">
        <f t="shared" si="13"/>
        <v>58.027041251257451</v>
      </c>
      <c r="R24" s="46">
        <f t="shared" si="14"/>
        <v>18146058294.807926</v>
      </c>
      <c r="S24" s="65">
        <f t="shared" si="15"/>
        <v>19331854935.939003</v>
      </c>
      <c r="T24" s="73">
        <f t="shared" si="16"/>
        <v>696324495.01508939</v>
      </c>
      <c r="U24" s="74">
        <f t="shared" si="27"/>
        <v>651557850.7109766</v>
      </c>
      <c r="V24" s="74">
        <f t="shared" si="28"/>
        <v>1037496984.040001</v>
      </c>
      <c r="W24" s="17">
        <f t="shared" si="29"/>
        <v>814447313.38872075</v>
      </c>
      <c r="X24" s="75">
        <f t="shared" si="30"/>
        <v>2022778867.8539536</v>
      </c>
      <c r="Y24" s="49">
        <f t="shared" si="17"/>
        <v>18146058294.807926</v>
      </c>
      <c r="Z24" s="65">
        <f t="shared" si="18"/>
        <v>19331854935.939003</v>
      </c>
      <c r="AA24" s="61">
        <f>5%*Z24</f>
        <v>966592746.79695022</v>
      </c>
      <c r="AB24" s="61">
        <f>10%*Z24</f>
        <v>1933185493.5939004</v>
      </c>
      <c r="AC24" s="79">
        <f t="shared" si="2"/>
        <v>1159911296.1563401</v>
      </c>
      <c r="AD24" s="59">
        <f t="shared" si="19"/>
        <v>40317491.380323663</v>
      </c>
      <c r="AE24" s="65">
        <f t="shared" si="20"/>
        <v>19331854935.939003</v>
      </c>
      <c r="AF24" s="61">
        <f t="shared" si="32"/>
        <v>14251670643.368282</v>
      </c>
      <c r="AG24" s="105">
        <f t="shared" si="21"/>
        <v>48640000</v>
      </c>
      <c r="AH24" s="61">
        <f t="shared" si="22"/>
        <v>14300310643.368282</v>
      </c>
      <c r="AI24" s="83">
        <f t="shared" si="23"/>
        <v>5031544292.5707207</v>
      </c>
      <c r="AJ24" s="75">
        <f t="shared" si="3"/>
        <v>503154429.25707209</v>
      </c>
      <c r="AK24" s="151">
        <f t="shared" si="24"/>
        <v>4528389863.3136482</v>
      </c>
    </row>
    <row r="25" spans="1:40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J25" s="4"/>
      <c r="AK25" s="4"/>
      <c r="AL25" s="4"/>
      <c r="AM25" s="4"/>
      <c r="AN25" s="4"/>
    </row>
    <row r="27" spans="1:40" x14ac:dyDescent="0.25">
      <c r="C27" s="129" t="s">
        <v>18</v>
      </c>
      <c r="D27" s="130"/>
      <c r="E27" s="23"/>
      <c r="F27" s="23"/>
    </row>
    <row r="28" spans="1:40" x14ac:dyDescent="0.25">
      <c r="C28" s="6" t="s">
        <v>19</v>
      </c>
      <c r="D28" s="14">
        <v>87.5</v>
      </c>
      <c r="E28" s="12"/>
      <c r="F28" s="12"/>
    </row>
    <row r="29" spans="1:40" x14ac:dyDescent="0.25">
      <c r="C29" s="6" t="s">
        <v>20</v>
      </c>
      <c r="D29" s="6">
        <v>251430000</v>
      </c>
      <c r="E29" s="19"/>
      <c r="F29" s="19"/>
    </row>
    <row r="30" spans="1:40" x14ac:dyDescent="0.25">
      <c r="C30" s="6"/>
      <c r="D30" s="6"/>
      <c r="E30" s="19"/>
      <c r="F30" s="19"/>
    </row>
    <row r="31" spans="1:40" x14ac:dyDescent="0.25">
      <c r="C31" s="21" t="s">
        <v>21</v>
      </c>
      <c r="D31" s="22">
        <f>D28*D29</f>
        <v>22000125000</v>
      </c>
      <c r="E31" s="26"/>
      <c r="F31" s="27"/>
    </row>
  </sheetData>
  <mergeCells count="16">
    <mergeCell ref="K2:L2"/>
    <mergeCell ref="C27:D27"/>
    <mergeCell ref="E11:J11"/>
    <mergeCell ref="E3:F3"/>
    <mergeCell ref="Y12:Z12"/>
    <mergeCell ref="P11:S11"/>
    <mergeCell ref="K11:M11"/>
    <mergeCell ref="AA12:AC12"/>
    <mergeCell ref="E12:F12"/>
    <mergeCell ref="U12:V12"/>
    <mergeCell ref="W12:X12"/>
    <mergeCell ref="N12:O12"/>
    <mergeCell ref="G12:J12"/>
    <mergeCell ref="P12:Q12"/>
    <mergeCell ref="R12:S12"/>
    <mergeCell ref="K12:L12"/>
  </mergeCells>
  <pageMargins left="0.7" right="0.7" top="0.75" bottom="0.75" header="0.3" footer="0.3"/>
  <pageSetup orientation="portrait" r:id="rId1"/>
  <ignoredErrors>
    <ignoredError sqref="F15:F24 V15:V2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B9D9-7FDE-4CC6-9AC4-F37AFBCDA1CD}">
  <dimension ref="A3:N23"/>
  <sheetViews>
    <sheetView workbookViewId="0">
      <selection activeCell="L29" sqref="L29"/>
    </sheetView>
  </sheetViews>
  <sheetFormatPr defaultRowHeight="15" x14ac:dyDescent="0.25"/>
  <cols>
    <col min="2" max="2" width="18" customWidth="1"/>
    <col min="3" max="3" width="19.42578125" customWidth="1"/>
    <col min="4" max="4" width="21" customWidth="1"/>
    <col min="5" max="5" width="23.7109375" customWidth="1"/>
    <col min="6" max="6" width="17.5703125" customWidth="1"/>
    <col min="7" max="7" width="23.28515625" customWidth="1"/>
    <col min="8" max="8" width="22.140625" customWidth="1"/>
    <col min="9" max="9" width="19.85546875" customWidth="1"/>
    <col min="10" max="10" width="19.42578125" customWidth="1"/>
    <col min="11" max="11" width="19.7109375" customWidth="1"/>
    <col min="12" max="12" width="19.28515625" customWidth="1"/>
    <col min="13" max="13" width="16.85546875" customWidth="1"/>
    <col min="14" max="14" width="20.5703125" customWidth="1"/>
  </cols>
  <sheetData>
    <row r="3" spans="1:14" ht="15.75" x14ac:dyDescent="0.25">
      <c r="A3" s="145" t="s">
        <v>75</v>
      </c>
      <c r="B3" s="145"/>
      <c r="C3" s="145"/>
      <c r="D3" s="145"/>
      <c r="E3" s="145"/>
      <c r="F3" s="145"/>
    </row>
    <row r="6" spans="1:14" ht="48.75" customHeight="1" x14ac:dyDescent="0.25">
      <c r="A6" s="37" t="s">
        <v>2</v>
      </c>
      <c r="B6" s="37" t="s">
        <v>6</v>
      </c>
      <c r="C6" s="37" t="s">
        <v>52</v>
      </c>
      <c r="D6" s="112" t="s">
        <v>16</v>
      </c>
      <c r="E6" s="37" t="s">
        <v>15</v>
      </c>
      <c r="F6" s="37" t="s">
        <v>17</v>
      </c>
      <c r="G6" s="80" t="s">
        <v>35</v>
      </c>
      <c r="H6" s="90" t="s">
        <v>76</v>
      </c>
      <c r="I6" s="102" t="s">
        <v>61</v>
      </c>
      <c r="J6" s="103" t="s">
        <v>63</v>
      </c>
      <c r="K6" s="80" t="s">
        <v>73</v>
      </c>
      <c r="L6" s="59" t="s">
        <v>55</v>
      </c>
      <c r="M6" s="149" t="s">
        <v>56</v>
      </c>
      <c r="N6" s="90" t="s">
        <v>74</v>
      </c>
    </row>
    <row r="7" spans="1:14" ht="17.25" customHeight="1" x14ac:dyDescent="0.25">
      <c r="A7" s="141">
        <v>0</v>
      </c>
      <c r="B7" s="83">
        <f>'qs 1'!Z14</f>
        <v>8460450000</v>
      </c>
      <c r="C7" s="75">
        <f t="shared" ref="C7:C14" si="0">5%*B7</f>
        <v>423022500</v>
      </c>
      <c r="D7" s="75">
        <f t="shared" ref="D7:D14" si="1">10%*B7</f>
        <v>846045000</v>
      </c>
      <c r="E7" s="79">
        <f t="shared" ref="E7:E17" si="2">6%*B7</f>
        <v>507627000</v>
      </c>
      <c r="F7" s="59">
        <f>30000000</f>
        <v>30000000</v>
      </c>
      <c r="G7" s="46">
        <f>'qs 1'!AE14</f>
        <v>8460450000</v>
      </c>
      <c r="H7" s="75">
        <f>'qs 1'!AF14</f>
        <v>6362360500</v>
      </c>
      <c r="I7" s="143">
        <f>'qs 1'!AG14</f>
        <v>48640000</v>
      </c>
      <c r="J7" s="75">
        <f>H7+I7</f>
        <v>6411000500</v>
      </c>
      <c r="K7" s="83">
        <f>G7-J7</f>
        <v>2049449500</v>
      </c>
      <c r="L7" s="17">
        <f t="shared" ref="L7:L17" si="3">K7*t</f>
        <v>204944950</v>
      </c>
      <c r="M7" s="84">
        <f>K7-L7</f>
        <v>1844504550</v>
      </c>
      <c r="N7" s="14">
        <f>M7*((1+$F$20)^A7)</f>
        <v>1844504550</v>
      </c>
    </row>
    <row r="8" spans="1:14" x14ac:dyDescent="0.25">
      <c r="A8" s="141">
        <v>1</v>
      </c>
      <c r="B8" s="83">
        <f>'qs 1'!Z15</f>
        <v>8940558987.5</v>
      </c>
      <c r="C8" s="75">
        <f t="shared" si="0"/>
        <v>447027949.375</v>
      </c>
      <c r="D8" s="75">
        <f t="shared" si="1"/>
        <v>894055898.75</v>
      </c>
      <c r="E8" s="79">
        <f t="shared" si="2"/>
        <v>536433539.25</v>
      </c>
      <c r="F8" s="59">
        <f t="shared" ref="F8:F17" si="4">F7*(1.03)</f>
        <v>30900000</v>
      </c>
      <c r="G8" s="46">
        <f>'qs 1'!AE15</f>
        <v>8940558987.5</v>
      </c>
      <c r="H8" s="75">
        <f>'qs 1'!AF15</f>
        <v>6102951438.875001</v>
      </c>
      <c r="I8" s="143">
        <f>'qs 1'!AG15</f>
        <v>48640000</v>
      </c>
      <c r="J8" s="75">
        <f t="shared" ref="J8:J17" si="5">H8+I8</f>
        <v>6151591438.875001</v>
      </c>
      <c r="K8" s="83">
        <f t="shared" ref="K8:K17" si="6">G8-J8</f>
        <v>2788967548.624999</v>
      </c>
      <c r="L8" s="17">
        <f t="shared" si="3"/>
        <v>278896754.86249989</v>
      </c>
      <c r="M8" s="84">
        <f t="shared" ref="M8:M17" si="7">K8-L8</f>
        <v>2510070793.7624993</v>
      </c>
      <c r="N8" s="14">
        <f>M8*((1+$F$20)^A8)</f>
        <v>2786178581.0763745</v>
      </c>
    </row>
    <row r="9" spans="1:14" x14ac:dyDescent="0.25">
      <c r="A9" s="141">
        <v>2</v>
      </c>
      <c r="B9" s="83">
        <f>'qs 1'!Z16</f>
        <v>9718947036.0281258</v>
      </c>
      <c r="C9" s="75">
        <f t="shared" si="0"/>
        <v>485947351.80140632</v>
      </c>
      <c r="D9" s="75">
        <f t="shared" si="1"/>
        <v>971894703.60281265</v>
      </c>
      <c r="E9" s="79">
        <f t="shared" si="2"/>
        <v>583136822.16168749</v>
      </c>
      <c r="F9" s="59">
        <f t="shared" si="4"/>
        <v>31827000</v>
      </c>
      <c r="G9" s="46">
        <f>'qs 1'!AE16</f>
        <v>9718947036.0281258</v>
      </c>
      <c r="H9" s="75">
        <f>'qs 1'!AF16</f>
        <v>6685987626.6000328</v>
      </c>
      <c r="I9" s="143">
        <f>'qs 1'!AG16</f>
        <v>48640000</v>
      </c>
      <c r="J9" s="75">
        <f t="shared" si="5"/>
        <v>6734627626.6000328</v>
      </c>
      <c r="K9" s="83">
        <f t="shared" si="6"/>
        <v>2984319409.428093</v>
      </c>
      <c r="L9" s="17">
        <f t="shared" si="3"/>
        <v>298431940.94280928</v>
      </c>
      <c r="M9" s="84">
        <f t="shared" si="7"/>
        <v>2685887468.4852839</v>
      </c>
      <c r="N9" s="14">
        <f>M9*((1+$F$20)^A9)</f>
        <v>3309281949.9207187</v>
      </c>
    </row>
    <row r="10" spans="1:14" x14ac:dyDescent="0.25">
      <c r="A10" s="141">
        <v>3</v>
      </c>
      <c r="B10" s="83">
        <f>'qs 1'!Z17</f>
        <v>10570869593.882374</v>
      </c>
      <c r="C10" s="75">
        <f t="shared" si="0"/>
        <v>528543479.69411874</v>
      </c>
      <c r="D10" s="75">
        <f t="shared" si="1"/>
        <v>1057086959.3882375</v>
      </c>
      <c r="E10" s="79">
        <f t="shared" si="2"/>
        <v>634252175.63294244</v>
      </c>
      <c r="F10" s="59">
        <f t="shared" si="4"/>
        <v>32781810</v>
      </c>
      <c r="G10" s="46">
        <f>'qs 1'!AE17</f>
        <v>10570869593.882374</v>
      </c>
      <c r="H10" s="75">
        <f>'qs 1'!AF17</f>
        <v>7330154795.5658092</v>
      </c>
      <c r="I10" s="143">
        <f>'qs 1'!AG17</f>
        <v>48640000</v>
      </c>
      <c r="J10" s="75">
        <f t="shared" si="5"/>
        <v>7378794795.5658092</v>
      </c>
      <c r="K10" s="83">
        <f t="shared" si="6"/>
        <v>3192074798.3165646</v>
      </c>
      <c r="L10" s="17">
        <f t="shared" si="3"/>
        <v>319207479.83165646</v>
      </c>
      <c r="M10" s="84">
        <f t="shared" si="7"/>
        <v>2872867318.4849081</v>
      </c>
      <c r="N10" s="14">
        <f>M10*((1+$F$20)^A10)</f>
        <v>3929022403.6468339</v>
      </c>
    </row>
    <row r="11" spans="1:14" x14ac:dyDescent="0.25">
      <c r="A11" s="141">
        <v>4</v>
      </c>
      <c r="B11" s="83">
        <f>'qs 1'!Z18</f>
        <v>11503781059.373167</v>
      </c>
      <c r="C11" s="75">
        <f t="shared" si="0"/>
        <v>575189052.96865833</v>
      </c>
      <c r="D11" s="75">
        <f t="shared" si="1"/>
        <v>1150378105.9373167</v>
      </c>
      <c r="E11" s="79">
        <f t="shared" si="2"/>
        <v>690226863.56238997</v>
      </c>
      <c r="F11" s="59">
        <f t="shared" si="4"/>
        <v>33765264.300000004</v>
      </c>
      <c r="G11" s="46">
        <f>'qs 1'!AE18</f>
        <v>11503781059.373167</v>
      </c>
      <c r="H11" s="75">
        <f>'qs 1'!AF18</f>
        <v>8679195739.3206749</v>
      </c>
      <c r="I11" s="143">
        <f>'qs 1'!AG18</f>
        <v>48640000</v>
      </c>
      <c r="J11" s="75">
        <f t="shared" si="5"/>
        <v>8727835739.3206749</v>
      </c>
      <c r="K11" s="83">
        <f t="shared" si="6"/>
        <v>2775945320.0524921</v>
      </c>
      <c r="L11" s="17">
        <f t="shared" si="3"/>
        <v>277594532.0052492</v>
      </c>
      <c r="M11" s="84">
        <f t="shared" si="7"/>
        <v>2498350788.0472431</v>
      </c>
      <c r="N11" s="14">
        <f>M11*((1+$F$20)^A11)</f>
        <v>3792672405.1347027</v>
      </c>
    </row>
    <row r="12" spans="1:14" x14ac:dyDescent="0.25">
      <c r="A12" s="141">
        <v>5</v>
      </c>
      <c r="B12" s="83">
        <f>'qs 1'!Z19</f>
        <v>12525932581.328533</v>
      </c>
      <c r="C12" s="75">
        <f t="shared" si="0"/>
        <v>626296629.06642663</v>
      </c>
      <c r="D12" s="75">
        <f t="shared" si="1"/>
        <v>1252593258.1328533</v>
      </c>
      <c r="E12" s="79">
        <f t="shared" si="2"/>
        <v>751555954.87971199</v>
      </c>
      <c r="F12" s="59">
        <f t="shared" si="4"/>
        <v>34778222.229000002</v>
      </c>
      <c r="G12" s="46">
        <f>'qs 1'!AE19</f>
        <v>12525932581.328533</v>
      </c>
      <c r="H12" s="75">
        <f>'qs 1'!AF19</f>
        <v>8830411784.8146286</v>
      </c>
      <c r="I12" s="143">
        <f>'qs 1'!AG19</f>
        <v>48640000</v>
      </c>
      <c r="J12" s="75">
        <f t="shared" si="5"/>
        <v>8879051784.8146286</v>
      </c>
      <c r="K12" s="83">
        <f t="shared" si="6"/>
        <v>3646880796.5139046</v>
      </c>
      <c r="L12" s="17">
        <f t="shared" si="3"/>
        <v>364688079.65139049</v>
      </c>
      <c r="M12" s="84">
        <f t="shared" si="7"/>
        <v>3282192716.862514</v>
      </c>
      <c r="N12" s="14">
        <f>M12*((1+$F$20)^A12)</f>
        <v>5530685604.1590061</v>
      </c>
    </row>
    <row r="13" spans="1:14" x14ac:dyDescent="0.25">
      <c r="A13" s="141">
        <v>6</v>
      </c>
      <c r="B13" s="83">
        <f>'qs 1'!Z20</f>
        <v>13646460306.758236</v>
      </c>
      <c r="C13" s="75">
        <f t="shared" si="0"/>
        <v>682323015.33791184</v>
      </c>
      <c r="D13" s="75">
        <f t="shared" si="1"/>
        <v>1364646030.6758237</v>
      </c>
      <c r="E13" s="79">
        <f t="shared" si="2"/>
        <v>818787618.40549409</v>
      </c>
      <c r="F13" s="59">
        <f t="shared" si="4"/>
        <v>35821568.89587</v>
      </c>
      <c r="G13" s="46">
        <f>'qs 1'!AE20</f>
        <v>13646460306.758236</v>
      </c>
      <c r="H13" s="75">
        <f>'qs 1'!AF20</f>
        <v>9702948071.3894539</v>
      </c>
      <c r="I13" s="143">
        <f>'qs 1'!AG20</f>
        <v>48640000</v>
      </c>
      <c r="J13" s="75">
        <f t="shared" si="5"/>
        <v>9751588071.3894539</v>
      </c>
      <c r="K13" s="83">
        <f t="shared" si="6"/>
        <v>3894872235.368782</v>
      </c>
      <c r="L13" s="17">
        <f t="shared" si="3"/>
        <v>389487223.53687823</v>
      </c>
      <c r="M13" s="84">
        <f t="shared" si="7"/>
        <v>3505385011.8319039</v>
      </c>
      <c r="N13" s="14">
        <f>M13*((1+$F$20)^A13)</f>
        <v>6556523137.0574551</v>
      </c>
    </row>
    <row r="14" spans="1:14" x14ac:dyDescent="0.25">
      <c r="A14" s="141">
        <v>7</v>
      </c>
      <c r="B14" s="83">
        <f>'qs 1'!Z21</f>
        <v>14875483622.078798</v>
      </c>
      <c r="C14" s="75">
        <f t="shared" si="0"/>
        <v>743774181.10394001</v>
      </c>
      <c r="D14" s="75">
        <f t="shared" si="1"/>
        <v>1487548362.20788</v>
      </c>
      <c r="E14" s="79">
        <f t="shared" si="2"/>
        <v>892529017.32472789</v>
      </c>
      <c r="F14" s="59">
        <f t="shared" si="4"/>
        <v>36896215.962746099</v>
      </c>
      <c r="G14" s="46">
        <f>'qs 1'!AE21</f>
        <v>14875483622.078798</v>
      </c>
      <c r="H14" s="75">
        <f>'qs 1'!AF21</f>
        <v>10669729635.457447</v>
      </c>
      <c r="I14" s="143">
        <f>'qs 1'!AG21</f>
        <v>48640000</v>
      </c>
      <c r="J14" s="75">
        <f t="shared" si="5"/>
        <v>10718369635.457447</v>
      </c>
      <c r="K14" s="83">
        <f t="shared" si="6"/>
        <v>4157113986.6213512</v>
      </c>
      <c r="L14" s="17">
        <f t="shared" si="3"/>
        <v>415711398.66213512</v>
      </c>
      <c r="M14" s="84">
        <f t="shared" si="7"/>
        <v>3741402587.9592161</v>
      </c>
      <c r="N14" s="14">
        <f>M14*((1+$F$20)^A14)</f>
        <v>7767750969.0730381</v>
      </c>
    </row>
    <row r="15" spans="1:14" x14ac:dyDescent="0.25">
      <c r="A15" s="141">
        <v>8</v>
      </c>
      <c r="B15" s="83">
        <f>'qs 1'!Z22</f>
        <v>16224214534.552168</v>
      </c>
      <c r="C15" s="75">
        <f>5%*B15</f>
        <v>811210726.72760844</v>
      </c>
      <c r="D15" s="75">
        <f>10%*B15</f>
        <v>1622421453.4552169</v>
      </c>
      <c r="E15" s="79">
        <f t="shared" si="2"/>
        <v>973452872.07313001</v>
      </c>
      <c r="F15" s="59">
        <f t="shared" si="4"/>
        <v>38003102.441628486</v>
      </c>
      <c r="G15" s="46">
        <f>'qs 1'!AE22</f>
        <v>16224214534.552168</v>
      </c>
      <c r="H15" s="75">
        <f>'qs 1'!AF22</f>
        <v>11741684636.111824</v>
      </c>
      <c r="I15" s="143">
        <f>'qs 1'!AG22</f>
        <v>48640000</v>
      </c>
      <c r="J15" s="75">
        <f t="shared" si="5"/>
        <v>11790324636.111824</v>
      </c>
      <c r="K15" s="83">
        <f t="shared" si="6"/>
        <v>4433889898.4403439</v>
      </c>
      <c r="L15" s="17">
        <f t="shared" si="3"/>
        <v>443388989.84403443</v>
      </c>
      <c r="M15" s="84">
        <f t="shared" si="7"/>
        <v>3990500908.5963097</v>
      </c>
      <c r="N15" s="14">
        <f>M15*((1+$F$20)^A15)</f>
        <v>9196260063.9524746</v>
      </c>
    </row>
    <row r="16" spans="1:14" x14ac:dyDescent="0.25">
      <c r="A16" s="141">
        <v>9</v>
      </c>
      <c r="B16" s="83">
        <f>'qs 1'!Z23</f>
        <v>17705079473.143105</v>
      </c>
      <c r="C16" s="75">
        <f>5%*B16</f>
        <v>885253973.65715528</v>
      </c>
      <c r="D16" s="75">
        <f>10%*B16</f>
        <v>1770507947.3143106</v>
      </c>
      <c r="E16" s="79">
        <f t="shared" si="2"/>
        <v>1062304768.3885863</v>
      </c>
      <c r="F16" s="59">
        <f t="shared" si="4"/>
        <v>39143195.514877342</v>
      </c>
      <c r="G16" s="46">
        <f>'qs 1'!AE23</f>
        <v>17705079473.143105</v>
      </c>
      <c r="H16" s="75">
        <f>'qs 1'!AF23</f>
        <v>12931075994.6961</v>
      </c>
      <c r="I16" s="143">
        <f>'qs 1'!AG23</f>
        <v>48640000</v>
      </c>
      <c r="J16" s="75">
        <f t="shared" si="5"/>
        <v>12979715994.6961</v>
      </c>
      <c r="K16" s="83">
        <f t="shared" si="6"/>
        <v>4725363478.4470043</v>
      </c>
      <c r="L16" s="17">
        <f t="shared" si="3"/>
        <v>472536347.84470046</v>
      </c>
      <c r="M16" s="84">
        <f t="shared" si="7"/>
        <v>4252827130.602304</v>
      </c>
      <c r="N16" s="14">
        <f>M16*((1+$F$20)^A16)</f>
        <v>10878888833.113392</v>
      </c>
    </row>
    <row r="17" spans="1:14" x14ac:dyDescent="0.25">
      <c r="A17" s="142">
        <v>10</v>
      </c>
      <c r="B17" s="83">
        <f>'qs 1'!Z24</f>
        <v>19331854935.939003</v>
      </c>
      <c r="C17" s="75">
        <f>5%*B17</f>
        <v>966592746.79695022</v>
      </c>
      <c r="D17" s="75">
        <f>10%*B17</f>
        <v>1933185493.5939004</v>
      </c>
      <c r="E17" s="79">
        <f t="shared" si="2"/>
        <v>1159911296.1563401</v>
      </c>
      <c r="F17" s="59">
        <f t="shared" si="4"/>
        <v>40317491.380323663</v>
      </c>
      <c r="G17" s="46">
        <f>'qs 1'!AE24</f>
        <v>19331854935.939003</v>
      </c>
      <c r="H17" s="75">
        <f>'qs 1'!AF24</f>
        <v>14251670643.368282</v>
      </c>
      <c r="I17" s="143">
        <f>'qs 1'!AG24</f>
        <v>48640000</v>
      </c>
      <c r="J17" s="75">
        <f t="shared" si="5"/>
        <v>14300310643.368282</v>
      </c>
      <c r="K17" s="83">
        <f t="shared" si="6"/>
        <v>5031544292.5707207</v>
      </c>
      <c r="L17" s="17">
        <f t="shared" si="3"/>
        <v>503154429.25707209</v>
      </c>
      <c r="M17" s="84">
        <f t="shared" si="7"/>
        <v>4528389863.3136482</v>
      </c>
      <c r="N17" s="14">
        <f>M17*((1+$F$20)^A17)</f>
        <v>12858005210.994986</v>
      </c>
    </row>
    <row r="20" spans="1:14" x14ac:dyDescent="0.25">
      <c r="B20" s="146" t="s">
        <v>57</v>
      </c>
      <c r="C20" s="147"/>
      <c r="D20" s="147"/>
      <c r="E20" s="148"/>
      <c r="F20" s="28">
        <v>0.11</v>
      </c>
    </row>
    <row r="21" spans="1:14" x14ac:dyDescent="0.25">
      <c r="B21" s="136" t="s">
        <v>60</v>
      </c>
      <c r="C21" s="136"/>
      <c r="D21" s="136"/>
      <c r="E21" s="136"/>
      <c r="F21" s="14">
        <f>SUM(N7:N17)</f>
        <v>68449773708.12899</v>
      </c>
    </row>
    <row r="22" spans="1:14" x14ac:dyDescent="0.25">
      <c r="B22" s="136" t="s">
        <v>59</v>
      </c>
      <c r="C22" s="136"/>
      <c r="D22" s="136"/>
      <c r="E22" s="136"/>
      <c r="F22" s="6">
        <f>F21*((1-F23)^10)</f>
        <v>7.7861421294558755E-4</v>
      </c>
    </row>
    <row r="23" spans="1:14" x14ac:dyDescent="0.25">
      <c r="B23" s="137" t="s">
        <v>58</v>
      </c>
      <c r="C23" s="137"/>
      <c r="D23" s="137"/>
      <c r="E23" s="137"/>
      <c r="F23" s="99">
        <v>0.95967308210339186</v>
      </c>
    </row>
  </sheetData>
  <mergeCells count="5">
    <mergeCell ref="A3:F3"/>
    <mergeCell ref="B20:E20"/>
    <mergeCell ref="B21:E21"/>
    <mergeCell ref="B22:E22"/>
    <mergeCell ref="B23:E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0CE8-E683-4BA1-9D69-1E580632C2F7}">
  <dimension ref="A1:AQ42"/>
  <sheetViews>
    <sheetView topLeftCell="A23" zoomScale="121" zoomScaleNormal="145" workbookViewId="0">
      <selection activeCell="B41" sqref="B41:C41"/>
    </sheetView>
  </sheetViews>
  <sheetFormatPr defaultRowHeight="15" x14ac:dyDescent="0.25"/>
  <cols>
    <col min="1" max="1" width="21.28515625" customWidth="1"/>
    <col min="2" max="2" width="16.140625" customWidth="1"/>
    <col min="3" max="3" width="20.5703125" customWidth="1"/>
    <col min="4" max="4" width="21.28515625" customWidth="1"/>
    <col min="5" max="5" width="15.7109375" customWidth="1"/>
    <col min="6" max="6" width="15.42578125" customWidth="1"/>
    <col min="7" max="7" width="14.7109375" customWidth="1"/>
    <col min="8" max="8" width="15.28515625" customWidth="1"/>
    <col min="9" max="9" width="20.42578125" customWidth="1"/>
    <col min="10" max="10" width="19.5703125" customWidth="1"/>
    <col min="11" max="11" width="17.85546875" customWidth="1"/>
    <col min="12" max="12" width="15.140625" customWidth="1"/>
    <col min="13" max="13" width="15.5703125" customWidth="1"/>
    <col min="14" max="14" width="20.28515625" customWidth="1"/>
    <col min="15" max="15" width="20.7109375" customWidth="1"/>
    <col min="16" max="16" width="15.85546875" customWidth="1"/>
    <col min="17" max="17" width="17.5703125" customWidth="1"/>
    <col min="18" max="18" width="20.7109375" customWidth="1"/>
    <col min="19" max="19" width="19.140625" customWidth="1"/>
    <col min="20" max="20" width="16.7109375" customWidth="1"/>
    <col min="21" max="21" width="17.5703125" customWidth="1"/>
    <col min="22" max="22" width="21" customWidth="1"/>
    <col min="23" max="23" width="17.140625" customWidth="1"/>
    <col min="24" max="37" width="25.7109375" customWidth="1"/>
    <col min="38" max="38" width="18.28515625" customWidth="1"/>
    <col min="39" max="39" width="15.7109375" customWidth="1"/>
  </cols>
  <sheetData>
    <row r="1" spans="1:38" x14ac:dyDescent="0.25">
      <c r="A1" s="114" t="s">
        <v>66</v>
      </c>
      <c r="B1" s="115"/>
      <c r="C1" s="115"/>
      <c r="D1" s="115"/>
      <c r="E1" s="116"/>
    </row>
    <row r="2" spans="1:38" x14ac:dyDescent="0.25">
      <c r="A2" s="138" t="s">
        <v>72</v>
      </c>
      <c r="B2" s="138"/>
      <c r="C2" s="138"/>
      <c r="D2" s="138"/>
      <c r="E2" s="138"/>
    </row>
    <row r="3" spans="1:38" x14ac:dyDescent="0.25">
      <c r="A3" s="138"/>
      <c r="B3" s="138"/>
      <c r="C3" s="138"/>
      <c r="D3" s="138"/>
      <c r="E3" s="138"/>
    </row>
    <row r="6" spans="1:38" ht="30" customHeight="1" x14ac:dyDescent="0.25">
      <c r="A6" s="3"/>
      <c r="J6" s="6"/>
      <c r="K6" s="128" t="s">
        <v>37</v>
      </c>
      <c r="L6" s="128"/>
    </row>
    <row r="7" spans="1:38" ht="39.75" customHeight="1" x14ac:dyDescent="0.25">
      <c r="A7" s="3"/>
      <c r="D7" s="29"/>
      <c r="E7" s="129" t="s">
        <v>28</v>
      </c>
      <c r="F7" s="130"/>
      <c r="G7" s="23"/>
      <c r="H7" s="23"/>
      <c r="I7" s="23"/>
      <c r="J7" s="6"/>
      <c r="K7" s="98" t="s">
        <v>38</v>
      </c>
      <c r="L7" s="98" t="s">
        <v>31</v>
      </c>
      <c r="N7" s="3"/>
      <c r="O7" s="3"/>
      <c r="P7" s="3"/>
      <c r="Q7" s="3"/>
      <c r="R7" s="3"/>
    </row>
    <row r="8" spans="1:38" x14ac:dyDescent="0.25">
      <c r="A8" s="3" t="s">
        <v>0</v>
      </c>
      <c r="B8" s="1">
        <v>0.1</v>
      </c>
      <c r="D8" s="30"/>
      <c r="E8" s="85" t="s">
        <v>24</v>
      </c>
      <c r="F8" s="87" t="s">
        <v>32</v>
      </c>
      <c r="G8" s="23"/>
      <c r="H8" s="23"/>
      <c r="J8" s="98">
        <v>2020</v>
      </c>
      <c r="K8" s="6">
        <v>45000000</v>
      </c>
      <c r="L8" s="6">
        <v>30000000</v>
      </c>
    </row>
    <row r="9" spans="1:38" x14ac:dyDescent="0.25">
      <c r="A9" s="10" t="s">
        <v>25</v>
      </c>
      <c r="B9" s="1">
        <v>0.02</v>
      </c>
      <c r="D9" s="9"/>
      <c r="E9" s="6" t="s">
        <v>29</v>
      </c>
      <c r="F9" s="6" t="s">
        <v>29</v>
      </c>
      <c r="G9" s="19"/>
      <c r="H9" s="19"/>
      <c r="J9" s="98">
        <v>2021</v>
      </c>
      <c r="K9" s="6">
        <f>K8*(1+g)</f>
        <v>47250000</v>
      </c>
      <c r="L9" s="6">
        <f>L8*(1+gr)</f>
        <v>32400000.000000004</v>
      </c>
    </row>
    <row r="10" spans="1:38" x14ac:dyDescent="0.25">
      <c r="A10" s="3" t="s">
        <v>1</v>
      </c>
      <c r="B10" s="2">
        <v>1.4999999999999999E-2</v>
      </c>
      <c r="D10" s="6" t="s">
        <v>30</v>
      </c>
      <c r="E10" s="28">
        <v>0.05</v>
      </c>
      <c r="F10" s="28">
        <v>0.05</v>
      </c>
      <c r="G10" s="39"/>
      <c r="H10" s="19"/>
      <c r="J10" s="98">
        <v>2022</v>
      </c>
      <c r="K10" s="6">
        <f>K9*(1+g)</f>
        <v>49612500</v>
      </c>
      <c r="L10" s="6">
        <f>L9*(1+gr)</f>
        <v>34992000.000000007</v>
      </c>
    </row>
    <row r="11" spans="1:38" x14ac:dyDescent="0.25">
      <c r="A11" s="3" t="s">
        <v>36</v>
      </c>
      <c r="B11" s="34">
        <v>0.11</v>
      </c>
      <c r="D11" s="6" t="s">
        <v>31</v>
      </c>
      <c r="E11" s="28">
        <v>0.08</v>
      </c>
      <c r="F11" s="28">
        <v>0.1</v>
      </c>
      <c r="G11" s="19"/>
      <c r="H11" s="19"/>
    </row>
    <row r="12" spans="1:38" ht="30.75" customHeight="1" x14ac:dyDescent="0.25">
      <c r="A12" s="36" t="s">
        <v>40</v>
      </c>
      <c r="B12" s="35">
        <v>100</v>
      </c>
      <c r="AF12" s="100" t="s">
        <v>62</v>
      </c>
      <c r="AG12" s="101">
        <v>2432000000</v>
      </c>
    </row>
    <row r="13" spans="1:38" ht="30" customHeight="1" x14ac:dyDescent="0.25">
      <c r="A13" s="10" t="s">
        <v>41</v>
      </c>
      <c r="B13" s="35">
        <v>50</v>
      </c>
      <c r="D13" s="109" t="s">
        <v>71</v>
      </c>
      <c r="E13" s="28">
        <v>-0.14866007747921534</v>
      </c>
    </row>
    <row r="14" spans="1:38" x14ac:dyDescent="0.25">
      <c r="A14" s="3"/>
    </row>
    <row r="15" spans="1:38" x14ac:dyDescent="0.25">
      <c r="A15" s="3"/>
      <c r="E15" s="119" t="s">
        <v>23</v>
      </c>
      <c r="F15" s="131"/>
      <c r="G15" s="131"/>
      <c r="H15" s="131"/>
      <c r="I15" s="131"/>
      <c r="J15" s="120"/>
      <c r="K15" s="133" t="s">
        <v>42</v>
      </c>
      <c r="L15" s="134"/>
      <c r="M15" s="135"/>
      <c r="N15" s="41"/>
      <c r="O15" s="41"/>
      <c r="P15" s="117" t="s">
        <v>9</v>
      </c>
      <c r="Q15" s="117"/>
      <c r="R15" s="117"/>
      <c r="S15" s="117"/>
      <c r="T15" s="31"/>
      <c r="U15" s="31"/>
    </row>
    <row r="16" spans="1:38" x14ac:dyDescent="0.25">
      <c r="A16" s="3"/>
      <c r="E16" s="118" t="s">
        <v>34</v>
      </c>
      <c r="F16" s="118"/>
      <c r="G16" s="123" t="s">
        <v>6</v>
      </c>
      <c r="H16" s="124"/>
      <c r="I16" s="124"/>
      <c r="J16" s="125"/>
      <c r="K16" s="126" t="s">
        <v>43</v>
      </c>
      <c r="L16" s="127"/>
      <c r="M16" s="37" t="s">
        <v>44</v>
      </c>
      <c r="N16" s="119" t="s">
        <v>46</v>
      </c>
      <c r="O16" s="120"/>
      <c r="P16" s="117" t="s">
        <v>47</v>
      </c>
      <c r="Q16" s="117"/>
      <c r="R16" s="117" t="s">
        <v>48</v>
      </c>
      <c r="S16" s="117"/>
      <c r="T16" s="66"/>
      <c r="U16" s="119" t="s">
        <v>11</v>
      </c>
      <c r="V16" s="120"/>
      <c r="W16" s="121" t="s">
        <v>12</v>
      </c>
      <c r="X16" s="122"/>
      <c r="Y16" s="132" t="s">
        <v>35</v>
      </c>
      <c r="Z16" s="132"/>
      <c r="AA16" s="117" t="s">
        <v>51</v>
      </c>
      <c r="AB16" s="117"/>
      <c r="AC16" s="117"/>
      <c r="AK16" s="4"/>
      <c r="AL16" s="4"/>
    </row>
    <row r="17" spans="1:38" ht="30" x14ac:dyDescent="0.25">
      <c r="A17" s="37" t="s">
        <v>22</v>
      </c>
      <c r="B17" s="37" t="s">
        <v>2</v>
      </c>
      <c r="C17" s="89" t="s">
        <v>3</v>
      </c>
      <c r="D17" s="90" t="s">
        <v>4</v>
      </c>
      <c r="E17" s="16" t="s">
        <v>8</v>
      </c>
      <c r="F17" s="24" t="s">
        <v>7</v>
      </c>
      <c r="G17" s="50" t="s">
        <v>8</v>
      </c>
      <c r="H17" s="51" t="s">
        <v>7</v>
      </c>
      <c r="I17" s="40" t="s">
        <v>33</v>
      </c>
      <c r="J17" s="86" t="s">
        <v>39</v>
      </c>
      <c r="K17" s="38" t="s">
        <v>45</v>
      </c>
      <c r="L17" s="38" t="s">
        <v>31</v>
      </c>
      <c r="M17" s="37" t="s">
        <v>31</v>
      </c>
      <c r="N17" s="11" t="s">
        <v>5</v>
      </c>
      <c r="O17" s="86" t="s">
        <v>6</v>
      </c>
      <c r="P17" s="42" t="s">
        <v>49</v>
      </c>
      <c r="Q17" s="37" t="s">
        <v>50</v>
      </c>
      <c r="R17" s="42" t="s">
        <v>5</v>
      </c>
      <c r="S17" s="63" t="s">
        <v>6</v>
      </c>
      <c r="T17" s="88" t="s">
        <v>10</v>
      </c>
      <c r="U17" s="86" t="s">
        <v>26</v>
      </c>
      <c r="V17" s="86" t="s">
        <v>27</v>
      </c>
      <c r="W17" s="13" t="s">
        <v>13</v>
      </c>
      <c r="X17" s="86" t="s">
        <v>14</v>
      </c>
      <c r="Y17" s="15" t="s">
        <v>5</v>
      </c>
      <c r="Z17" s="37" t="s">
        <v>6</v>
      </c>
      <c r="AA17" s="37" t="s">
        <v>52</v>
      </c>
      <c r="AB17" s="86" t="s">
        <v>16</v>
      </c>
      <c r="AC17" s="37" t="s">
        <v>15</v>
      </c>
      <c r="AD17" s="37" t="s">
        <v>17</v>
      </c>
      <c r="AE17" s="80" t="s">
        <v>35</v>
      </c>
      <c r="AF17" s="40" t="s">
        <v>64</v>
      </c>
      <c r="AG17" s="102" t="s">
        <v>61</v>
      </c>
      <c r="AH17" s="103" t="s">
        <v>63</v>
      </c>
      <c r="AI17" s="80" t="s">
        <v>54</v>
      </c>
      <c r="AJ17" s="59" t="s">
        <v>55</v>
      </c>
      <c r="AK17" s="82" t="s">
        <v>56</v>
      </c>
      <c r="AL17" s="82" t="s">
        <v>68</v>
      </c>
    </row>
    <row r="18" spans="1:38" x14ac:dyDescent="0.25">
      <c r="A18" s="37">
        <v>2022</v>
      </c>
      <c r="B18" s="37">
        <v>0</v>
      </c>
      <c r="C18" s="75">
        <v>150000000</v>
      </c>
      <c r="D18" s="75">
        <v>1000000000</v>
      </c>
      <c r="E18" s="7">
        <f>K10</f>
        <v>49612500</v>
      </c>
      <c r="F18" s="7">
        <f>L10</f>
        <v>34992000.000000007</v>
      </c>
      <c r="G18" s="53">
        <f>K10</f>
        <v>49612500</v>
      </c>
      <c r="H18" s="53">
        <f>L10</f>
        <v>34992000.000000007</v>
      </c>
      <c r="I18" s="54">
        <v>0</v>
      </c>
      <c r="J18" s="55">
        <f>H18-I18</f>
        <v>34992000.000000007</v>
      </c>
      <c r="K18" s="20">
        <v>36</v>
      </c>
      <c r="L18" s="20">
        <v>48</v>
      </c>
      <c r="M18" s="59">
        <f>L18*60%</f>
        <v>28.799999999999997</v>
      </c>
      <c r="N18" s="43">
        <f t="shared" ref="N18:N36" si="0">(K18*E18)+(L18*F18)</f>
        <v>3465666000.0000005</v>
      </c>
      <c r="O18" s="60">
        <f t="shared" ref="O18:O36" si="1">(K18*G18)+(J18*L18)+(I18*M18)</f>
        <v>3465666000.0000005</v>
      </c>
      <c r="P18" s="20">
        <v>100</v>
      </c>
      <c r="Q18" s="59">
        <v>50</v>
      </c>
      <c r="R18" s="46">
        <f>(E18+F18)*P18</f>
        <v>8460450000</v>
      </c>
      <c r="S18" s="64">
        <f>((G18+J18)*P18)+(I18*Q18)</f>
        <v>8460450000</v>
      </c>
      <c r="T18" s="68">
        <v>600000000</v>
      </c>
      <c r="U18" s="69">
        <v>400000000</v>
      </c>
      <c r="V18" s="69">
        <v>400000000</v>
      </c>
      <c r="W18" s="17">
        <v>500000000</v>
      </c>
      <c r="X18" s="75">
        <v>500000000</v>
      </c>
      <c r="Y18" s="48">
        <f>R18</f>
        <v>8460450000</v>
      </c>
      <c r="Z18" s="76">
        <f>S18</f>
        <v>8460450000</v>
      </c>
      <c r="AA18" s="60">
        <f t="shared" ref="AA18:AA25" si="2">5%*Z18</f>
        <v>423022500</v>
      </c>
      <c r="AB18" s="60">
        <f t="shared" ref="AB18:AB25" si="3">10%*Z18</f>
        <v>846045000</v>
      </c>
      <c r="AC18" s="78">
        <f t="shared" ref="AC18:AC36" si="4">6%*Z18</f>
        <v>507627000</v>
      </c>
      <c r="AD18" s="59">
        <f>30000000</f>
        <v>30000000</v>
      </c>
      <c r="AE18" s="81">
        <f>S18</f>
        <v>8460450000</v>
      </c>
      <c r="AF18" s="77">
        <f>C18+D18+O18+AA18+AB18+AC18-AD18</f>
        <v>6362360500</v>
      </c>
      <c r="AG18" s="104">
        <f t="shared" ref="AG18:AG36" si="5">br*$AG$12</f>
        <v>48640000</v>
      </c>
      <c r="AH18" s="60">
        <f>AF18+AG18</f>
        <v>6411000500</v>
      </c>
      <c r="AI18" s="83">
        <f>AE18-AH18</f>
        <v>2049449500</v>
      </c>
      <c r="AJ18" s="17">
        <f t="shared" ref="AJ18:AJ36" si="6">AI18*t</f>
        <v>204944950</v>
      </c>
      <c r="AK18" s="84">
        <f>AI18-AJ18</f>
        <v>1844504550</v>
      </c>
      <c r="AL18" s="14">
        <f>AK18*((1-$B$10)^B18)</f>
        <v>1844504550</v>
      </c>
    </row>
    <row r="19" spans="1:38" x14ac:dyDescent="0.25">
      <c r="A19" s="37">
        <v>2023</v>
      </c>
      <c r="B19" s="37">
        <v>1</v>
      </c>
      <c r="C19" s="107"/>
      <c r="D19" s="107">
        <f>$D$18*((1+$E$13)^B19)</f>
        <v>851339922.52078474</v>
      </c>
      <c r="E19" s="8">
        <f t="shared" ref="E19:E36" si="7">E18*(1+g)</f>
        <v>52093125</v>
      </c>
      <c r="F19" s="8">
        <f>F18*(1+gr)</f>
        <v>37791360.000000007</v>
      </c>
      <c r="G19" s="56">
        <f t="shared" ref="G19:G36" si="8">G18*(1+g)</f>
        <v>52093125</v>
      </c>
      <c r="H19" s="56">
        <f>H18*(1+grw)</f>
        <v>38491200.000000015</v>
      </c>
      <c r="I19" s="57">
        <v>5000000</v>
      </c>
      <c r="J19" s="55">
        <f t="shared" ref="J19:J36" si="9">H19-I19</f>
        <v>33491200.000000015</v>
      </c>
      <c r="K19" s="20">
        <f t="shared" ref="K19:L28" si="10">K18*(1+inf)</f>
        <v>36.54</v>
      </c>
      <c r="L19" s="20">
        <f t="shared" si="10"/>
        <v>48.72</v>
      </c>
      <c r="M19" s="59">
        <f t="shared" ref="M19:M36" si="11">L19*60%</f>
        <v>29.231999999999999</v>
      </c>
      <c r="N19" s="43">
        <f t="shared" si="0"/>
        <v>3744677846.7000003</v>
      </c>
      <c r="O19" s="60">
        <f t="shared" si="1"/>
        <v>3681334051.500001</v>
      </c>
      <c r="P19" s="20">
        <f t="shared" ref="P19:Q28" si="12">P18*(1+inf)</f>
        <v>101.49999999999999</v>
      </c>
      <c r="Q19" s="59">
        <f t="shared" si="12"/>
        <v>50.749999999999993</v>
      </c>
      <c r="R19" s="46">
        <f t="shared" ref="R19:R36" si="13">(E19+F19)*P19</f>
        <v>9123275227.4999981</v>
      </c>
      <c r="S19" s="64">
        <f t="shared" ref="S19:S36" si="14">((G19+J19)*P19)+(I19*Q19)</f>
        <v>8940558987.5</v>
      </c>
      <c r="T19" s="68">
        <f t="shared" ref="T19:T36" si="15">T18*(1+inf)</f>
        <v>609000000</v>
      </c>
      <c r="U19" s="69">
        <f>U18*(1+5%)</f>
        <v>420000000</v>
      </c>
      <c r="V19" s="69">
        <f>V18*(1+10%)</f>
        <v>440000000.00000006</v>
      </c>
      <c r="W19" s="17">
        <f>W18*(1+5%)</f>
        <v>525000000</v>
      </c>
      <c r="X19" s="75">
        <f>X18*(1+15%)</f>
        <v>575000000</v>
      </c>
      <c r="Y19" s="48">
        <f t="shared" ref="Y19:Z34" si="16">R19</f>
        <v>9123275227.4999981</v>
      </c>
      <c r="Z19" s="76">
        <f t="shared" si="16"/>
        <v>8940558987.5</v>
      </c>
      <c r="AA19" s="60">
        <f t="shared" si="2"/>
        <v>447027949.375</v>
      </c>
      <c r="AB19" s="60">
        <f t="shared" si="3"/>
        <v>894055898.75</v>
      </c>
      <c r="AC19" s="78">
        <f t="shared" si="4"/>
        <v>536433539.25</v>
      </c>
      <c r="AD19" s="59">
        <f t="shared" ref="AD19:AD36" si="17">AD18*(1.03)</f>
        <v>30900000</v>
      </c>
      <c r="AE19" s="81">
        <f t="shared" ref="AE19:AE36" si="18">S19</f>
        <v>8940558987.5</v>
      </c>
      <c r="AF19" s="60">
        <f>O19+X19+AA19+AB19+AC19-AD19</f>
        <v>6102951438.875001</v>
      </c>
      <c r="AG19" s="104">
        <f t="shared" si="5"/>
        <v>48640000</v>
      </c>
      <c r="AH19" s="60">
        <f t="shared" ref="AH19:AH36" si="19">AF19+AG19</f>
        <v>6151591438.875001</v>
      </c>
      <c r="AI19" s="83">
        <f t="shared" ref="AI19:AI36" si="20">AE19-AH19</f>
        <v>2788967548.624999</v>
      </c>
      <c r="AJ19" s="17">
        <f t="shared" si="6"/>
        <v>278896754.86249989</v>
      </c>
      <c r="AK19" s="84">
        <f t="shared" ref="AK19:AK36" si="21">AI19-AJ19</f>
        <v>2510070793.7624993</v>
      </c>
      <c r="AL19" s="14">
        <f t="shared" ref="AL19:AL36" si="22">AK19*((1-$B$10)^B19)</f>
        <v>2472419731.8560619</v>
      </c>
    </row>
    <row r="20" spans="1:38" x14ac:dyDescent="0.25">
      <c r="A20" s="37">
        <v>2024</v>
      </c>
      <c r="B20" s="37">
        <v>2</v>
      </c>
      <c r="C20" s="107"/>
      <c r="D20" s="107">
        <f t="shared" ref="D20:D36" si="23">$D$18*((1+$E$13)^B20)</f>
        <v>724779663.67769575</v>
      </c>
      <c r="E20" s="8">
        <f t="shared" si="7"/>
        <v>54697781.25</v>
      </c>
      <c r="F20" s="8">
        <f t="shared" ref="F20:F36" si="24">F19*(1+gr)</f>
        <v>40814668.800000012</v>
      </c>
      <c r="G20" s="56">
        <f t="shared" si="8"/>
        <v>54697781.25</v>
      </c>
      <c r="H20" s="56">
        <f t="shared" ref="H20:H36" si="25">H19*(1.1)</f>
        <v>42340320.000000022</v>
      </c>
      <c r="I20" s="57">
        <f>I19*(1+8%)</f>
        <v>5400000</v>
      </c>
      <c r="J20" s="55">
        <f t="shared" si="9"/>
        <v>36940320.000000022</v>
      </c>
      <c r="K20" s="20">
        <f t="shared" si="10"/>
        <v>37.088099999999997</v>
      </c>
      <c r="L20" s="20">
        <f t="shared" si="10"/>
        <v>49.450799999999994</v>
      </c>
      <c r="M20" s="59">
        <f t="shared" si="11"/>
        <v>29.670479999999994</v>
      </c>
      <c r="N20" s="43">
        <f t="shared" si="0"/>
        <v>4046954804.6731653</v>
      </c>
      <c r="O20" s="60">
        <f t="shared" si="1"/>
        <v>4015585749.0341258</v>
      </c>
      <c r="P20" s="20">
        <f t="shared" si="12"/>
        <v>103.02249999999998</v>
      </c>
      <c r="Q20" s="59">
        <f t="shared" si="12"/>
        <v>51.51124999999999</v>
      </c>
      <c r="R20" s="46">
        <f t="shared" si="13"/>
        <v>9839931385.276125</v>
      </c>
      <c r="S20" s="64">
        <f t="shared" si="14"/>
        <v>9718947036.0281258</v>
      </c>
      <c r="T20" s="68">
        <f t="shared" si="15"/>
        <v>618135000</v>
      </c>
      <c r="U20" s="69">
        <f t="shared" ref="U20:U36" si="26">U19*(1+5%)</f>
        <v>441000000</v>
      </c>
      <c r="V20" s="69">
        <f t="shared" ref="V20:V36" si="27">V19*(1+10%)</f>
        <v>484000000.00000012</v>
      </c>
      <c r="W20" s="17">
        <f t="shared" ref="W20:W36" si="28">W19*(1+5%)</f>
        <v>551250000</v>
      </c>
      <c r="X20" s="75">
        <f t="shared" ref="X20:X36" si="29">X19*(1+15%)</f>
        <v>661250000</v>
      </c>
      <c r="Y20" s="48">
        <f t="shared" si="16"/>
        <v>9839931385.276125</v>
      </c>
      <c r="Z20" s="76">
        <f t="shared" si="16"/>
        <v>9718947036.0281258</v>
      </c>
      <c r="AA20" s="60">
        <f t="shared" si="2"/>
        <v>485947351.80140632</v>
      </c>
      <c r="AB20" s="60">
        <f t="shared" si="3"/>
        <v>971894703.60281265</v>
      </c>
      <c r="AC20" s="78">
        <f t="shared" si="4"/>
        <v>583136822.16168749</v>
      </c>
      <c r="AD20" s="59">
        <f t="shared" si="17"/>
        <v>31827000</v>
      </c>
      <c r="AE20" s="81">
        <f t="shared" si="18"/>
        <v>9718947036.0281258</v>
      </c>
      <c r="AF20" s="60">
        <f>O20+X20+AA20+AB20+AC20-AD20</f>
        <v>6685987626.6000328</v>
      </c>
      <c r="AG20" s="104">
        <f t="shared" si="5"/>
        <v>48640000</v>
      </c>
      <c r="AH20" s="60">
        <f t="shared" si="19"/>
        <v>6734627626.6000328</v>
      </c>
      <c r="AI20" s="83">
        <f t="shared" si="20"/>
        <v>2984319409.428093</v>
      </c>
      <c r="AJ20" s="17">
        <f t="shared" si="6"/>
        <v>298431940.94280928</v>
      </c>
      <c r="AK20" s="84">
        <f t="shared" si="21"/>
        <v>2685887468.4852839</v>
      </c>
      <c r="AL20" s="14">
        <f t="shared" si="22"/>
        <v>2605915169.1111345</v>
      </c>
    </row>
    <row r="21" spans="1:38" x14ac:dyDescent="0.25">
      <c r="A21" s="37">
        <v>2025</v>
      </c>
      <c r="B21" s="37">
        <v>3</v>
      </c>
      <c r="C21" s="107"/>
      <c r="D21" s="107">
        <f t="shared" si="23"/>
        <v>617033862.72000992</v>
      </c>
      <c r="E21" s="8">
        <f t="shared" si="7"/>
        <v>57432670.3125</v>
      </c>
      <c r="F21" s="8">
        <f t="shared" si="24"/>
        <v>44079842.304000013</v>
      </c>
      <c r="G21" s="56">
        <f t="shared" si="8"/>
        <v>57432670.3125</v>
      </c>
      <c r="H21" s="56">
        <f t="shared" si="25"/>
        <v>46574352.00000003</v>
      </c>
      <c r="I21" s="57">
        <f t="shared" ref="I21:I36" si="30">I20*(1+8%)</f>
        <v>5832000</v>
      </c>
      <c r="J21" s="55">
        <f t="shared" si="9"/>
        <v>40742352.00000003</v>
      </c>
      <c r="K21" s="20">
        <f t="shared" si="10"/>
        <v>37.644421499999993</v>
      </c>
      <c r="L21" s="20">
        <f t="shared" si="10"/>
        <v>50.192561999999988</v>
      </c>
      <c r="M21" s="59">
        <f t="shared" si="11"/>
        <v>30.115537199999991</v>
      </c>
      <c r="N21" s="43">
        <f t="shared" si="0"/>
        <v>4374499866.9080296</v>
      </c>
      <c r="O21" s="60">
        <f t="shared" si="1"/>
        <v>4382616490.8505116</v>
      </c>
      <c r="P21" s="20">
        <f t="shared" si="12"/>
        <v>104.56783749999997</v>
      </c>
      <c r="Q21" s="59">
        <f t="shared" si="12"/>
        <v>52.283918749999984</v>
      </c>
      <c r="R21" s="46">
        <f t="shared" si="13"/>
        <v>10614943923.498871</v>
      </c>
      <c r="S21" s="64">
        <f t="shared" si="14"/>
        <v>10570869593.882374</v>
      </c>
      <c r="T21" s="68">
        <f t="shared" si="15"/>
        <v>627407024.99999988</v>
      </c>
      <c r="U21" s="69">
        <f t="shared" si="26"/>
        <v>463050000</v>
      </c>
      <c r="V21" s="69">
        <f t="shared" si="27"/>
        <v>532400000.00000018</v>
      </c>
      <c r="W21" s="17">
        <f t="shared" si="28"/>
        <v>578812500</v>
      </c>
      <c r="X21" s="75">
        <f t="shared" si="29"/>
        <v>760437500</v>
      </c>
      <c r="Y21" s="48">
        <f t="shared" si="16"/>
        <v>10614943923.498871</v>
      </c>
      <c r="Z21" s="76">
        <f t="shared" si="16"/>
        <v>10570869593.882374</v>
      </c>
      <c r="AA21" s="60">
        <f t="shared" si="2"/>
        <v>528543479.69411874</v>
      </c>
      <c r="AB21" s="60">
        <f t="shared" si="3"/>
        <v>1057086959.3882375</v>
      </c>
      <c r="AC21" s="78">
        <f t="shared" si="4"/>
        <v>634252175.63294244</v>
      </c>
      <c r="AD21" s="59">
        <f t="shared" si="17"/>
        <v>32781810</v>
      </c>
      <c r="AE21" s="81">
        <f t="shared" si="18"/>
        <v>10570869593.882374</v>
      </c>
      <c r="AF21" s="60">
        <f>O21+X21+AA21+AB21+AC21-AD21</f>
        <v>7330154795.5658092</v>
      </c>
      <c r="AG21" s="104">
        <f t="shared" si="5"/>
        <v>48640000</v>
      </c>
      <c r="AH21" s="60">
        <f t="shared" si="19"/>
        <v>7378794795.5658092</v>
      </c>
      <c r="AI21" s="83">
        <f t="shared" si="20"/>
        <v>3192074798.3165646</v>
      </c>
      <c r="AJ21" s="17">
        <f t="shared" si="6"/>
        <v>319207479.83165646</v>
      </c>
      <c r="AK21" s="84">
        <f t="shared" si="21"/>
        <v>2872867318.4849081</v>
      </c>
      <c r="AL21" s="14">
        <f t="shared" si="22"/>
        <v>2745517778.6658649</v>
      </c>
    </row>
    <row r="22" spans="1:38" x14ac:dyDescent="0.25">
      <c r="A22" s="37">
        <v>2026</v>
      </c>
      <c r="B22" s="37">
        <v>4</v>
      </c>
      <c r="C22" s="107"/>
      <c r="D22" s="107">
        <f t="shared" si="23"/>
        <v>525305560.88075376</v>
      </c>
      <c r="E22" s="8">
        <f t="shared" si="7"/>
        <v>60304303.828125</v>
      </c>
      <c r="F22" s="8">
        <f t="shared" si="24"/>
        <v>47606229.688320018</v>
      </c>
      <c r="G22" s="56">
        <f t="shared" si="8"/>
        <v>60304303.828125</v>
      </c>
      <c r="H22" s="56">
        <f t="shared" si="25"/>
        <v>51231787.20000004</v>
      </c>
      <c r="I22" s="57">
        <f t="shared" si="30"/>
        <v>6298560</v>
      </c>
      <c r="J22" s="55">
        <f t="shared" si="9"/>
        <v>44933227.20000004</v>
      </c>
      <c r="K22" s="20">
        <f t="shared" si="10"/>
        <v>38.209087822499988</v>
      </c>
      <c r="L22" s="20">
        <f t="shared" si="10"/>
        <v>50.94545042999998</v>
      </c>
      <c r="M22" s="59">
        <f t="shared" si="11"/>
        <v>30.567270257999986</v>
      </c>
      <c r="N22" s="43">
        <f t="shared" si="0"/>
        <v>4729493255.7890511</v>
      </c>
      <c r="O22" s="60">
        <f t="shared" si="1"/>
        <v>4785845725.7773085</v>
      </c>
      <c r="P22" s="20">
        <f t="shared" si="12"/>
        <v>106.13635506249996</v>
      </c>
      <c r="Q22" s="59">
        <f t="shared" si="12"/>
        <v>53.068177531249979</v>
      </c>
      <c r="R22" s="46">
        <f t="shared" si="13"/>
        <v>11453230700.28521</v>
      </c>
      <c r="S22" s="64">
        <f t="shared" si="14"/>
        <v>11503781059.373167</v>
      </c>
      <c r="T22" s="70">
        <f t="shared" si="15"/>
        <v>636818130.37499976</v>
      </c>
      <c r="U22" s="69">
        <f t="shared" si="26"/>
        <v>486202500</v>
      </c>
      <c r="V22" s="69">
        <f t="shared" si="27"/>
        <v>585640000.00000024</v>
      </c>
      <c r="W22" s="17">
        <f t="shared" si="28"/>
        <v>607753125</v>
      </c>
      <c r="X22" s="75">
        <f t="shared" si="29"/>
        <v>874503124.99999988</v>
      </c>
      <c r="Y22" s="48">
        <f t="shared" si="16"/>
        <v>11453230700.28521</v>
      </c>
      <c r="Z22" s="76">
        <f t="shared" si="16"/>
        <v>11503781059.373167</v>
      </c>
      <c r="AA22" s="60">
        <f t="shared" si="2"/>
        <v>575189052.96865833</v>
      </c>
      <c r="AB22" s="60">
        <f t="shared" si="3"/>
        <v>1150378105.9373167</v>
      </c>
      <c r="AC22" s="78">
        <f t="shared" si="4"/>
        <v>690226863.56238997</v>
      </c>
      <c r="AD22" s="59">
        <f t="shared" si="17"/>
        <v>33765264.300000004</v>
      </c>
      <c r="AE22" s="81">
        <f t="shared" si="18"/>
        <v>11503781059.373167</v>
      </c>
      <c r="AF22" s="60">
        <f>O22+X22+AA22+AB22+AC22+T22-AD22</f>
        <v>8679195739.3206749</v>
      </c>
      <c r="AG22" s="104">
        <f t="shared" si="5"/>
        <v>48640000</v>
      </c>
      <c r="AH22" s="60">
        <f t="shared" si="19"/>
        <v>8727835739.3206749</v>
      </c>
      <c r="AI22" s="83">
        <f t="shared" si="20"/>
        <v>2775945320.0524921</v>
      </c>
      <c r="AJ22" s="17">
        <f t="shared" si="6"/>
        <v>277594532.0052492</v>
      </c>
      <c r="AK22" s="84">
        <f t="shared" si="21"/>
        <v>2498350788.0472431</v>
      </c>
      <c r="AL22" s="14">
        <f t="shared" si="22"/>
        <v>2351788913.0716424</v>
      </c>
    </row>
    <row r="23" spans="1:38" x14ac:dyDescent="0.25">
      <c r="A23" s="37">
        <v>2027</v>
      </c>
      <c r="B23" s="37">
        <v>5</v>
      </c>
      <c r="C23" s="107"/>
      <c r="D23" s="107">
        <f t="shared" si="23"/>
        <v>447213595.49995828</v>
      </c>
      <c r="E23" s="8">
        <f t="shared" si="7"/>
        <v>63319519.01953125</v>
      </c>
      <c r="F23" s="8">
        <f t="shared" si="24"/>
        <v>51414728.063385621</v>
      </c>
      <c r="G23" s="56">
        <f t="shared" si="8"/>
        <v>63319519.01953125</v>
      </c>
      <c r="H23" s="56">
        <f t="shared" si="25"/>
        <v>56354965.920000046</v>
      </c>
      <c r="I23" s="57">
        <f t="shared" si="30"/>
        <v>6802444.8000000007</v>
      </c>
      <c r="J23" s="55">
        <f t="shared" si="9"/>
        <v>49552521.120000049</v>
      </c>
      <c r="K23" s="20">
        <f t="shared" si="10"/>
        <v>38.782224139837481</v>
      </c>
      <c r="L23" s="20">
        <f t="shared" si="10"/>
        <v>51.709632186449973</v>
      </c>
      <c r="M23" s="59">
        <f t="shared" si="11"/>
        <v>31.025779311869982</v>
      </c>
      <c r="N23" s="43">
        <f t="shared" si="0"/>
        <v>5114308456.1661816</v>
      </c>
      <c r="O23" s="60">
        <f t="shared" si="1"/>
        <v>5229065571.2146378</v>
      </c>
      <c r="P23" s="20">
        <f t="shared" si="12"/>
        <v>107.72840038843745</v>
      </c>
      <c r="Q23" s="59">
        <f t="shared" si="12"/>
        <v>53.864200194218725</v>
      </c>
      <c r="R23" s="46">
        <f t="shared" si="13"/>
        <v>12360136908.01438</v>
      </c>
      <c r="S23" s="64">
        <f t="shared" si="14"/>
        <v>12525932581.328533</v>
      </c>
      <c r="T23" s="68">
        <f t="shared" si="15"/>
        <v>646370402.3306247</v>
      </c>
      <c r="U23" s="69">
        <f t="shared" si="26"/>
        <v>510512625</v>
      </c>
      <c r="V23" s="69">
        <f t="shared" si="27"/>
        <v>644204000.00000036</v>
      </c>
      <c r="W23" s="17">
        <f t="shared" si="28"/>
        <v>638140781.25</v>
      </c>
      <c r="X23" s="75">
        <f t="shared" si="29"/>
        <v>1005678593.7499998</v>
      </c>
      <c r="Y23" s="48">
        <f t="shared" si="16"/>
        <v>12360136908.01438</v>
      </c>
      <c r="Z23" s="76">
        <f t="shared" si="16"/>
        <v>12525932581.328533</v>
      </c>
      <c r="AA23" s="60">
        <f t="shared" si="2"/>
        <v>626296629.06642663</v>
      </c>
      <c r="AB23" s="60">
        <f t="shared" si="3"/>
        <v>1252593258.1328533</v>
      </c>
      <c r="AC23" s="78">
        <f t="shared" si="4"/>
        <v>751555954.87971199</v>
      </c>
      <c r="AD23" s="59">
        <f t="shared" si="17"/>
        <v>34778222.229000002</v>
      </c>
      <c r="AE23" s="81">
        <f t="shared" si="18"/>
        <v>12525932581.328533</v>
      </c>
      <c r="AF23" s="60">
        <f t="shared" ref="AF23:AF36" si="31">O23+X23+AA23+AB23+AC23-AD23</f>
        <v>8830411784.8146286</v>
      </c>
      <c r="AG23" s="104">
        <f t="shared" si="5"/>
        <v>48640000</v>
      </c>
      <c r="AH23" s="60">
        <f t="shared" si="19"/>
        <v>8879051784.8146286</v>
      </c>
      <c r="AI23" s="83">
        <f t="shared" si="20"/>
        <v>3646880796.5139046</v>
      </c>
      <c r="AJ23" s="17">
        <f t="shared" si="6"/>
        <v>364688079.65139049</v>
      </c>
      <c r="AK23" s="84">
        <f t="shared" si="21"/>
        <v>3282192716.862514</v>
      </c>
      <c r="AL23" s="14">
        <f t="shared" si="22"/>
        <v>3043303251.0191884</v>
      </c>
    </row>
    <row r="24" spans="1:38" x14ac:dyDescent="0.25">
      <c r="A24" s="37">
        <v>2028</v>
      </c>
      <c r="B24" s="37">
        <v>6</v>
      </c>
      <c r="C24" s="107"/>
      <c r="D24" s="107">
        <f t="shared" si="23"/>
        <v>380730787.74317604</v>
      </c>
      <c r="E24" s="8">
        <f t="shared" si="7"/>
        <v>66485494.970507815</v>
      </c>
      <c r="F24" s="8">
        <f t="shared" si="24"/>
        <v>55527906.308456473</v>
      </c>
      <c r="G24" s="56">
        <f t="shared" si="8"/>
        <v>66485494.970507815</v>
      </c>
      <c r="H24" s="56">
        <f t="shared" si="25"/>
        <v>61990462.512000054</v>
      </c>
      <c r="I24" s="57">
        <f t="shared" si="30"/>
        <v>7346640.3840000015</v>
      </c>
      <c r="J24" s="55">
        <f t="shared" si="9"/>
        <v>54643822.128000051</v>
      </c>
      <c r="K24" s="20">
        <f t="shared" si="10"/>
        <v>39.36395750193504</v>
      </c>
      <c r="L24" s="20">
        <f t="shared" si="10"/>
        <v>52.485276669246716</v>
      </c>
      <c r="M24" s="59">
        <f t="shared" si="11"/>
        <v>31.491166001548027</v>
      </c>
      <c r="N24" s="43">
        <f t="shared" si="0"/>
        <v>5531529723.9775333</v>
      </c>
      <c r="O24" s="60">
        <f t="shared" si="1"/>
        <v>5716482593.0535946</v>
      </c>
      <c r="P24" s="20">
        <f t="shared" si="12"/>
        <v>109.344326394264</v>
      </c>
      <c r="Q24" s="59">
        <f t="shared" si="12"/>
        <v>54.672163197132001</v>
      </c>
      <c r="R24" s="46">
        <f t="shared" si="13"/>
        <v>13341473173.921379</v>
      </c>
      <c r="S24" s="64">
        <f t="shared" si="14"/>
        <v>13646460306.758236</v>
      </c>
      <c r="T24" s="71">
        <f t="shared" si="15"/>
        <v>656065958.36558402</v>
      </c>
      <c r="U24" s="72">
        <f t="shared" si="26"/>
        <v>536038256.25</v>
      </c>
      <c r="V24" s="69">
        <f t="shared" si="27"/>
        <v>708624400.00000048</v>
      </c>
      <c r="W24" s="17">
        <f t="shared" si="28"/>
        <v>670047820.3125</v>
      </c>
      <c r="X24" s="75">
        <f t="shared" si="29"/>
        <v>1156530382.8124995</v>
      </c>
      <c r="Y24" s="48">
        <f t="shared" si="16"/>
        <v>13341473173.921379</v>
      </c>
      <c r="Z24" s="76">
        <f t="shared" si="16"/>
        <v>13646460306.758236</v>
      </c>
      <c r="AA24" s="60">
        <f t="shared" si="2"/>
        <v>682323015.33791184</v>
      </c>
      <c r="AB24" s="60">
        <f t="shared" si="3"/>
        <v>1364646030.6758237</v>
      </c>
      <c r="AC24" s="78">
        <f t="shared" si="4"/>
        <v>818787618.40549409</v>
      </c>
      <c r="AD24" s="59">
        <f t="shared" si="17"/>
        <v>35821568.89587</v>
      </c>
      <c r="AE24" s="81">
        <f t="shared" si="18"/>
        <v>13646460306.758236</v>
      </c>
      <c r="AF24" s="60">
        <f t="shared" si="31"/>
        <v>9702948071.3894539</v>
      </c>
      <c r="AG24" s="104">
        <f t="shared" si="5"/>
        <v>48640000</v>
      </c>
      <c r="AH24" s="60">
        <f t="shared" si="19"/>
        <v>9751588071.3894539</v>
      </c>
      <c r="AI24" s="83">
        <f t="shared" si="20"/>
        <v>3894872235.368782</v>
      </c>
      <c r="AJ24" s="17">
        <f t="shared" si="6"/>
        <v>389487223.53687823</v>
      </c>
      <c r="AK24" s="84">
        <f t="shared" si="21"/>
        <v>3505385011.8319039</v>
      </c>
      <c r="AL24" s="14">
        <f t="shared" si="22"/>
        <v>3201497067.663928</v>
      </c>
    </row>
    <row r="25" spans="1:38" x14ac:dyDescent="0.25">
      <c r="A25" s="37">
        <v>2029</v>
      </c>
      <c r="B25" s="37">
        <v>7</v>
      </c>
      <c r="C25" s="107"/>
      <c r="D25" s="107">
        <f t="shared" si="23"/>
        <v>324131319.33855283</v>
      </c>
      <c r="E25" s="8">
        <f t="shared" si="7"/>
        <v>69809769.719033211</v>
      </c>
      <c r="F25" s="8">
        <f t="shared" si="24"/>
        <v>59970138.813132994</v>
      </c>
      <c r="G25" s="56">
        <f t="shared" si="8"/>
        <v>69809769.719033211</v>
      </c>
      <c r="H25" s="56">
        <f t="shared" si="25"/>
        <v>68189508.76320006</v>
      </c>
      <c r="I25" s="57">
        <f t="shared" si="30"/>
        <v>7934371.6147200018</v>
      </c>
      <c r="J25" s="55">
        <f t="shared" si="9"/>
        <v>60255137.148480058</v>
      </c>
      <c r="K25" s="20">
        <f t="shared" si="10"/>
        <v>39.954416864464065</v>
      </c>
      <c r="L25" s="20">
        <f t="shared" si="10"/>
        <v>53.272555819285408</v>
      </c>
      <c r="M25" s="59">
        <f t="shared" si="11"/>
        <v>31.963533491571244</v>
      </c>
      <c r="N25" s="43">
        <f t="shared" si="0"/>
        <v>5983971207.9794159</v>
      </c>
      <c r="O25" s="60">
        <f t="shared" si="1"/>
        <v>6252764350.5492706</v>
      </c>
      <c r="P25" s="20">
        <f t="shared" si="12"/>
        <v>110.98449129017796</v>
      </c>
      <c r="Q25" s="59">
        <f t="shared" si="12"/>
        <v>55.492245645088978</v>
      </c>
      <c r="R25" s="46">
        <f t="shared" si="13"/>
        <v>14403557128.128292</v>
      </c>
      <c r="S25" s="64">
        <f t="shared" si="14"/>
        <v>14875483622.078798</v>
      </c>
      <c r="T25" s="68">
        <f t="shared" si="15"/>
        <v>665906947.74106777</v>
      </c>
      <c r="U25" s="69">
        <f t="shared" si="26"/>
        <v>562840169.0625</v>
      </c>
      <c r="V25" s="69">
        <f t="shared" si="27"/>
        <v>779486840.0000006</v>
      </c>
      <c r="W25" s="17">
        <f t="shared" si="28"/>
        <v>703550211.328125</v>
      </c>
      <c r="X25" s="75">
        <f t="shared" si="29"/>
        <v>1330009940.2343743</v>
      </c>
      <c r="Y25" s="48">
        <f t="shared" si="16"/>
        <v>14403557128.128292</v>
      </c>
      <c r="Z25" s="76">
        <f t="shared" si="16"/>
        <v>14875483622.078798</v>
      </c>
      <c r="AA25" s="60">
        <f t="shared" si="2"/>
        <v>743774181.10394001</v>
      </c>
      <c r="AB25" s="60">
        <f t="shared" si="3"/>
        <v>1487548362.20788</v>
      </c>
      <c r="AC25" s="78">
        <f t="shared" si="4"/>
        <v>892529017.32472789</v>
      </c>
      <c r="AD25" s="59">
        <f t="shared" si="17"/>
        <v>36896215.962746099</v>
      </c>
      <c r="AE25" s="81">
        <f t="shared" si="18"/>
        <v>14875483622.078798</v>
      </c>
      <c r="AF25" s="60">
        <f t="shared" si="31"/>
        <v>10669729635.457447</v>
      </c>
      <c r="AG25" s="104">
        <f t="shared" si="5"/>
        <v>48640000</v>
      </c>
      <c r="AH25" s="60">
        <f t="shared" si="19"/>
        <v>10718369635.457447</v>
      </c>
      <c r="AI25" s="83">
        <f t="shared" si="20"/>
        <v>4157113986.6213512</v>
      </c>
      <c r="AJ25" s="17">
        <f t="shared" si="6"/>
        <v>415711398.66213512</v>
      </c>
      <c r="AK25" s="84">
        <f t="shared" si="21"/>
        <v>3741402587.9592161</v>
      </c>
      <c r="AL25" s="14">
        <f t="shared" si="22"/>
        <v>3365798060.2026134</v>
      </c>
    </row>
    <row r="26" spans="1:38" x14ac:dyDescent="0.25">
      <c r="A26" s="37">
        <v>2030</v>
      </c>
      <c r="B26" s="37">
        <v>8</v>
      </c>
      <c r="C26" s="107"/>
      <c r="D26" s="107">
        <f t="shared" si="23"/>
        <v>275945932.2922433</v>
      </c>
      <c r="E26" s="8">
        <f t="shared" si="7"/>
        <v>73300258.204984874</v>
      </c>
      <c r="F26" s="8">
        <f t="shared" si="24"/>
        <v>64767749.91818364</v>
      </c>
      <c r="G26" s="56">
        <f t="shared" si="8"/>
        <v>73300258.204984874</v>
      </c>
      <c r="H26" s="56">
        <f t="shared" si="25"/>
        <v>75008459.639520079</v>
      </c>
      <c r="I26" s="57">
        <f t="shared" si="30"/>
        <v>8569121.3438976035</v>
      </c>
      <c r="J26" s="55">
        <f t="shared" si="9"/>
        <v>66439338.295622475</v>
      </c>
      <c r="K26" s="20">
        <f t="shared" si="10"/>
        <v>40.553733117431022</v>
      </c>
      <c r="L26" s="20">
        <f t="shared" si="10"/>
        <v>54.071644156574685</v>
      </c>
      <c r="M26" s="59">
        <f t="shared" si="11"/>
        <v>32.442986493944808</v>
      </c>
      <c r="N26" s="43">
        <f t="shared" si="0"/>
        <v>6474697835.0817852</v>
      </c>
      <c r="O26" s="60">
        <f t="shared" si="1"/>
        <v>6843091255.0279684</v>
      </c>
      <c r="P26" s="20">
        <f t="shared" si="12"/>
        <v>112.64925865953062</v>
      </c>
      <c r="Q26" s="59">
        <f t="shared" si="12"/>
        <v>56.324629329765308</v>
      </c>
      <c r="R26" s="46">
        <f t="shared" si="13"/>
        <v>15553258759.672985</v>
      </c>
      <c r="S26" s="64">
        <f t="shared" si="14"/>
        <v>16224214534.552168</v>
      </c>
      <c r="T26" s="68">
        <f t="shared" si="15"/>
        <v>675895551.95718372</v>
      </c>
      <c r="U26" s="69">
        <f t="shared" si="26"/>
        <v>590982177.515625</v>
      </c>
      <c r="V26" s="69">
        <f t="shared" si="27"/>
        <v>857435524.00000072</v>
      </c>
      <c r="W26" s="17">
        <f t="shared" si="28"/>
        <v>738727721.89453125</v>
      </c>
      <c r="X26" s="75">
        <f t="shared" si="29"/>
        <v>1529511431.2695303</v>
      </c>
      <c r="Y26" s="48">
        <f t="shared" si="16"/>
        <v>15553258759.672985</v>
      </c>
      <c r="Z26" s="76">
        <f t="shared" si="16"/>
        <v>16224214534.552168</v>
      </c>
      <c r="AA26" s="60">
        <f>5%*Z26</f>
        <v>811210726.72760844</v>
      </c>
      <c r="AB26" s="60">
        <f>10%*Z26</f>
        <v>1622421453.4552169</v>
      </c>
      <c r="AC26" s="78">
        <f t="shared" si="4"/>
        <v>973452872.07313001</v>
      </c>
      <c r="AD26" s="59">
        <f t="shared" si="17"/>
        <v>38003102.441628486</v>
      </c>
      <c r="AE26" s="81">
        <f t="shared" si="18"/>
        <v>16224214534.552168</v>
      </c>
      <c r="AF26" s="60">
        <f t="shared" si="31"/>
        <v>11741684636.111824</v>
      </c>
      <c r="AG26" s="104">
        <f t="shared" si="5"/>
        <v>48640000</v>
      </c>
      <c r="AH26" s="60">
        <f t="shared" si="19"/>
        <v>11790324636.111824</v>
      </c>
      <c r="AI26" s="83">
        <f t="shared" si="20"/>
        <v>4433889898.4403439</v>
      </c>
      <c r="AJ26" s="17">
        <f t="shared" si="6"/>
        <v>443388989.84403443</v>
      </c>
      <c r="AK26" s="84">
        <f t="shared" si="21"/>
        <v>3990500908.5963097</v>
      </c>
      <c r="AL26" s="14">
        <f t="shared" si="22"/>
        <v>3536040723.5260043</v>
      </c>
    </row>
    <row r="27" spans="1:38" x14ac:dyDescent="0.25">
      <c r="A27" s="37">
        <v>2031</v>
      </c>
      <c r="B27" s="37">
        <v>9</v>
      </c>
      <c r="C27" s="107"/>
      <c r="D27" s="107">
        <f t="shared" si="23"/>
        <v>234923788.61760411</v>
      </c>
      <c r="E27" s="8">
        <f t="shared" si="7"/>
        <v>76965271.115234122</v>
      </c>
      <c r="F27" s="8">
        <f t="shared" si="24"/>
        <v>69949169.911638334</v>
      </c>
      <c r="G27" s="56">
        <f t="shared" si="8"/>
        <v>76965271.115234122</v>
      </c>
      <c r="H27" s="56">
        <f t="shared" si="25"/>
        <v>82509305.603472099</v>
      </c>
      <c r="I27" s="57">
        <f t="shared" si="30"/>
        <v>9254651.0514094122</v>
      </c>
      <c r="J27" s="55">
        <f t="shared" si="9"/>
        <v>73254654.55206269</v>
      </c>
      <c r="K27" s="20">
        <f t="shared" si="10"/>
        <v>41.162039114192481</v>
      </c>
      <c r="L27" s="20">
        <f t="shared" si="10"/>
        <v>54.882718818923301</v>
      </c>
      <c r="M27" s="59">
        <f t="shared" si="11"/>
        <v>32.929631291353978</v>
      </c>
      <c r="N27" s="43">
        <f t="shared" si="0"/>
        <v>7007048123.9572325</v>
      </c>
      <c r="O27" s="60">
        <f t="shared" si="1"/>
        <v>7493214354.8909655</v>
      </c>
      <c r="P27" s="20">
        <f t="shared" si="12"/>
        <v>114.33899753942356</v>
      </c>
      <c r="Q27" s="59">
        <f t="shared" si="12"/>
        <v>57.16949876971178</v>
      </c>
      <c r="R27" s="46">
        <f t="shared" si="13"/>
        <v>16798049911.077358</v>
      </c>
      <c r="S27" s="64">
        <f t="shared" si="14"/>
        <v>17705079473.143105</v>
      </c>
      <c r="T27" s="68">
        <f t="shared" si="15"/>
        <v>686033985.23654139</v>
      </c>
      <c r="U27" s="69">
        <f t="shared" si="26"/>
        <v>620531286.3914063</v>
      </c>
      <c r="V27" s="69">
        <f t="shared" si="27"/>
        <v>943179076.40000081</v>
      </c>
      <c r="W27" s="17">
        <f t="shared" si="28"/>
        <v>775664107.98925781</v>
      </c>
      <c r="X27" s="75">
        <f t="shared" si="29"/>
        <v>1758938145.9599597</v>
      </c>
      <c r="Y27" s="48">
        <f t="shared" si="16"/>
        <v>16798049911.077358</v>
      </c>
      <c r="Z27" s="76">
        <f t="shared" si="16"/>
        <v>17705079473.143105</v>
      </c>
      <c r="AA27" s="60">
        <f>5%*Z27</f>
        <v>885253973.65715528</v>
      </c>
      <c r="AB27" s="60">
        <f>10%*Z27</f>
        <v>1770507947.3143106</v>
      </c>
      <c r="AC27" s="78">
        <f t="shared" si="4"/>
        <v>1062304768.3885863</v>
      </c>
      <c r="AD27" s="59">
        <f t="shared" si="17"/>
        <v>39143195.514877342</v>
      </c>
      <c r="AE27" s="81">
        <f t="shared" si="18"/>
        <v>17705079473.143105</v>
      </c>
      <c r="AF27" s="60">
        <f t="shared" si="31"/>
        <v>12931075994.6961</v>
      </c>
      <c r="AG27" s="104">
        <f t="shared" si="5"/>
        <v>48640000</v>
      </c>
      <c r="AH27" s="60">
        <f t="shared" si="19"/>
        <v>12979715994.6961</v>
      </c>
      <c r="AI27" s="83">
        <f t="shared" si="20"/>
        <v>4725363478.4470043</v>
      </c>
      <c r="AJ27" s="17">
        <f t="shared" si="6"/>
        <v>472536347.84470046</v>
      </c>
      <c r="AK27" s="84">
        <f t="shared" si="21"/>
        <v>4252827130.602304</v>
      </c>
      <c r="AL27" s="14">
        <f t="shared" si="22"/>
        <v>3711964416.0856867</v>
      </c>
    </row>
    <row r="28" spans="1:38" x14ac:dyDescent="0.25">
      <c r="A28" s="37">
        <v>2032</v>
      </c>
      <c r="B28" s="37">
        <v>10</v>
      </c>
      <c r="C28" s="107"/>
      <c r="D28" s="107">
        <f t="shared" si="23"/>
        <v>200000000.0000003</v>
      </c>
      <c r="E28" s="106">
        <f t="shared" si="7"/>
        <v>80813534.670995831</v>
      </c>
      <c r="F28" s="33">
        <f t="shared" si="24"/>
        <v>75545103.504569411</v>
      </c>
      <c r="G28" s="58">
        <f t="shared" si="8"/>
        <v>80813534.670995831</v>
      </c>
      <c r="H28" s="58">
        <f t="shared" si="25"/>
        <v>90760236.163819313</v>
      </c>
      <c r="I28" s="58">
        <f t="shared" si="30"/>
        <v>9995023.1355221663</v>
      </c>
      <c r="J28" s="58">
        <f t="shared" si="9"/>
        <v>80765213.028297141</v>
      </c>
      <c r="K28" s="20">
        <f t="shared" si="10"/>
        <v>41.779469700905366</v>
      </c>
      <c r="L28" s="20">
        <f t="shared" si="10"/>
        <v>55.705959601207148</v>
      </c>
      <c r="M28" s="59">
        <f t="shared" si="11"/>
        <v>33.42357576072429</v>
      </c>
      <c r="N28" s="44">
        <f t="shared" si="0"/>
        <v>7584659107.1044922</v>
      </c>
      <c r="O28" s="61">
        <f t="shared" si="1"/>
        <v>8209519730.3474627</v>
      </c>
      <c r="P28" s="45">
        <f t="shared" si="12"/>
        <v>116.0540825025149</v>
      </c>
      <c r="Q28" s="62">
        <f t="shared" si="12"/>
        <v>58.027041251257451</v>
      </c>
      <c r="R28" s="46">
        <f t="shared" si="13"/>
        <v>18146058294.807926</v>
      </c>
      <c r="S28" s="65">
        <f t="shared" si="14"/>
        <v>19331854935.939003</v>
      </c>
      <c r="T28" s="73">
        <f t="shared" si="15"/>
        <v>696324495.01508939</v>
      </c>
      <c r="U28" s="74">
        <f t="shared" si="26"/>
        <v>651557850.7109766</v>
      </c>
      <c r="V28" s="74">
        <f t="shared" si="27"/>
        <v>1037496984.040001</v>
      </c>
      <c r="W28" s="17">
        <f t="shared" si="28"/>
        <v>814447313.38872075</v>
      </c>
      <c r="X28" s="75">
        <f t="shared" si="29"/>
        <v>2022778867.8539536</v>
      </c>
      <c r="Y28" s="49">
        <f t="shared" si="16"/>
        <v>18146058294.807926</v>
      </c>
      <c r="Z28" s="65">
        <f t="shared" si="16"/>
        <v>19331854935.939003</v>
      </c>
      <c r="AA28" s="61">
        <f>5%*Z28</f>
        <v>966592746.79695022</v>
      </c>
      <c r="AB28" s="61">
        <f>10%*Z28</f>
        <v>1933185493.5939004</v>
      </c>
      <c r="AC28" s="79">
        <f t="shared" si="4"/>
        <v>1159911296.1563401</v>
      </c>
      <c r="AD28" s="59">
        <f t="shared" si="17"/>
        <v>40317491.380323663</v>
      </c>
      <c r="AE28" s="47">
        <f t="shared" si="18"/>
        <v>19331854935.939003</v>
      </c>
      <c r="AF28" s="61">
        <f t="shared" si="31"/>
        <v>14251670643.368282</v>
      </c>
      <c r="AG28" s="105">
        <f t="shared" si="5"/>
        <v>48640000</v>
      </c>
      <c r="AH28" s="61">
        <f t="shared" si="19"/>
        <v>14300310643.368282</v>
      </c>
      <c r="AI28" s="83">
        <f t="shared" si="20"/>
        <v>5031544292.5707207</v>
      </c>
      <c r="AJ28" s="17">
        <f t="shared" si="6"/>
        <v>503154429.25707209</v>
      </c>
      <c r="AK28" s="84">
        <f t="shared" si="21"/>
        <v>4528389863.3136482</v>
      </c>
      <c r="AL28" s="14">
        <f t="shared" si="22"/>
        <v>3893194619.9084635</v>
      </c>
    </row>
    <row r="29" spans="1:38" x14ac:dyDescent="0.25">
      <c r="A29" s="37">
        <v>2033</v>
      </c>
      <c r="B29" s="37">
        <v>11</v>
      </c>
      <c r="C29" s="14"/>
      <c r="D29" s="107">
        <f>$D$18*((1+$E$13)^B29)</f>
        <v>170267984.50415719</v>
      </c>
      <c r="E29" s="106">
        <f t="shared" si="7"/>
        <v>84854211.40454562</v>
      </c>
      <c r="F29" s="33">
        <f t="shared" si="24"/>
        <v>81588711.784934968</v>
      </c>
      <c r="G29" s="58">
        <f t="shared" si="8"/>
        <v>84854211.40454562</v>
      </c>
      <c r="H29" s="58">
        <f t="shared" si="25"/>
        <v>99836259.780201256</v>
      </c>
      <c r="I29" s="58">
        <f t="shared" si="30"/>
        <v>10794624.98636394</v>
      </c>
      <c r="J29" s="58">
        <f t="shared" si="9"/>
        <v>89041634.793837309</v>
      </c>
      <c r="K29" s="20">
        <f t="shared" ref="K29:L29" si="32">K28*(1+inf)</f>
        <v>42.406161746418945</v>
      </c>
      <c r="L29" s="20">
        <f t="shared" si="32"/>
        <v>56.541548995225249</v>
      </c>
      <c r="M29" s="59">
        <f t="shared" si="11"/>
        <v>33.924929397135145</v>
      </c>
      <c r="N29" s="44">
        <f t="shared" si="0"/>
        <v>8211493558.5312004</v>
      </c>
      <c r="O29" s="61">
        <f t="shared" si="1"/>
        <v>8999100260.5276413</v>
      </c>
      <c r="P29" s="45">
        <f t="shared" ref="P29:Q29" si="33">P28*(1+inf)</f>
        <v>117.79489374005261</v>
      </c>
      <c r="Q29" s="62">
        <f t="shared" si="33"/>
        <v>58.897446870026307</v>
      </c>
      <c r="R29" s="46">
        <f t="shared" si="13"/>
        <v>19606126450.888607</v>
      </c>
      <c r="S29" s="65">
        <f t="shared" si="14"/>
        <v>21119818576.391277</v>
      </c>
      <c r="T29" s="73">
        <f t="shared" si="15"/>
        <v>706769362.44031572</v>
      </c>
      <c r="U29" s="74">
        <f t="shared" si="26"/>
        <v>684135743.24652541</v>
      </c>
      <c r="V29" s="74">
        <f t="shared" si="27"/>
        <v>1141246682.4440012</v>
      </c>
      <c r="W29" s="17">
        <f t="shared" si="28"/>
        <v>855169679.05815685</v>
      </c>
      <c r="X29" s="75">
        <f t="shared" si="29"/>
        <v>2326195698.0320463</v>
      </c>
      <c r="Y29" s="49">
        <f t="shared" si="16"/>
        <v>19606126450.888607</v>
      </c>
      <c r="Z29" s="65">
        <f t="shared" si="16"/>
        <v>21119818576.391277</v>
      </c>
      <c r="AA29" s="61">
        <f t="shared" ref="AA29:AA36" si="34">5%*Z29</f>
        <v>1055990928.8195639</v>
      </c>
      <c r="AB29" s="61">
        <f t="shared" ref="AB29:AB36" si="35">10%*Z29</f>
        <v>2111981857.6391277</v>
      </c>
      <c r="AC29" s="79">
        <f t="shared" si="4"/>
        <v>1267189114.5834765</v>
      </c>
      <c r="AD29" s="59">
        <f t="shared" si="17"/>
        <v>41527016.121733375</v>
      </c>
      <c r="AE29" s="47">
        <f t="shared" si="18"/>
        <v>21119818576.391277</v>
      </c>
      <c r="AF29" s="61">
        <f t="shared" si="31"/>
        <v>15718930843.480125</v>
      </c>
      <c r="AG29" s="105">
        <f t="shared" si="5"/>
        <v>48640000</v>
      </c>
      <c r="AH29" s="61">
        <f t="shared" si="19"/>
        <v>15767570843.480125</v>
      </c>
      <c r="AI29" s="83">
        <f t="shared" si="20"/>
        <v>5352247732.9111519</v>
      </c>
      <c r="AJ29" s="17">
        <f t="shared" si="6"/>
        <v>535224773.29111522</v>
      </c>
      <c r="AK29" s="84">
        <f t="shared" si="21"/>
        <v>4817022959.6200371</v>
      </c>
      <c r="AL29" s="14">
        <f t="shared" si="22"/>
        <v>4079221160.2548823</v>
      </c>
    </row>
    <row r="30" spans="1:38" x14ac:dyDescent="0.25">
      <c r="A30" s="37">
        <v>2034</v>
      </c>
      <c r="B30" s="37">
        <v>12</v>
      </c>
      <c r="C30" s="6"/>
      <c r="D30" s="107">
        <f t="shared" si="23"/>
        <v>144955932.73553935</v>
      </c>
      <c r="E30" s="106">
        <f t="shared" si="7"/>
        <v>89096921.9747729</v>
      </c>
      <c r="F30" s="33">
        <f t="shared" si="24"/>
        <v>88115808.727729768</v>
      </c>
      <c r="G30" s="58">
        <f t="shared" si="8"/>
        <v>89096921.9747729</v>
      </c>
      <c r="H30" s="58">
        <f t="shared" si="25"/>
        <v>109819885.75822139</v>
      </c>
      <c r="I30" s="58">
        <f t="shared" si="30"/>
        <v>11658194.985273056</v>
      </c>
      <c r="J30" s="58">
        <f t="shared" si="9"/>
        <v>98161690.772948325</v>
      </c>
      <c r="K30" s="20">
        <f t="shared" ref="K30:L30" si="36">K29*(1+inf)</f>
        <v>43.042254172615223</v>
      </c>
      <c r="L30" s="20">
        <f t="shared" si="36"/>
        <v>57.389672230153622</v>
      </c>
      <c r="M30" s="59">
        <f t="shared" si="11"/>
        <v>34.433803338092169</v>
      </c>
      <c r="N30" s="44">
        <f t="shared" si="0"/>
        <v>8891869742.8151627</v>
      </c>
      <c r="O30" s="61">
        <f t="shared" si="1"/>
        <v>9869835614.0530663</v>
      </c>
      <c r="P30" s="45">
        <f t="shared" ref="P30:Q30" si="37">P29*(1+inf)</f>
        <v>119.56181714615339</v>
      </c>
      <c r="Q30" s="62">
        <f t="shared" si="37"/>
        <v>59.780908573076694</v>
      </c>
      <c r="R30" s="46">
        <f t="shared" si="13"/>
        <v>21187876104.223145</v>
      </c>
      <c r="S30" s="65">
        <f t="shared" si="14"/>
        <v>23085917504.927101</v>
      </c>
      <c r="T30" s="73">
        <f t="shared" si="15"/>
        <v>717370902.87692034</v>
      </c>
      <c r="U30" s="74">
        <f t="shared" si="26"/>
        <v>718342530.40885174</v>
      </c>
      <c r="V30" s="74">
        <f t="shared" si="27"/>
        <v>1255371350.6884015</v>
      </c>
      <c r="W30" s="17">
        <f t="shared" si="28"/>
        <v>897928163.01106477</v>
      </c>
      <c r="X30" s="75">
        <f t="shared" si="29"/>
        <v>2675125052.7368531</v>
      </c>
      <c r="Y30" s="49">
        <f t="shared" si="16"/>
        <v>21187876104.223145</v>
      </c>
      <c r="Z30" s="65">
        <f t="shared" si="16"/>
        <v>23085917504.927101</v>
      </c>
      <c r="AA30" s="61">
        <f t="shared" si="34"/>
        <v>1154295875.2463551</v>
      </c>
      <c r="AB30" s="61">
        <f t="shared" si="35"/>
        <v>2308591750.4927101</v>
      </c>
      <c r="AC30" s="79">
        <f t="shared" si="4"/>
        <v>1385155050.2956259</v>
      </c>
      <c r="AD30" s="59">
        <f t="shared" si="17"/>
        <v>42772826.605385378</v>
      </c>
      <c r="AE30" s="47">
        <f t="shared" si="18"/>
        <v>23085917504.927101</v>
      </c>
      <c r="AF30" s="61">
        <f t="shared" si="31"/>
        <v>17350230516.219227</v>
      </c>
      <c r="AG30" s="105">
        <f t="shared" si="5"/>
        <v>48640000</v>
      </c>
      <c r="AH30" s="61">
        <f t="shared" si="19"/>
        <v>17398870516.219227</v>
      </c>
      <c r="AI30" s="83">
        <f t="shared" si="20"/>
        <v>5687046988.7078743</v>
      </c>
      <c r="AJ30" s="17">
        <f t="shared" si="6"/>
        <v>568704698.8707875</v>
      </c>
      <c r="AK30" s="84">
        <f t="shared" si="21"/>
        <v>5118342289.8370867</v>
      </c>
      <c r="AL30" s="14">
        <f t="shared" si="22"/>
        <v>4269372928.864161</v>
      </c>
    </row>
    <row r="31" spans="1:38" x14ac:dyDescent="0.25">
      <c r="A31" s="37">
        <v>2035</v>
      </c>
      <c r="B31" s="37">
        <v>13</v>
      </c>
      <c r="C31" s="87"/>
      <c r="D31" s="107">
        <f t="shared" si="23"/>
        <v>123406772.54400216</v>
      </c>
      <c r="E31" s="106">
        <f t="shared" si="7"/>
        <v>93551768.073511556</v>
      </c>
      <c r="F31" s="33">
        <f t="shared" si="24"/>
        <v>95165073.425948158</v>
      </c>
      <c r="G31" s="58">
        <f t="shared" si="8"/>
        <v>93551768.073511556</v>
      </c>
      <c r="H31" s="58">
        <f t="shared" si="25"/>
        <v>120801874.33404353</v>
      </c>
      <c r="I31" s="58">
        <f t="shared" si="30"/>
        <v>12590850.584094901</v>
      </c>
      <c r="J31" s="58">
        <f t="shared" si="9"/>
        <v>108211023.74994864</v>
      </c>
      <c r="K31" s="20">
        <f t="shared" ref="K31:L31" si="38">K30*(1+inf)</f>
        <v>43.687887985204448</v>
      </c>
      <c r="L31" s="20">
        <f t="shared" si="38"/>
        <v>58.250517313605918</v>
      </c>
      <c r="M31" s="59">
        <f t="shared" si="11"/>
        <v>34.950310388163551</v>
      </c>
      <c r="N31" s="44">
        <f t="shared" si="0"/>
        <v>9630493921.6621704</v>
      </c>
      <c r="O31" s="61">
        <f t="shared" si="1"/>
        <v>10830481412.84791</v>
      </c>
      <c r="P31" s="45">
        <f t="shared" ref="P31:Q31" si="39">P30*(1+inf)</f>
        <v>121.35524440334568</v>
      </c>
      <c r="Q31" s="62">
        <f t="shared" si="39"/>
        <v>60.67762220167284</v>
      </c>
      <c r="R31" s="46">
        <f t="shared" si="13"/>
        <v>22901778423.194382</v>
      </c>
      <c r="S31" s="65">
        <f t="shared" si="14"/>
        <v>25248955788.176788</v>
      </c>
      <c r="T31" s="73">
        <f t="shared" si="15"/>
        <v>728131466.42007411</v>
      </c>
      <c r="U31" s="74">
        <f t="shared" si="26"/>
        <v>754259656.92929435</v>
      </c>
      <c r="V31" s="74">
        <f t="shared" si="27"/>
        <v>1380908485.7572417</v>
      </c>
      <c r="W31" s="17">
        <f t="shared" si="28"/>
        <v>942824571.16161799</v>
      </c>
      <c r="X31" s="75">
        <f t="shared" si="29"/>
        <v>3076393810.6473808</v>
      </c>
      <c r="Y31" s="49">
        <f t="shared" si="16"/>
        <v>22901778423.194382</v>
      </c>
      <c r="Z31" s="65">
        <f t="shared" si="16"/>
        <v>25248955788.176788</v>
      </c>
      <c r="AA31" s="61">
        <f t="shared" si="34"/>
        <v>1262447789.4088395</v>
      </c>
      <c r="AB31" s="61">
        <f t="shared" si="35"/>
        <v>2524895578.8176789</v>
      </c>
      <c r="AC31" s="79">
        <f t="shared" si="4"/>
        <v>1514937347.2906072</v>
      </c>
      <c r="AD31" s="59">
        <f t="shared" si="17"/>
        <v>44056011.403546937</v>
      </c>
      <c r="AE31" s="47">
        <f t="shared" si="18"/>
        <v>25248955788.176788</v>
      </c>
      <c r="AF31" s="61">
        <f t="shared" si="31"/>
        <v>19165099927.608871</v>
      </c>
      <c r="AG31" s="105">
        <f t="shared" si="5"/>
        <v>48640000</v>
      </c>
      <c r="AH31" s="61">
        <f t="shared" si="19"/>
        <v>19213739927.608871</v>
      </c>
      <c r="AI31" s="83">
        <f t="shared" si="20"/>
        <v>6035215860.5679169</v>
      </c>
      <c r="AJ31" s="17">
        <f t="shared" si="6"/>
        <v>603521586.05679166</v>
      </c>
      <c r="AK31" s="84">
        <f t="shared" si="21"/>
        <v>5431694274.5111256</v>
      </c>
      <c r="AL31" s="14">
        <f t="shared" si="22"/>
        <v>4462788589.0744801</v>
      </c>
    </row>
    <row r="32" spans="1:38" x14ac:dyDescent="0.25">
      <c r="A32" s="37">
        <v>2036</v>
      </c>
      <c r="B32" s="37">
        <v>14</v>
      </c>
      <c r="C32" s="14"/>
      <c r="D32" s="107">
        <f t="shared" si="23"/>
        <v>105061112.17615092</v>
      </c>
      <c r="E32" s="106">
        <f t="shared" si="7"/>
        <v>98229356.477187142</v>
      </c>
      <c r="F32" s="33">
        <f t="shared" si="24"/>
        <v>102778279.30002402</v>
      </c>
      <c r="G32" s="58">
        <f t="shared" si="8"/>
        <v>98229356.477187142</v>
      </c>
      <c r="H32" s="58">
        <f t="shared" si="25"/>
        <v>132882061.7674479</v>
      </c>
      <c r="I32" s="58">
        <f t="shared" si="30"/>
        <v>13598118.630822493</v>
      </c>
      <c r="J32" s="58">
        <f t="shared" si="9"/>
        <v>119283943.13662541</v>
      </c>
      <c r="K32" s="20">
        <f t="shared" ref="K32:L32" si="40">K31*(1+inf)</f>
        <v>44.343206304982509</v>
      </c>
      <c r="L32" s="20">
        <f t="shared" si="40"/>
        <v>59.124275073310002</v>
      </c>
      <c r="M32" s="59">
        <f t="shared" si="11"/>
        <v>35.474565043985997</v>
      </c>
      <c r="N32" s="44">
        <f t="shared" si="0"/>
        <v>10432495876.369682</v>
      </c>
      <c r="O32" s="61">
        <f t="shared" si="1"/>
        <v>11890768629.157438</v>
      </c>
      <c r="P32" s="45">
        <f t="shared" ref="P32:Q32" si="41">P31*(1+inf)</f>
        <v>123.17557306939585</v>
      </c>
      <c r="Q32" s="62">
        <f t="shared" si="41"/>
        <v>61.587786534697926</v>
      </c>
      <c r="R32" s="46">
        <f t="shared" si="13"/>
        <v>24759230728.182381</v>
      </c>
      <c r="S32" s="65">
        <f t="shared" si="14"/>
        <v>27629803357.655155</v>
      </c>
      <c r="T32" s="73">
        <f t="shared" si="15"/>
        <v>739053438.41637516</v>
      </c>
      <c r="U32" s="74">
        <f t="shared" si="26"/>
        <v>791972639.7757591</v>
      </c>
      <c r="V32" s="74">
        <f t="shared" si="27"/>
        <v>1518999334.3329661</v>
      </c>
      <c r="W32" s="17">
        <f t="shared" si="28"/>
        <v>989965799.71969891</v>
      </c>
      <c r="X32" s="75">
        <f t="shared" si="29"/>
        <v>3537852882.2444878</v>
      </c>
      <c r="Y32" s="49">
        <f t="shared" si="16"/>
        <v>24759230728.182381</v>
      </c>
      <c r="Z32" s="65">
        <f t="shared" si="16"/>
        <v>27629803357.655155</v>
      </c>
      <c r="AA32" s="61">
        <f t="shared" si="34"/>
        <v>1381490167.8827579</v>
      </c>
      <c r="AB32" s="61">
        <f t="shared" si="35"/>
        <v>2762980335.7655158</v>
      </c>
      <c r="AC32" s="79">
        <f t="shared" si="4"/>
        <v>1657788201.4593093</v>
      </c>
      <c r="AD32" s="59">
        <f t="shared" si="17"/>
        <v>45377691.745653346</v>
      </c>
      <c r="AE32" s="47">
        <f t="shared" si="18"/>
        <v>27629803357.655155</v>
      </c>
      <c r="AF32" s="61">
        <f t="shared" si="31"/>
        <v>21185502524.763851</v>
      </c>
      <c r="AG32" s="105">
        <f t="shared" si="5"/>
        <v>48640000</v>
      </c>
      <c r="AH32" s="61">
        <f t="shared" si="19"/>
        <v>21234142524.763851</v>
      </c>
      <c r="AI32" s="83">
        <f t="shared" si="20"/>
        <v>6395660832.891304</v>
      </c>
      <c r="AJ32" s="17">
        <f t="shared" si="6"/>
        <v>639566083.28913045</v>
      </c>
      <c r="AK32" s="84">
        <f t="shared" si="21"/>
        <v>5756094749.6021738</v>
      </c>
      <c r="AL32" s="14">
        <f t="shared" si="22"/>
        <v>4658382666.233757</v>
      </c>
    </row>
    <row r="33" spans="1:43" x14ac:dyDescent="0.25">
      <c r="A33" s="37">
        <v>2037</v>
      </c>
      <c r="B33" s="37">
        <v>15</v>
      </c>
      <c r="C33" s="6"/>
      <c r="D33" s="107">
        <f t="shared" si="23"/>
        <v>89442719.099991783</v>
      </c>
      <c r="E33" s="106">
        <f t="shared" si="7"/>
        <v>103140824.30104651</v>
      </c>
      <c r="F33" s="33">
        <f t="shared" si="24"/>
        <v>111000541.64402595</v>
      </c>
      <c r="G33" s="58">
        <f t="shared" si="8"/>
        <v>103140824.30104651</v>
      </c>
      <c r="H33" s="58">
        <f t="shared" si="25"/>
        <v>146170267.94419271</v>
      </c>
      <c r="I33" s="58">
        <f t="shared" si="30"/>
        <v>14685968.121288294</v>
      </c>
      <c r="J33" s="58">
        <f t="shared" si="9"/>
        <v>131484299.82290441</v>
      </c>
      <c r="K33" s="20">
        <f t="shared" ref="K33:L33" si="42">K32*(1+inf)</f>
        <v>45.008354399557241</v>
      </c>
      <c r="L33" s="20">
        <f t="shared" si="42"/>
        <v>60.011139199409648</v>
      </c>
      <c r="M33" s="59">
        <f t="shared" si="11"/>
        <v>36.00668351964579</v>
      </c>
      <c r="N33" s="44">
        <f t="shared" si="0"/>
        <v>11303467729.013477</v>
      </c>
      <c r="O33" s="61">
        <f t="shared" si="1"/>
        <v>13061514398.736031</v>
      </c>
      <c r="P33" s="45">
        <f t="shared" ref="P33:Q33" si="43">P32*(1+inf)</f>
        <v>125.02320666543677</v>
      </c>
      <c r="Q33" s="62">
        <f t="shared" si="43"/>
        <v>62.511603332718387</v>
      </c>
      <c r="R33" s="46">
        <f t="shared" si="13"/>
        <v>26772640250.16972</v>
      </c>
      <c r="S33" s="65">
        <f t="shared" si="14"/>
        <v>30251628796.007389</v>
      </c>
      <c r="T33" s="73">
        <f t="shared" si="15"/>
        <v>750139239.99262071</v>
      </c>
      <c r="U33" s="74">
        <f t="shared" si="26"/>
        <v>831571271.76454711</v>
      </c>
      <c r="V33" s="74">
        <f t="shared" si="27"/>
        <v>1670899267.7662628</v>
      </c>
      <c r="W33" s="17">
        <f t="shared" si="28"/>
        <v>1039464089.7056839</v>
      </c>
      <c r="X33" s="75">
        <f t="shared" si="29"/>
        <v>4068530814.5811605</v>
      </c>
      <c r="Y33" s="49">
        <f t="shared" si="16"/>
        <v>26772640250.16972</v>
      </c>
      <c r="Z33" s="65">
        <f t="shared" si="16"/>
        <v>30251628796.007389</v>
      </c>
      <c r="AA33" s="61">
        <f t="shared" si="34"/>
        <v>1512581439.8003695</v>
      </c>
      <c r="AB33" s="61">
        <f t="shared" si="35"/>
        <v>3025162879.600739</v>
      </c>
      <c r="AC33" s="79">
        <f t="shared" si="4"/>
        <v>1815097727.7604432</v>
      </c>
      <c r="AD33" s="59">
        <f t="shared" si="17"/>
        <v>46739022.498022951</v>
      </c>
      <c r="AE33" s="47">
        <f t="shared" si="18"/>
        <v>30251628796.007389</v>
      </c>
      <c r="AF33" s="61">
        <f t="shared" si="31"/>
        <v>23436148237.980721</v>
      </c>
      <c r="AG33" s="105">
        <f t="shared" si="5"/>
        <v>48640000</v>
      </c>
      <c r="AH33" s="61">
        <f t="shared" si="19"/>
        <v>23484788237.980721</v>
      </c>
      <c r="AI33" s="83">
        <f t="shared" si="20"/>
        <v>6766840558.0266685</v>
      </c>
      <c r="AJ33" s="17">
        <f t="shared" si="6"/>
        <v>676684055.8026669</v>
      </c>
      <c r="AK33" s="84">
        <f t="shared" si="21"/>
        <v>6090156502.2240019</v>
      </c>
      <c r="AL33" s="14">
        <f t="shared" si="22"/>
        <v>4854806341.4476099</v>
      </c>
    </row>
    <row r="34" spans="1:43" x14ac:dyDescent="0.25">
      <c r="A34" s="37">
        <v>2038</v>
      </c>
      <c r="B34" s="37">
        <v>16</v>
      </c>
      <c r="C34" s="6"/>
      <c r="D34" s="107">
        <f t="shared" si="23"/>
        <v>76146157.548635319</v>
      </c>
      <c r="E34" s="106">
        <f t="shared" si="7"/>
        <v>108297865.51609884</v>
      </c>
      <c r="F34" s="33">
        <f t="shared" si="24"/>
        <v>119880584.97554803</v>
      </c>
      <c r="G34" s="58">
        <f t="shared" si="8"/>
        <v>108297865.51609884</v>
      </c>
      <c r="H34" s="58">
        <f t="shared" si="25"/>
        <v>160787294.738612</v>
      </c>
      <c r="I34" s="58">
        <f t="shared" si="30"/>
        <v>15860845.570991358</v>
      </c>
      <c r="J34" s="58">
        <f t="shared" si="9"/>
        <v>144926449.16762063</v>
      </c>
      <c r="K34" s="20">
        <f t="shared" ref="K34:L34" si="44">K33*(1+inf)</f>
        <v>45.683479715550597</v>
      </c>
      <c r="L34" s="20">
        <f t="shared" si="44"/>
        <v>60.911306287400784</v>
      </c>
      <c r="M34" s="59">
        <f t="shared" si="11"/>
        <v>36.54678377244047</v>
      </c>
      <c r="N34" s="44">
        <f t="shared" si="0"/>
        <v>12249506371.900509</v>
      </c>
      <c r="O34" s="61">
        <f t="shared" si="1"/>
        <v>14354745570.467579</v>
      </c>
      <c r="P34" s="45">
        <f t="shared" ref="P34:Q34" si="45">P33*(1+inf)</f>
        <v>126.89855476541831</v>
      </c>
      <c r="Q34" s="62">
        <f t="shared" si="45"/>
        <v>63.449277382709155</v>
      </c>
      <c r="R34" s="46">
        <f t="shared" si="13"/>
        <v>28955515596.002544</v>
      </c>
      <c r="S34" s="65">
        <f t="shared" si="14"/>
        <v>33140158754.985638</v>
      </c>
      <c r="T34" s="73">
        <f t="shared" si="15"/>
        <v>761391328.59250998</v>
      </c>
      <c r="U34" s="74">
        <f t="shared" si="26"/>
        <v>873149835.3527745</v>
      </c>
      <c r="V34" s="74">
        <f t="shared" si="27"/>
        <v>1837989194.5428891</v>
      </c>
      <c r="W34" s="17">
        <f t="shared" si="28"/>
        <v>1091437294.1909683</v>
      </c>
      <c r="X34" s="75">
        <f t="shared" si="29"/>
        <v>4678810436.7683344</v>
      </c>
      <c r="Y34" s="49">
        <f t="shared" si="16"/>
        <v>28955515596.002544</v>
      </c>
      <c r="Z34" s="65">
        <f t="shared" si="16"/>
        <v>33140158754.985638</v>
      </c>
      <c r="AA34" s="61">
        <f t="shared" si="34"/>
        <v>1657007937.7492819</v>
      </c>
      <c r="AB34" s="61">
        <f t="shared" si="35"/>
        <v>3314015875.4985638</v>
      </c>
      <c r="AC34" s="79">
        <f t="shared" si="4"/>
        <v>1988409525.2991381</v>
      </c>
      <c r="AD34" s="59">
        <f t="shared" si="17"/>
        <v>48141193.172963642</v>
      </c>
      <c r="AE34" s="47">
        <f t="shared" si="18"/>
        <v>33140158754.985638</v>
      </c>
      <c r="AF34" s="61">
        <f t="shared" si="31"/>
        <v>25944848152.609932</v>
      </c>
      <c r="AG34" s="105">
        <f t="shared" si="5"/>
        <v>48640000</v>
      </c>
      <c r="AH34" s="61">
        <f t="shared" si="19"/>
        <v>25993488152.609932</v>
      </c>
      <c r="AI34" s="83">
        <f t="shared" si="20"/>
        <v>7146670602.3757057</v>
      </c>
      <c r="AJ34" s="17">
        <f t="shared" si="6"/>
        <v>714667060.23757064</v>
      </c>
      <c r="AK34" s="84">
        <f t="shared" si="21"/>
        <v>6432003542.138135</v>
      </c>
      <c r="AL34" s="14">
        <f t="shared" si="22"/>
        <v>5050402169.3998861</v>
      </c>
    </row>
    <row r="35" spans="1:43" x14ac:dyDescent="0.25">
      <c r="A35" s="37">
        <v>2039</v>
      </c>
      <c r="B35" s="37">
        <v>17</v>
      </c>
      <c r="C35" s="108"/>
      <c r="D35" s="107">
        <f t="shared" si="23"/>
        <v>64826263.867710665</v>
      </c>
      <c r="E35" s="106">
        <f t="shared" si="7"/>
        <v>113712758.79190379</v>
      </c>
      <c r="F35" s="33">
        <f t="shared" si="24"/>
        <v>129471031.77359188</v>
      </c>
      <c r="G35" s="58">
        <f t="shared" si="8"/>
        <v>113712758.79190379</v>
      </c>
      <c r="H35" s="58">
        <f t="shared" si="25"/>
        <v>176866024.21247321</v>
      </c>
      <c r="I35" s="58">
        <f t="shared" si="30"/>
        <v>17129713.216670666</v>
      </c>
      <c r="J35" s="58">
        <f t="shared" si="9"/>
        <v>159736310.99580255</v>
      </c>
      <c r="K35" s="20">
        <f t="shared" ref="K35:L35" si="46">K34*(1+inf)</f>
        <v>46.368731911283852</v>
      </c>
      <c r="L35" s="20">
        <f t="shared" si="46"/>
        <v>61.824975881711786</v>
      </c>
      <c r="M35" s="59">
        <f t="shared" si="11"/>
        <v>37.09498552902707</v>
      </c>
      <c r="N35" s="44">
        <f t="shared" si="0"/>
        <v>13277259844.096931</v>
      </c>
      <c r="O35" s="61">
        <f t="shared" si="1"/>
        <v>15783836465.95216</v>
      </c>
      <c r="P35" s="45">
        <f t="shared" ref="P35:Q35" si="47">P34*(1+inf)</f>
        <v>128.80203308689957</v>
      </c>
      <c r="Q35" s="62">
        <f t="shared" si="47"/>
        <v>64.401016543449785</v>
      </c>
      <c r="R35" s="46">
        <f t="shared" si="13"/>
        <v>31322566638.614628</v>
      </c>
      <c r="S35" s="65">
        <f t="shared" si="14"/>
        <v>36323967078.629425</v>
      </c>
      <c r="T35" s="73">
        <f t="shared" si="15"/>
        <v>772812198.52139759</v>
      </c>
      <c r="U35" s="74">
        <f t="shared" si="26"/>
        <v>916807327.1204133</v>
      </c>
      <c r="V35" s="74">
        <f t="shared" si="27"/>
        <v>2021788113.9971781</v>
      </c>
      <c r="W35" s="17">
        <f t="shared" si="28"/>
        <v>1146009158.9005167</v>
      </c>
      <c r="X35" s="75">
        <f t="shared" si="29"/>
        <v>5380632002.2835846</v>
      </c>
      <c r="Y35" s="49">
        <f t="shared" ref="Y35:Z36" si="48">R35</f>
        <v>31322566638.614628</v>
      </c>
      <c r="Z35" s="65">
        <f t="shared" si="48"/>
        <v>36323967078.629425</v>
      </c>
      <c r="AA35" s="61">
        <f t="shared" si="34"/>
        <v>1816198353.9314713</v>
      </c>
      <c r="AB35" s="61">
        <f t="shared" si="35"/>
        <v>3632396707.8629427</v>
      </c>
      <c r="AC35" s="79">
        <f t="shared" si="4"/>
        <v>2179438024.7177653</v>
      </c>
      <c r="AD35" s="59">
        <f t="shared" si="17"/>
        <v>49585428.968152553</v>
      </c>
      <c r="AE35" s="47">
        <f t="shared" si="18"/>
        <v>36323967078.629425</v>
      </c>
      <c r="AF35" s="61">
        <f t="shared" si="31"/>
        <v>28742916125.779774</v>
      </c>
      <c r="AG35" s="105">
        <f t="shared" si="5"/>
        <v>48640000</v>
      </c>
      <c r="AH35" s="61">
        <f t="shared" si="19"/>
        <v>28791556125.779774</v>
      </c>
      <c r="AI35" s="83">
        <f t="shared" si="20"/>
        <v>7532410952.8496513</v>
      </c>
      <c r="AJ35" s="17">
        <f t="shared" si="6"/>
        <v>753241095.28496516</v>
      </c>
      <c r="AK35" s="84">
        <f t="shared" si="21"/>
        <v>6779169857.5646858</v>
      </c>
      <c r="AL35" s="14">
        <f t="shared" si="22"/>
        <v>5243151830.0802765</v>
      </c>
    </row>
    <row r="36" spans="1:43" x14ac:dyDescent="0.25">
      <c r="A36" s="37">
        <v>2040</v>
      </c>
      <c r="B36" s="37">
        <v>18</v>
      </c>
      <c r="C36" s="6"/>
      <c r="D36" s="107">
        <f t="shared" si="23"/>
        <v>55189186.458448745</v>
      </c>
      <c r="E36" s="106">
        <f t="shared" si="7"/>
        <v>119398396.73149899</v>
      </c>
      <c r="F36" s="33">
        <f t="shared" si="24"/>
        <v>139828714.31547925</v>
      </c>
      <c r="G36" s="58">
        <f t="shared" si="8"/>
        <v>119398396.73149899</v>
      </c>
      <c r="H36" s="58">
        <f t="shared" si="25"/>
        <v>194552626.63372055</v>
      </c>
      <c r="I36" s="58">
        <f t="shared" si="30"/>
        <v>18500090.274004322</v>
      </c>
      <c r="J36" s="58">
        <f t="shared" si="9"/>
        <v>176052536.35971624</v>
      </c>
      <c r="K36" s="20">
        <f t="shared" ref="K36:L36" si="49">K35*(1+inf)</f>
        <v>47.064262889953106</v>
      </c>
      <c r="L36" s="20">
        <f t="shared" si="49"/>
        <v>62.752350519937458</v>
      </c>
      <c r="M36" s="59">
        <f t="shared" si="11"/>
        <v>37.651410311962472</v>
      </c>
      <c r="N36" s="44">
        <f t="shared" si="0"/>
        <v>14393978025.887337</v>
      </c>
      <c r="O36" s="61">
        <f t="shared" si="1"/>
        <v>17363662493.694016</v>
      </c>
      <c r="P36" s="45">
        <f t="shared" ref="P36:Q36" si="50">P35*(1+inf)</f>
        <v>130.73406358320304</v>
      </c>
      <c r="Q36" s="62">
        <f t="shared" si="50"/>
        <v>65.367031791601519</v>
      </c>
      <c r="R36" s="46">
        <f t="shared" si="13"/>
        <v>33889813618.105686</v>
      </c>
      <c r="S36" s="65">
        <f t="shared" si="14"/>
        <v>39834797061.551941</v>
      </c>
      <c r="T36" s="73">
        <f t="shared" si="15"/>
        <v>784404381.49921846</v>
      </c>
      <c r="U36" s="74">
        <f t="shared" si="26"/>
        <v>962647693.47643399</v>
      </c>
      <c r="V36" s="74">
        <f t="shared" si="27"/>
        <v>2223966925.3968959</v>
      </c>
      <c r="W36" s="17">
        <f t="shared" si="28"/>
        <v>1203309616.8455427</v>
      </c>
      <c r="X36" s="75">
        <f t="shared" si="29"/>
        <v>6187726802.6261215</v>
      </c>
      <c r="Y36" s="49">
        <f t="shared" si="48"/>
        <v>33889813618.105686</v>
      </c>
      <c r="Z36" s="65">
        <f t="shared" si="48"/>
        <v>39834797061.551941</v>
      </c>
      <c r="AA36" s="61">
        <f t="shared" si="34"/>
        <v>1991739853.0775971</v>
      </c>
      <c r="AB36" s="61">
        <f t="shared" si="35"/>
        <v>3983479706.1551943</v>
      </c>
      <c r="AC36" s="79">
        <f t="shared" si="4"/>
        <v>2390087823.6931162</v>
      </c>
      <c r="AD36" s="59">
        <f t="shared" si="17"/>
        <v>51072991.837197132</v>
      </c>
      <c r="AE36" s="47">
        <f t="shared" si="18"/>
        <v>39834797061.551941</v>
      </c>
      <c r="AF36" s="61">
        <f t="shared" si="31"/>
        <v>31865623687.408848</v>
      </c>
      <c r="AG36" s="105">
        <f t="shared" si="5"/>
        <v>48640000</v>
      </c>
      <c r="AH36" s="61">
        <f t="shared" si="19"/>
        <v>31914263687.408848</v>
      </c>
      <c r="AI36" s="83">
        <f t="shared" si="20"/>
        <v>7920533374.1430931</v>
      </c>
      <c r="AJ36" s="17">
        <f t="shared" si="6"/>
        <v>792053337.41430938</v>
      </c>
      <c r="AK36" s="84">
        <f t="shared" si="21"/>
        <v>7128480036.7287836</v>
      </c>
      <c r="AL36" s="14">
        <f t="shared" si="22"/>
        <v>5430615897.8935089</v>
      </c>
    </row>
    <row r="37" spans="1:43" x14ac:dyDescent="0.25">
      <c r="A37" s="3"/>
    </row>
    <row r="38" spans="1:43" x14ac:dyDescent="0.25">
      <c r="A38" s="3"/>
    </row>
    <row r="39" spans="1:43" x14ac:dyDescent="0.25">
      <c r="A39" s="3"/>
      <c r="AQ39" t="s">
        <v>70</v>
      </c>
    </row>
    <row r="40" spans="1:43" x14ac:dyDescent="0.25">
      <c r="A40" s="6" t="s">
        <v>67</v>
      </c>
      <c r="B40" s="139">
        <f>SUM(AL18:AL36)</f>
        <v>70820685864.359131</v>
      </c>
      <c r="C40" s="139"/>
    </row>
    <row r="41" spans="1:43" x14ac:dyDescent="0.25">
      <c r="A41" s="6" t="s">
        <v>69</v>
      </c>
      <c r="B41" s="144">
        <f>B40*((1-B42)^18)</f>
        <v>7.0820685864360294E-26</v>
      </c>
      <c r="C41" s="144"/>
    </row>
    <row r="42" spans="1:43" x14ac:dyDescent="0.25">
      <c r="A42" s="113" t="s">
        <v>58</v>
      </c>
      <c r="B42" s="140">
        <v>0.99</v>
      </c>
      <c r="C42" s="140"/>
    </row>
  </sheetData>
  <mergeCells count="19">
    <mergeCell ref="W16:X16"/>
    <mergeCell ref="Y16:Z16"/>
    <mergeCell ref="AA16:AC16"/>
    <mergeCell ref="E7:F7"/>
    <mergeCell ref="E15:J15"/>
    <mergeCell ref="K15:M15"/>
    <mergeCell ref="P15:S15"/>
    <mergeCell ref="E16:F16"/>
    <mergeCell ref="G16:J16"/>
    <mergeCell ref="K16:L16"/>
    <mergeCell ref="N16:O16"/>
    <mergeCell ref="P16:Q16"/>
    <mergeCell ref="R16:S16"/>
    <mergeCell ref="A2:E3"/>
    <mergeCell ref="B40:C40"/>
    <mergeCell ref="B41:C41"/>
    <mergeCell ref="B42:C42"/>
    <mergeCell ref="U16:V16"/>
    <mergeCell ref="K6:L6"/>
  </mergeCells>
  <pageMargins left="0.7" right="0.7" top="0.75" bottom="0.75" header="0.3" footer="0.3"/>
  <ignoredErrors>
    <ignoredError sqref="AF22 V19:V28 F19:F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qs 1</vt:lpstr>
      <vt:lpstr>qs 2</vt:lpstr>
      <vt:lpstr>qs 3</vt:lpstr>
      <vt:lpstr>br</vt:lpstr>
      <vt:lpstr>cc</vt:lpstr>
      <vt:lpstr>ch</vt:lpstr>
      <vt:lpstr>char</vt:lpstr>
      <vt:lpstr>charge</vt:lpstr>
      <vt:lpstr>g</vt:lpstr>
      <vt:lpstr>gr</vt:lpstr>
      <vt:lpstr>grw</vt:lpstr>
      <vt:lpstr>inf</vt:lpstr>
      <vt:lpstr>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Aagam Shah</dc:creator>
  <cp:lastModifiedBy>Aagam Shah</cp:lastModifiedBy>
  <dcterms:created xsi:type="dcterms:W3CDTF">2022-02-17T13:23:33Z</dcterms:created>
  <dcterms:modified xsi:type="dcterms:W3CDTF">2022-02-25T09:22:59Z</dcterms:modified>
</cp:coreProperties>
</file>