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38ED423-4123-45ED-AE12-C44B4A91F6C5}" xr6:coauthVersionLast="45" xr6:coauthVersionMax="46" xr10:uidLastSave="{00000000-0000-0000-0000-000000000000}"/>
  <bookViews>
    <workbookView xWindow="-108" yWindow="-108" windowWidth="23256" windowHeight="12576" tabRatio="805" activeTab="1" xr2:uid="{A3EC36EE-742C-4031-8F06-FAC5A4E01DC2}"/>
  </bookViews>
  <sheets>
    <sheet name="Decision making" sheetId="2" r:id="rId1"/>
    <sheet name="Incremental CFs" sheetId="3" r:id="rId2"/>
    <sheet name="Incremental CFs (2)" sheetId="4" r:id="rId3"/>
    <sheet name="Incremental CFs (3)" sheetId="5" r:id="rId4"/>
    <sheet name="With" sheetId="1" r:id="rId5"/>
    <sheet name="Without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6" i="3" l="1"/>
  <c r="K26" i="3"/>
  <c r="L26" i="3"/>
  <c r="I16" i="6" l="1"/>
  <c r="D18" i="6"/>
  <c r="E18" i="6" s="1"/>
  <c r="F18" i="6" s="1"/>
  <c r="G18" i="6" s="1"/>
  <c r="H18" i="6" s="1"/>
  <c r="I18" i="6" s="1"/>
  <c r="J18" i="6" s="1"/>
  <c r="K18" i="6" s="1"/>
  <c r="L18" i="6" s="1"/>
  <c r="M18" i="6" s="1"/>
  <c r="D17" i="6"/>
  <c r="E17" i="6" s="1"/>
  <c r="F17" i="6" s="1"/>
  <c r="G17" i="6" s="1"/>
  <c r="H17" i="6" s="1"/>
  <c r="I17" i="6" s="1"/>
  <c r="J17" i="6" s="1"/>
  <c r="K17" i="6" s="1"/>
  <c r="L17" i="6" s="1"/>
  <c r="M17" i="6" s="1"/>
  <c r="C25" i="6"/>
  <c r="C28" i="6" s="1"/>
  <c r="I6" i="6"/>
  <c r="F6" i="6" s="1"/>
  <c r="F7" i="6" s="1"/>
  <c r="I5" i="6"/>
  <c r="D11" i="6" s="1"/>
  <c r="G6" i="2"/>
  <c r="A9" i="2"/>
  <c r="A10" i="2" s="1"/>
  <c r="G8" i="2"/>
  <c r="W37" i="5"/>
  <c r="V37" i="5"/>
  <c r="U37" i="5"/>
  <c r="T37" i="5"/>
  <c r="S37" i="5"/>
  <c r="R37" i="5"/>
  <c r="Q37" i="5"/>
  <c r="P37" i="5"/>
  <c r="O37" i="5"/>
  <c r="N37" i="5"/>
  <c r="P35" i="5"/>
  <c r="N35" i="5"/>
  <c r="W34" i="5"/>
  <c r="V34" i="5"/>
  <c r="W35" i="5" s="1"/>
  <c r="U34" i="5"/>
  <c r="V35" i="5" s="1"/>
  <c r="T34" i="5"/>
  <c r="U35" i="5" s="1"/>
  <c r="S34" i="5"/>
  <c r="T35" i="5" s="1"/>
  <c r="R34" i="5"/>
  <c r="S35" i="5" s="1"/>
  <c r="Q34" i="5"/>
  <c r="R35" i="5" s="1"/>
  <c r="P34" i="5"/>
  <c r="Q35" i="5" s="1"/>
  <c r="O34" i="5"/>
  <c r="N34" i="5"/>
  <c r="O35" i="5" s="1"/>
  <c r="W33" i="5"/>
  <c r="V33" i="5"/>
  <c r="U33" i="5"/>
  <c r="T33" i="5"/>
  <c r="S33" i="5"/>
  <c r="R33" i="5"/>
  <c r="Q33" i="5"/>
  <c r="P33" i="5"/>
  <c r="O33" i="5"/>
  <c r="N33" i="5"/>
  <c r="V32" i="5"/>
  <c r="N32" i="5"/>
  <c r="W31" i="5"/>
  <c r="V31" i="5"/>
  <c r="W32" i="5" s="1"/>
  <c r="U31" i="5"/>
  <c r="T31" i="5"/>
  <c r="U32" i="5" s="1"/>
  <c r="S31" i="5"/>
  <c r="T32" i="5" s="1"/>
  <c r="R31" i="5"/>
  <c r="S32" i="5" s="1"/>
  <c r="Q31" i="5"/>
  <c r="R32" i="5" s="1"/>
  <c r="P31" i="5"/>
  <c r="Q32" i="5" s="1"/>
  <c r="O31" i="5"/>
  <c r="P32" i="5" s="1"/>
  <c r="N31" i="5"/>
  <c r="O32" i="5" s="1"/>
  <c r="W26" i="5"/>
  <c r="W28" i="5" s="1"/>
  <c r="V26" i="5"/>
  <c r="V28" i="5" s="1"/>
  <c r="U28" i="5"/>
  <c r="T28" i="5"/>
  <c r="S28" i="5"/>
  <c r="R28" i="5"/>
  <c r="Q28" i="5"/>
  <c r="P28" i="5"/>
  <c r="O28" i="5"/>
  <c r="N28" i="5"/>
  <c r="U26" i="5"/>
  <c r="T26" i="5"/>
  <c r="S26" i="5"/>
  <c r="R26" i="5"/>
  <c r="P26" i="5"/>
  <c r="O26" i="5"/>
  <c r="N26" i="5"/>
  <c r="W25" i="5"/>
  <c r="V25" i="5"/>
  <c r="U25" i="5"/>
  <c r="T25" i="5"/>
  <c r="S25" i="5"/>
  <c r="R25" i="5"/>
  <c r="Q25" i="5"/>
  <c r="P25" i="5"/>
  <c r="O25" i="5"/>
  <c r="N25" i="5"/>
  <c r="N23" i="5"/>
  <c r="O23" i="5" s="1"/>
  <c r="P23" i="5" s="1"/>
  <c r="Q23" i="5" s="1"/>
  <c r="R23" i="5" s="1"/>
  <c r="S23" i="5" s="1"/>
  <c r="T23" i="5" s="1"/>
  <c r="U23" i="5" s="1"/>
  <c r="V23" i="5" s="1"/>
  <c r="W23" i="5" s="1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G20" i="1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M19" i="1"/>
  <c r="L19" i="1"/>
  <c r="K19" i="1"/>
  <c r="J19" i="1"/>
  <c r="I19" i="1"/>
  <c r="H19" i="1"/>
  <c r="G19" i="1"/>
  <c r="F19" i="1"/>
  <c r="E19" i="1"/>
  <c r="M28" i="1"/>
  <c r="L28" i="1"/>
  <c r="K28" i="1"/>
  <c r="J28" i="1"/>
  <c r="I28" i="1"/>
  <c r="H28" i="1"/>
  <c r="G28" i="1"/>
  <c r="F28" i="1"/>
  <c r="E28" i="1"/>
  <c r="G16" i="4"/>
  <c r="G16" i="3" s="1"/>
  <c r="O17" i="5"/>
  <c r="P17" i="5" s="1"/>
  <c r="Q17" i="5" s="1"/>
  <c r="R17" i="5" s="1"/>
  <c r="S17" i="5" s="1"/>
  <c r="T17" i="5" s="1"/>
  <c r="U17" i="5" s="1"/>
  <c r="V17" i="5" s="1"/>
  <c r="W17" i="5" s="1"/>
  <c r="N17" i="5"/>
  <c r="N11" i="5"/>
  <c r="O11" i="5" s="1"/>
  <c r="P11" i="5" s="1"/>
  <c r="Q11" i="5" s="1"/>
  <c r="R11" i="5" s="1"/>
  <c r="S11" i="5" s="1"/>
  <c r="T11" i="5" s="1"/>
  <c r="U11" i="5" s="1"/>
  <c r="V11" i="5" s="1"/>
  <c r="W11" i="5" s="1"/>
  <c r="W10" i="5"/>
  <c r="O10" i="5"/>
  <c r="P10" i="5" s="1"/>
  <c r="Q10" i="5" s="1"/>
  <c r="R10" i="5" s="1"/>
  <c r="S10" i="5" s="1"/>
  <c r="T10" i="5" s="1"/>
  <c r="U10" i="5" s="1"/>
  <c r="V10" i="5" s="1"/>
  <c r="N10" i="5"/>
  <c r="C25" i="5"/>
  <c r="D23" i="5"/>
  <c r="E23" i="5" s="1"/>
  <c r="F23" i="5" s="1"/>
  <c r="G23" i="5" s="1"/>
  <c r="H23" i="5" s="1"/>
  <c r="I23" i="5" s="1"/>
  <c r="J23" i="5" s="1"/>
  <c r="K23" i="5" s="1"/>
  <c r="L23" i="5" s="1"/>
  <c r="M23" i="5" s="1"/>
  <c r="W21" i="5"/>
  <c r="E18" i="5"/>
  <c r="F18" i="5" s="1"/>
  <c r="G18" i="5" s="1"/>
  <c r="H18" i="5" s="1"/>
  <c r="I18" i="5" s="1"/>
  <c r="J18" i="5" s="1"/>
  <c r="K18" i="5" s="1"/>
  <c r="L18" i="5" s="1"/>
  <c r="M18" i="5" s="1"/>
  <c r="D17" i="5"/>
  <c r="E17" i="5" s="1"/>
  <c r="F17" i="5" s="1"/>
  <c r="G17" i="5" s="1"/>
  <c r="H17" i="5" s="1"/>
  <c r="I17" i="5" s="1"/>
  <c r="J17" i="5" s="1"/>
  <c r="K17" i="5" s="1"/>
  <c r="L17" i="5" s="1"/>
  <c r="M17" i="5" s="1"/>
  <c r="C12" i="5"/>
  <c r="C28" i="5" s="1"/>
  <c r="C37" i="5" s="1"/>
  <c r="D11" i="5"/>
  <c r="I6" i="5"/>
  <c r="F6" i="5" s="1"/>
  <c r="F7" i="5" s="1"/>
  <c r="I5" i="5"/>
  <c r="D23" i="4"/>
  <c r="E23" i="4" s="1"/>
  <c r="F23" i="4" s="1"/>
  <c r="G23" i="4" s="1"/>
  <c r="H23" i="4" s="1"/>
  <c r="I23" i="4" s="1"/>
  <c r="J23" i="4" s="1"/>
  <c r="K23" i="4" s="1"/>
  <c r="L23" i="4" s="1"/>
  <c r="M23" i="4" s="1"/>
  <c r="M21" i="4"/>
  <c r="E18" i="4"/>
  <c r="F18" i="4" s="1"/>
  <c r="G18" i="4" s="1"/>
  <c r="H18" i="4" s="1"/>
  <c r="I18" i="4" s="1"/>
  <c r="J18" i="4" s="1"/>
  <c r="K18" i="4" s="1"/>
  <c r="L18" i="4" s="1"/>
  <c r="M18" i="4" s="1"/>
  <c r="D17" i="4"/>
  <c r="E17" i="4" s="1"/>
  <c r="F17" i="4" s="1"/>
  <c r="G17" i="4" s="1"/>
  <c r="H17" i="4" s="1"/>
  <c r="I17" i="4" s="1"/>
  <c r="J17" i="4" s="1"/>
  <c r="K17" i="4" s="1"/>
  <c r="L17" i="4" s="1"/>
  <c r="M17" i="4" s="1"/>
  <c r="C12" i="4"/>
  <c r="C25" i="4" s="1"/>
  <c r="D11" i="4"/>
  <c r="D15" i="4" s="1"/>
  <c r="I6" i="4"/>
  <c r="F6" i="4" s="1"/>
  <c r="F7" i="4" s="1"/>
  <c r="I5" i="4"/>
  <c r="E18" i="3"/>
  <c r="F18" i="3" s="1"/>
  <c r="G18" i="3" s="1"/>
  <c r="H18" i="3" s="1"/>
  <c r="I18" i="3" s="1"/>
  <c r="J18" i="3" s="1"/>
  <c r="K18" i="3" s="1"/>
  <c r="L18" i="3" s="1"/>
  <c r="M18" i="3" s="1"/>
  <c r="F22" i="1"/>
  <c r="G22" i="1" s="1"/>
  <c r="H22" i="1" s="1"/>
  <c r="I22" i="1" s="1"/>
  <c r="J22" i="1" s="1"/>
  <c r="K22" i="1" s="1"/>
  <c r="L22" i="1" s="1"/>
  <c r="M22" i="1" s="1"/>
  <c r="E22" i="1"/>
  <c r="F6" i="1"/>
  <c r="F7" i="1" s="1"/>
  <c r="M18" i="1"/>
  <c r="L18" i="1"/>
  <c r="K18" i="1"/>
  <c r="J18" i="1"/>
  <c r="I18" i="1"/>
  <c r="H18" i="1"/>
  <c r="G18" i="1"/>
  <c r="F18" i="1"/>
  <c r="E18" i="1"/>
  <c r="M17" i="1"/>
  <c r="L17" i="1"/>
  <c r="K17" i="1"/>
  <c r="J17" i="1"/>
  <c r="I17" i="1"/>
  <c r="H17" i="1"/>
  <c r="G17" i="1"/>
  <c r="F17" i="1"/>
  <c r="E17" i="1"/>
  <c r="M27" i="1"/>
  <c r="L27" i="1"/>
  <c r="K27" i="1"/>
  <c r="J27" i="1"/>
  <c r="I27" i="1"/>
  <c r="H27" i="1"/>
  <c r="G27" i="1"/>
  <c r="F27" i="1"/>
  <c r="E27" i="1"/>
  <c r="C9" i="2"/>
  <c r="C8" i="2"/>
  <c r="D33" i="1"/>
  <c r="C33" i="1"/>
  <c r="D31" i="1"/>
  <c r="D30" i="1"/>
  <c r="C30" i="1"/>
  <c r="D23" i="3"/>
  <c r="E23" i="3" s="1"/>
  <c r="F23" i="3" s="1"/>
  <c r="G23" i="3" s="1"/>
  <c r="H23" i="3" s="1"/>
  <c r="I23" i="3" s="1"/>
  <c r="J23" i="3" s="1"/>
  <c r="K23" i="3" s="1"/>
  <c r="L23" i="3" s="1"/>
  <c r="M23" i="3" s="1"/>
  <c r="E8" i="2"/>
  <c r="D17" i="3"/>
  <c r="E17" i="3" s="1"/>
  <c r="F17" i="3" s="1"/>
  <c r="G17" i="3" s="1"/>
  <c r="H17" i="3" s="1"/>
  <c r="I17" i="3" s="1"/>
  <c r="J17" i="3" s="1"/>
  <c r="K17" i="3" s="1"/>
  <c r="L17" i="3" s="1"/>
  <c r="M17" i="3" s="1"/>
  <c r="M21" i="3"/>
  <c r="C12" i="3"/>
  <c r="C28" i="3" s="1"/>
  <c r="B8" i="2" s="1"/>
  <c r="D11" i="3"/>
  <c r="D22" i="3" s="1"/>
  <c r="I6" i="3"/>
  <c r="F6" i="3" s="1"/>
  <c r="I5" i="3"/>
  <c r="D13" i="1"/>
  <c r="D19" i="1" s="1"/>
  <c r="D22" i="1"/>
  <c r="F21" i="1"/>
  <c r="G21" i="1" s="1"/>
  <c r="H21" i="1" s="1"/>
  <c r="I21" i="1" s="1"/>
  <c r="J21" i="1" s="1"/>
  <c r="K21" i="1" s="1"/>
  <c r="L21" i="1" s="1"/>
  <c r="M21" i="1" s="1"/>
  <c r="E21" i="1"/>
  <c r="D21" i="1"/>
  <c r="D12" i="1"/>
  <c r="E12" i="1" s="1"/>
  <c r="D11" i="1"/>
  <c r="D17" i="1" s="1"/>
  <c r="I6" i="1"/>
  <c r="I5" i="1"/>
  <c r="M26" i="1"/>
  <c r="C14" i="1"/>
  <c r="C37" i="3" l="1"/>
  <c r="D14" i="6"/>
  <c r="E11" i="6"/>
  <c r="D12" i="6"/>
  <c r="D23" i="6" s="1"/>
  <c r="E9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E10" i="2"/>
  <c r="G16" i="5"/>
  <c r="Q16" i="5" s="1"/>
  <c r="D31" i="5"/>
  <c r="E32" i="5" s="1"/>
  <c r="D33" i="5"/>
  <c r="D34" i="5"/>
  <c r="E35" i="5" s="1"/>
  <c r="D22" i="5"/>
  <c r="D25" i="5" s="1"/>
  <c r="D26" i="5" s="1"/>
  <c r="D28" i="5" s="1"/>
  <c r="D37" i="5" s="1"/>
  <c r="E11" i="5"/>
  <c r="D33" i="4"/>
  <c r="D31" i="4"/>
  <c r="E32" i="4" s="1"/>
  <c r="D34" i="4"/>
  <c r="E35" i="4" s="1"/>
  <c r="E11" i="4"/>
  <c r="D22" i="4"/>
  <c r="D25" i="4" s="1"/>
  <c r="D26" i="4" s="1"/>
  <c r="D28" i="4" s="1"/>
  <c r="D37" i="4" s="1"/>
  <c r="D9" i="2" s="1"/>
  <c r="C28" i="4"/>
  <c r="C37" i="4" s="1"/>
  <c r="D8" i="2" s="1"/>
  <c r="C25" i="3"/>
  <c r="F8" i="2"/>
  <c r="D15" i="3"/>
  <c r="F7" i="3"/>
  <c r="E11" i="3"/>
  <c r="E13" i="1"/>
  <c r="F13" i="1" s="1"/>
  <c r="G13" i="1" s="1"/>
  <c r="H13" i="1" s="1"/>
  <c r="I13" i="1" s="1"/>
  <c r="J13" i="1" s="1"/>
  <c r="K13" i="1" s="1"/>
  <c r="L13" i="1" s="1"/>
  <c r="M13" i="1" s="1"/>
  <c r="D28" i="1"/>
  <c r="D27" i="1"/>
  <c r="F12" i="1"/>
  <c r="E11" i="1"/>
  <c r="D18" i="1"/>
  <c r="E22" i="3" l="1"/>
  <c r="E15" i="3"/>
  <c r="E12" i="6"/>
  <c r="D15" i="6"/>
  <c r="D25" i="6" s="1"/>
  <c r="F11" i="6"/>
  <c r="E14" i="6"/>
  <c r="E11" i="2"/>
  <c r="E12" i="2"/>
  <c r="E22" i="4"/>
  <c r="E15" i="4"/>
  <c r="E25" i="5"/>
  <c r="E26" i="5" s="1"/>
  <c r="E28" i="5" s="1"/>
  <c r="F11" i="5"/>
  <c r="E25" i="4"/>
  <c r="E26" i="4" s="1"/>
  <c r="E28" i="4" s="1"/>
  <c r="F11" i="4"/>
  <c r="D25" i="3"/>
  <c r="D26" i="3" s="1"/>
  <c r="D28" i="3" s="1"/>
  <c r="D37" i="3" s="1"/>
  <c r="D31" i="3"/>
  <c r="E32" i="3" s="1"/>
  <c r="D34" i="3"/>
  <c r="E35" i="3" s="1"/>
  <c r="D33" i="3"/>
  <c r="F11" i="3"/>
  <c r="G30" i="1"/>
  <c r="M30" i="1"/>
  <c r="F30" i="1"/>
  <c r="K30" i="1"/>
  <c r="E13" i="2"/>
  <c r="F11" i="1"/>
  <c r="G12" i="1"/>
  <c r="F22" i="3" l="1"/>
  <c r="F15" i="3"/>
  <c r="F12" i="6"/>
  <c r="F23" i="6" s="1"/>
  <c r="E15" i="6"/>
  <c r="G11" i="6"/>
  <c r="F14" i="6"/>
  <c r="E23" i="6"/>
  <c r="D26" i="6"/>
  <c r="D28" i="6" s="1"/>
  <c r="F22" i="4"/>
  <c r="F25" i="4" s="1"/>
  <c r="F26" i="4" s="1"/>
  <c r="F28" i="4" s="1"/>
  <c r="F15" i="4"/>
  <c r="F25" i="5"/>
  <c r="F26" i="5" s="1"/>
  <c r="F28" i="5" s="1"/>
  <c r="G11" i="5"/>
  <c r="E31" i="5"/>
  <c r="F32" i="5" s="1"/>
  <c r="E34" i="5"/>
  <c r="F35" i="5" s="1"/>
  <c r="E33" i="5"/>
  <c r="E31" i="4"/>
  <c r="F32" i="4" s="1"/>
  <c r="E34" i="4"/>
  <c r="F35" i="4" s="1"/>
  <c r="E33" i="4"/>
  <c r="G11" i="4"/>
  <c r="E34" i="3"/>
  <c r="F35" i="3" s="1"/>
  <c r="E33" i="3"/>
  <c r="E31" i="3"/>
  <c r="F32" i="3" s="1"/>
  <c r="E25" i="3"/>
  <c r="E26" i="3" s="1"/>
  <c r="E28" i="3" s="1"/>
  <c r="E37" i="3" s="1"/>
  <c r="K31" i="1"/>
  <c r="K33" i="1" s="1"/>
  <c r="C16" i="2" s="1"/>
  <c r="M31" i="1"/>
  <c r="M33" i="1" s="1"/>
  <c r="C18" i="2" s="1"/>
  <c r="F31" i="1"/>
  <c r="F33" i="1" s="1"/>
  <c r="C11" i="2" s="1"/>
  <c r="G31" i="1"/>
  <c r="G33" i="1" s="1"/>
  <c r="C12" i="2" s="1"/>
  <c r="G11" i="3"/>
  <c r="J30" i="1"/>
  <c r="E30" i="1"/>
  <c r="L30" i="1"/>
  <c r="H30" i="1"/>
  <c r="I30" i="1"/>
  <c r="E14" i="2"/>
  <c r="H12" i="1"/>
  <c r="G11" i="1"/>
  <c r="G22" i="3" l="1"/>
  <c r="G15" i="3"/>
  <c r="E25" i="6"/>
  <c r="E26" i="6" s="1"/>
  <c r="H11" i="6"/>
  <c r="G14" i="6"/>
  <c r="G12" i="6"/>
  <c r="G23" i="6" s="1"/>
  <c r="F15" i="6"/>
  <c r="F25" i="6" s="1"/>
  <c r="G22" i="4"/>
  <c r="G15" i="4"/>
  <c r="E37" i="5"/>
  <c r="H11" i="5"/>
  <c r="F31" i="5"/>
  <c r="G32" i="5" s="1"/>
  <c r="F34" i="5"/>
  <c r="G35" i="5" s="1"/>
  <c r="F33" i="5"/>
  <c r="H11" i="4"/>
  <c r="F31" i="4"/>
  <c r="G32" i="4" s="1"/>
  <c r="F34" i="4"/>
  <c r="G35" i="4" s="1"/>
  <c r="F33" i="4"/>
  <c r="E37" i="4"/>
  <c r="D10" i="2" s="1"/>
  <c r="F25" i="3"/>
  <c r="F26" i="3" s="1"/>
  <c r="F28" i="3" s="1"/>
  <c r="F34" i="3"/>
  <c r="G35" i="3" s="1"/>
  <c r="F33" i="3"/>
  <c r="F31" i="3"/>
  <c r="G32" i="3" s="1"/>
  <c r="I31" i="1"/>
  <c r="I33" i="1" s="1"/>
  <c r="C14" i="2" s="1"/>
  <c r="H31" i="1"/>
  <c r="H33" i="1" s="1"/>
  <c r="C13" i="2" s="1"/>
  <c r="L31" i="1"/>
  <c r="L33" i="1" s="1"/>
  <c r="C17" i="2" s="1"/>
  <c r="J31" i="1"/>
  <c r="J33" i="1" s="1"/>
  <c r="C15" i="2" s="1"/>
  <c r="E31" i="1"/>
  <c r="E33" i="1" s="1"/>
  <c r="C10" i="2" s="1"/>
  <c r="H11" i="3"/>
  <c r="E15" i="2"/>
  <c r="H11" i="1"/>
  <c r="I12" i="1"/>
  <c r="H15" i="3" l="1"/>
  <c r="H22" i="3"/>
  <c r="F37" i="3"/>
  <c r="E28" i="6"/>
  <c r="F26" i="6"/>
  <c r="F28" i="6" s="1"/>
  <c r="I11" i="6"/>
  <c r="H14" i="6"/>
  <c r="G15" i="6"/>
  <c r="G25" i="6" s="1"/>
  <c r="H12" i="6"/>
  <c r="H23" i="6" s="1"/>
  <c r="C6" i="2"/>
  <c r="H22" i="4"/>
  <c r="H15" i="4"/>
  <c r="H25" i="5"/>
  <c r="H26" i="5" s="1"/>
  <c r="H28" i="5" s="1"/>
  <c r="I11" i="5"/>
  <c r="G28" i="5"/>
  <c r="G25" i="5"/>
  <c r="G34" i="5"/>
  <c r="H35" i="5" s="1"/>
  <c r="G33" i="5"/>
  <c r="G31" i="5"/>
  <c r="H32" i="5" s="1"/>
  <c r="F37" i="5"/>
  <c r="F37" i="4"/>
  <c r="D11" i="2" s="1"/>
  <c r="H25" i="4"/>
  <c r="H26" i="4" s="1"/>
  <c r="H28" i="4" s="1"/>
  <c r="I11" i="4"/>
  <c r="G28" i="4"/>
  <c r="G25" i="4"/>
  <c r="G31" i="4"/>
  <c r="H32" i="4" s="1"/>
  <c r="G34" i="4"/>
  <c r="H35" i="4" s="1"/>
  <c r="G33" i="4"/>
  <c r="G25" i="3"/>
  <c r="G26" i="3" s="1"/>
  <c r="G28" i="3"/>
  <c r="G33" i="3"/>
  <c r="G31" i="3"/>
  <c r="H32" i="3" s="1"/>
  <c r="G34" i="3"/>
  <c r="H35" i="3" s="1"/>
  <c r="D3" i="2"/>
  <c r="I11" i="3"/>
  <c r="E16" i="2"/>
  <c r="J12" i="1"/>
  <c r="I11" i="1"/>
  <c r="I15" i="3" l="1"/>
  <c r="I22" i="3"/>
  <c r="G37" i="3"/>
  <c r="G26" i="6"/>
  <c r="G28" i="6" s="1"/>
  <c r="I14" i="6"/>
  <c r="J11" i="6"/>
  <c r="H15" i="6"/>
  <c r="H25" i="6" s="1"/>
  <c r="I12" i="6"/>
  <c r="I15" i="4"/>
  <c r="I22" i="4"/>
  <c r="G37" i="5"/>
  <c r="I25" i="5"/>
  <c r="I28" i="5" s="1"/>
  <c r="J11" i="5"/>
  <c r="H34" i="5"/>
  <c r="I35" i="5" s="1"/>
  <c r="H33" i="5"/>
  <c r="H31" i="5"/>
  <c r="I32" i="5" s="1"/>
  <c r="G37" i="4"/>
  <c r="D12" i="2" s="1"/>
  <c r="H34" i="4"/>
  <c r="I35" i="4" s="1"/>
  <c r="H33" i="4"/>
  <c r="H31" i="4"/>
  <c r="I32" i="4" s="1"/>
  <c r="J11" i="4"/>
  <c r="H33" i="3"/>
  <c r="H34" i="3"/>
  <c r="I35" i="3" s="1"/>
  <c r="H31" i="3"/>
  <c r="I32" i="3" s="1"/>
  <c r="H25" i="3"/>
  <c r="H26" i="3" s="1"/>
  <c r="H28" i="3" s="1"/>
  <c r="H37" i="3" s="1"/>
  <c r="J11" i="3"/>
  <c r="E18" i="2"/>
  <c r="E17" i="2"/>
  <c r="J11" i="1"/>
  <c r="K12" i="1"/>
  <c r="J22" i="3" l="1"/>
  <c r="J15" i="3"/>
  <c r="H26" i="6"/>
  <c r="H28" i="6" s="1"/>
  <c r="I15" i="6"/>
  <c r="J12" i="6"/>
  <c r="J14" i="6"/>
  <c r="K11" i="6"/>
  <c r="J23" i="6"/>
  <c r="I23" i="6"/>
  <c r="I25" i="6" s="1"/>
  <c r="J15" i="4"/>
  <c r="J22" i="4"/>
  <c r="I34" i="5"/>
  <c r="J35" i="5" s="1"/>
  <c r="I33" i="5"/>
  <c r="I31" i="5"/>
  <c r="J32" i="5" s="1"/>
  <c r="H37" i="5"/>
  <c r="K11" i="5"/>
  <c r="K11" i="4"/>
  <c r="I34" i="4"/>
  <c r="J35" i="4" s="1"/>
  <c r="I33" i="4"/>
  <c r="I31" i="4"/>
  <c r="J32" i="4" s="1"/>
  <c r="I25" i="4"/>
  <c r="I28" i="4" s="1"/>
  <c r="I37" i="4" s="1"/>
  <c r="D14" i="2" s="1"/>
  <c r="H37" i="4"/>
  <c r="D13" i="2" s="1"/>
  <c r="I31" i="3"/>
  <c r="J32" i="3" s="1"/>
  <c r="I34" i="3"/>
  <c r="J35" i="3" s="1"/>
  <c r="I33" i="3"/>
  <c r="I25" i="3"/>
  <c r="K11" i="3"/>
  <c r="L12" i="1"/>
  <c r="K11" i="1"/>
  <c r="K15" i="3" l="1"/>
  <c r="K22" i="3"/>
  <c r="I28" i="3"/>
  <c r="I37" i="3" s="1"/>
  <c r="I26" i="3"/>
  <c r="L11" i="6"/>
  <c r="K14" i="6"/>
  <c r="K12" i="6"/>
  <c r="J15" i="6"/>
  <c r="J25" i="6" s="1"/>
  <c r="I26" i="6"/>
  <c r="I28" i="6" s="1"/>
  <c r="K15" i="4"/>
  <c r="K22" i="4"/>
  <c r="I37" i="5"/>
  <c r="J33" i="5"/>
  <c r="J31" i="5"/>
  <c r="K32" i="5" s="1"/>
  <c r="J34" i="5"/>
  <c r="K35" i="5" s="1"/>
  <c r="L11" i="5"/>
  <c r="K25" i="5"/>
  <c r="K28" i="5" s="1"/>
  <c r="J25" i="5"/>
  <c r="J28" i="5" s="1"/>
  <c r="J37" i="5" s="1"/>
  <c r="J25" i="4"/>
  <c r="J28" i="4" s="1"/>
  <c r="J33" i="4"/>
  <c r="J34" i="4"/>
  <c r="K35" i="4" s="1"/>
  <c r="J31" i="4"/>
  <c r="K32" i="4" s="1"/>
  <c r="L11" i="4"/>
  <c r="K25" i="4"/>
  <c r="K28" i="4" s="1"/>
  <c r="J31" i="3"/>
  <c r="K32" i="3" s="1"/>
  <c r="J34" i="3"/>
  <c r="K35" i="3" s="1"/>
  <c r="J33" i="3"/>
  <c r="J25" i="3"/>
  <c r="J28" i="3" s="1"/>
  <c r="L11" i="3"/>
  <c r="L11" i="1"/>
  <c r="M12" i="1"/>
  <c r="L15" i="3" l="1"/>
  <c r="L22" i="3"/>
  <c r="J26" i="6"/>
  <c r="J28" i="6" s="1"/>
  <c r="L12" i="6"/>
  <c r="K15" i="6"/>
  <c r="L23" i="6"/>
  <c r="L14" i="6"/>
  <c r="M11" i="6"/>
  <c r="K23" i="6"/>
  <c r="K25" i="6" s="1"/>
  <c r="L22" i="4"/>
  <c r="L25" i="4" s="1"/>
  <c r="L28" i="4" s="1"/>
  <c r="L15" i="4"/>
  <c r="B15" i="2"/>
  <c r="F15" i="2" s="1"/>
  <c r="J37" i="3"/>
  <c r="K33" i="5"/>
  <c r="K31" i="5"/>
  <c r="L32" i="5" s="1"/>
  <c r="K34" i="5"/>
  <c r="L35" i="5" s="1"/>
  <c r="L25" i="5"/>
  <c r="L28" i="5" s="1"/>
  <c r="M11" i="5"/>
  <c r="J37" i="4"/>
  <c r="D15" i="2" s="1"/>
  <c r="K33" i="4"/>
  <c r="K31" i="4"/>
  <c r="L32" i="4" s="1"/>
  <c r="K34" i="4"/>
  <c r="L35" i="4" s="1"/>
  <c r="M11" i="4"/>
  <c r="K34" i="3"/>
  <c r="L35" i="3" s="1"/>
  <c r="K33" i="3"/>
  <c r="K31" i="3"/>
  <c r="L32" i="3" s="1"/>
  <c r="K25" i="3"/>
  <c r="K28" i="3" s="1"/>
  <c r="K37" i="3" s="1"/>
  <c r="M11" i="3"/>
  <c r="M11" i="1"/>
  <c r="M22" i="3" l="1"/>
  <c r="M15" i="3"/>
  <c r="K26" i="6"/>
  <c r="K28" i="6" s="1"/>
  <c r="M14" i="6"/>
  <c r="M12" i="6"/>
  <c r="M15" i="6" s="1"/>
  <c r="L15" i="6"/>
  <c r="L25" i="6" s="1"/>
  <c r="M22" i="4"/>
  <c r="M15" i="4"/>
  <c r="M25" i="5"/>
  <c r="M28" i="5" s="1"/>
  <c r="L31" i="5"/>
  <c r="M32" i="5" s="1"/>
  <c r="L34" i="5"/>
  <c r="M35" i="5" s="1"/>
  <c r="L33" i="5"/>
  <c r="K37" i="5"/>
  <c r="K37" i="4"/>
  <c r="D16" i="2" s="1"/>
  <c r="M25" i="4"/>
  <c r="M26" i="4" s="1"/>
  <c r="M28" i="4" s="1"/>
  <c r="L31" i="4"/>
  <c r="M32" i="4" s="1"/>
  <c r="L33" i="4"/>
  <c r="L34" i="4"/>
  <c r="M35" i="4" s="1"/>
  <c r="L31" i="3"/>
  <c r="M32" i="3" s="1"/>
  <c r="L34" i="3"/>
  <c r="M35" i="3" s="1"/>
  <c r="L33" i="3"/>
  <c r="L25" i="3"/>
  <c r="L28" i="3" s="1"/>
  <c r="L37" i="3" s="1"/>
  <c r="L26" i="6" l="1"/>
  <c r="L28" i="6" s="1"/>
  <c r="M23" i="6"/>
  <c r="M25" i="6" s="1"/>
  <c r="M31" i="4"/>
  <c r="M34" i="4"/>
  <c r="M33" i="4"/>
  <c r="L37" i="5"/>
  <c r="M31" i="5"/>
  <c r="M34" i="5"/>
  <c r="M33" i="5"/>
  <c r="L37" i="4"/>
  <c r="D17" i="2" s="1"/>
  <c r="M34" i="3"/>
  <c r="M31" i="3"/>
  <c r="M33" i="3"/>
  <c r="M25" i="3"/>
  <c r="M26" i="3" s="1"/>
  <c r="B9" i="2"/>
  <c r="M26" i="6" l="1"/>
  <c r="M28" i="6" s="1"/>
  <c r="M37" i="5"/>
  <c r="M37" i="4"/>
  <c r="D18" i="2" s="1"/>
  <c r="M28" i="3"/>
  <c r="F9" i="2"/>
  <c r="B10" i="2"/>
  <c r="F10" i="2" s="1"/>
  <c r="B17" i="2"/>
  <c r="F17" i="2" s="1"/>
  <c r="B16" i="2"/>
  <c r="F16" i="2" s="1"/>
  <c r="B14" i="2"/>
  <c r="F14" i="2" s="1"/>
  <c r="B13" i="2"/>
  <c r="F13" i="2" s="1"/>
  <c r="B12" i="2"/>
  <c r="F12" i="2" s="1"/>
  <c r="B11" i="2"/>
  <c r="F11" i="2" s="1"/>
  <c r="B18" i="2" l="1"/>
  <c r="F18" i="2" s="1"/>
  <c r="M37" i="3"/>
  <c r="D6" i="2"/>
  <c r="B6" i="2" l="1"/>
</calcChain>
</file>

<file path=xl/sharedStrings.xml><?xml version="1.0" encoding="utf-8"?>
<sst xmlns="http://schemas.openxmlformats.org/spreadsheetml/2006/main" count="210" uniqueCount="62">
  <si>
    <t>ETH</t>
  </si>
  <si>
    <t>BTC</t>
  </si>
  <si>
    <t>USDC</t>
  </si>
  <si>
    <t>$ 650 million</t>
  </si>
  <si>
    <t>$ 22 billion</t>
  </si>
  <si>
    <t>Alternium</t>
  </si>
  <si>
    <t>Year</t>
  </si>
  <si>
    <t>US &amp; Russia</t>
  </si>
  <si>
    <t>international</t>
  </si>
  <si>
    <t>without</t>
  </si>
  <si>
    <t>With</t>
  </si>
  <si>
    <t>R&amp;D Exps</t>
  </si>
  <si>
    <t>Infra</t>
  </si>
  <si>
    <t>Revenue:</t>
  </si>
  <si>
    <t>Salvage</t>
  </si>
  <si>
    <t>Revenue</t>
  </si>
  <si>
    <t>Cost of serving</t>
  </si>
  <si>
    <t>US</t>
  </si>
  <si>
    <t>Russia</t>
  </si>
  <si>
    <t>new</t>
  </si>
  <si>
    <t>Existing</t>
  </si>
  <si>
    <t>New</t>
  </si>
  <si>
    <t>Only Intrn</t>
  </si>
  <si>
    <t>New revenue</t>
  </si>
  <si>
    <t>Total</t>
  </si>
  <si>
    <t>server costs</t>
  </si>
  <si>
    <t xml:space="preserve">WITH </t>
  </si>
  <si>
    <t>Operational costs</t>
  </si>
  <si>
    <t>initial</t>
  </si>
  <si>
    <t>Advertisement</t>
  </si>
  <si>
    <t>Capital Budgeting Statement</t>
  </si>
  <si>
    <t>Capital Cost</t>
  </si>
  <si>
    <t>NPV</t>
  </si>
  <si>
    <t>IRR</t>
  </si>
  <si>
    <t>PV Factor</t>
  </si>
  <si>
    <t>PV of CF</t>
  </si>
  <si>
    <t>Service fee new</t>
  </si>
  <si>
    <t>Cost savings</t>
  </si>
  <si>
    <t>Inflation rate</t>
  </si>
  <si>
    <t>Tax @ 10%</t>
  </si>
  <si>
    <t>Only International</t>
  </si>
  <si>
    <t>New product</t>
  </si>
  <si>
    <t>Infra costs</t>
  </si>
  <si>
    <t>Capacity - full in 4th year</t>
  </si>
  <si>
    <t>Incremental CF</t>
  </si>
  <si>
    <t>Total CF (WITH)</t>
  </si>
  <si>
    <t>CF</t>
  </si>
  <si>
    <t>NET CFS
pre tax</t>
  </si>
  <si>
    <t>NET CFS
post tax</t>
  </si>
  <si>
    <t>Working capital changes:</t>
  </si>
  <si>
    <t>Inventory</t>
  </si>
  <si>
    <t>AR Yr 1</t>
  </si>
  <si>
    <t>AR Yr 2</t>
  </si>
  <si>
    <t>AP Yr 1</t>
  </si>
  <si>
    <t>AP Yr 2</t>
  </si>
  <si>
    <t>NET CFS
post tax and WC</t>
  </si>
  <si>
    <t>Incremental CF Q 2</t>
  </si>
  <si>
    <t>WITH OUT</t>
  </si>
  <si>
    <t>Incremental CFs (3)'!A1</t>
  </si>
  <si>
    <t>Incremental CFs (2)'!A1</t>
  </si>
  <si>
    <t>Incremental CFs'!A1</t>
  </si>
  <si>
    <t xml:space="preserve">Capacity full in 6th year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</si>
</sst>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73">
    <xf numFmtId="0" fontId="0" fillId="0" borderId="0" xfId="0"/>
    <xf numFmtId="165" fontId="0" fillId="0" borderId="0" xfId="1" applyNumberFormat="1" applyFont="1"/>
    <xf numFmtId="0" fontId="4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165" fontId="0" fillId="0" borderId="0" xfId="1" applyNumberFormat="1" applyFont="1" applyAlignment="1">
      <alignment horizontal="right"/>
    </xf>
    <xf numFmtId="164" fontId="0" fillId="0" borderId="0" xfId="1" applyFont="1" applyAlignment="1">
      <alignment horizontal="right"/>
    </xf>
    <xf numFmtId="0" fontId="2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165" fontId="0" fillId="0" borderId="0" xfId="1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10" fontId="4" fillId="0" borderId="2" xfId="0" applyNumberFormat="1" applyFont="1" applyBorder="1" applyAlignment="1">
      <alignment vertical="center"/>
    </xf>
    <xf numFmtId="10" fontId="0" fillId="0" borderId="2" xfId="2" applyNumberFormat="1" applyFont="1" applyBorder="1" applyAlignment="1">
      <alignment vertical="center"/>
    </xf>
    <xf numFmtId="165" fontId="0" fillId="0" borderId="2" xfId="0" applyNumberFormat="1" applyBorder="1" applyAlignment="1">
      <alignment vertical="center"/>
    </xf>
    <xf numFmtId="9" fontId="0" fillId="0" borderId="2" xfId="0" applyNumberFormat="1" applyBorder="1" applyAlignment="1">
      <alignment vertical="center"/>
    </xf>
    <xf numFmtId="165" fontId="0" fillId="0" borderId="2" xfId="1" applyNumberFormat="1" applyFont="1" applyBorder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Fill="1" applyBorder="1" applyAlignment="1">
      <alignment vertical="center"/>
    </xf>
    <xf numFmtId="165" fontId="4" fillId="0" borderId="0" xfId="1" applyNumberFormat="1" applyFont="1" applyAlignment="1">
      <alignment vertical="center"/>
    </xf>
    <xf numFmtId="165" fontId="0" fillId="0" borderId="1" xfId="1" applyNumberFormat="1" applyFont="1" applyBorder="1" applyAlignment="1">
      <alignment vertical="center"/>
    </xf>
    <xf numFmtId="9" fontId="0" fillId="0" borderId="0" xfId="0" applyNumberFormat="1" applyFont="1"/>
    <xf numFmtId="165" fontId="6" fillId="0" borderId="0" xfId="1" applyNumberFormat="1" applyFont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Border="1" applyAlignment="1">
      <alignment horizontal="center"/>
    </xf>
    <xf numFmtId="165" fontId="4" fillId="0" borderId="2" xfId="1" applyNumberFormat="1" applyFont="1" applyBorder="1" applyAlignment="1">
      <alignment horizontal="center"/>
    </xf>
    <xf numFmtId="0" fontId="7" fillId="0" borderId="2" xfId="3" quotePrefix="1" applyBorder="1" applyAlignment="1">
      <alignment horizontal="center"/>
    </xf>
    <xf numFmtId="0" fontId="0" fillId="0" borderId="2" xfId="0" applyFont="1" applyBorder="1"/>
    <xf numFmtId="9" fontId="4" fillId="0" borderId="2" xfId="2" applyFont="1" applyBorder="1" applyAlignment="1">
      <alignment horizontal="center"/>
    </xf>
    <xf numFmtId="165" fontId="0" fillId="0" borderId="2" xfId="1" applyNumberFormat="1" applyFont="1" applyBorder="1"/>
    <xf numFmtId="0" fontId="7" fillId="0" borderId="2" xfId="3" quotePrefix="1" applyBorder="1"/>
    <xf numFmtId="0" fontId="4" fillId="0" borderId="2" xfId="0" applyFont="1" applyFill="1" applyBorder="1" applyAlignment="1">
      <alignment horizontal="center"/>
    </xf>
    <xf numFmtId="165" fontId="0" fillId="0" borderId="2" xfId="1" applyNumberFormat="1" applyFont="1" applyBorder="1" applyAlignment="1">
      <alignment horizontal="center"/>
    </xf>
    <xf numFmtId="9" fontId="4" fillId="0" borderId="2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0" fillId="0" borderId="2" xfId="0" applyFont="1" applyBorder="1" applyAlignment="1">
      <alignment horizontal="center"/>
    </xf>
    <xf numFmtId="165" fontId="0" fillId="0" borderId="2" xfId="1" applyNumberFormat="1" applyFont="1" applyBorder="1" applyAlignment="1">
      <alignment horizontal="right"/>
    </xf>
    <xf numFmtId="164" fontId="0" fillId="0" borderId="2" xfId="1" applyFont="1" applyBorder="1" applyAlignment="1">
      <alignment horizontal="right"/>
    </xf>
    <xf numFmtId="0" fontId="4" fillId="4" borderId="2" xfId="0" applyFont="1" applyFill="1" applyBorder="1" applyAlignment="1">
      <alignment horizontal="centerContinuous"/>
    </xf>
    <xf numFmtId="165" fontId="4" fillId="4" borderId="2" xfId="1" applyNumberFormat="1" applyFont="1" applyFill="1" applyBorder="1" applyAlignment="1">
      <alignment horizontal="centerContinuous"/>
    </xf>
    <xf numFmtId="0" fontId="0" fillId="4" borderId="2" xfId="0" applyFont="1" applyFill="1" applyBorder="1"/>
    <xf numFmtId="0" fontId="4" fillId="3" borderId="2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165" fontId="3" fillId="0" borderId="2" xfId="1" applyNumberFormat="1" applyFont="1" applyBorder="1" applyAlignment="1">
      <alignment vertical="center"/>
    </xf>
    <xf numFmtId="165" fontId="4" fillId="0" borderId="2" xfId="1" applyNumberFormat="1" applyFont="1" applyBorder="1" applyAlignment="1">
      <alignment vertical="center"/>
    </xf>
    <xf numFmtId="165" fontId="6" fillId="0" borderId="2" xfId="1" applyNumberFormat="1" applyFont="1" applyBorder="1" applyAlignment="1">
      <alignment vertical="center"/>
    </xf>
    <xf numFmtId="0" fontId="0" fillId="0" borderId="2" xfId="0" applyFill="1" applyBorder="1" applyAlignment="1">
      <alignment vertical="center"/>
    </xf>
    <xf numFmtId="165" fontId="0" fillId="0" borderId="2" xfId="1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65" fontId="1" fillId="0" borderId="2" xfId="1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65" fontId="4" fillId="0" borderId="2" xfId="0" applyNumberFormat="1" applyFont="1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5" borderId="2" xfId="0" applyFill="1" applyBorder="1" applyAlignment="1">
      <alignment vertical="center"/>
    </xf>
    <xf numFmtId="0" fontId="6" fillId="5" borderId="2" xfId="0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 wrapText="1"/>
    </xf>
    <xf numFmtId="0" fontId="6" fillId="6" borderId="2" xfId="0" applyFont="1" applyFill="1" applyBorder="1" applyAlignment="1">
      <alignment vertical="center"/>
    </xf>
    <xf numFmtId="0" fontId="0" fillId="6" borderId="2" xfId="0" applyFill="1" applyBorder="1" applyAlignment="1">
      <alignment vertical="center"/>
    </xf>
    <xf numFmtId="0" fontId="5" fillId="6" borderId="2" xfId="0" applyFont="1" applyFill="1" applyBorder="1" applyAlignment="1">
      <alignment vertical="center"/>
    </xf>
    <xf numFmtId="0" fontId="4" fillId="6" borderId="2" xfId="0" applyFont="1" applyFill="1" applyBorder="1" applyAlignment="1">
      <alignment vertical="center"/>
    </xf>
    <xf numFmtId="0" fontId="4" fillId="6" borderId="2" xfId="0" applyFont="1" applyFill="1" applyBorder="1" applyAlignment="1">
      <alignment vertical="center" wrapText="1"/>
    </xf>
    <xf numFmtId="0" fontId="0" fillId="7" borderId="2" xfId="0" applyFill="1" applyBorder="1" applyAlignment="1">
      <alignment vertic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A1F8C-EF79-49FB-BC3C-48A20F829F52}">
  <dimension ref="A2:AB29"/>
  <sheetViews>
    <sheetView workbookViewId="0">
      <selection activeCell="G7" sqref="G7"/>
    </sheetView>
  </sheetViews>
  <sheetFormatPr defaultColWidth="9.21875" defaultRowHeight="14.4" x14ac:dyDescent="0.3"/>
  <cols>
    <col min="1" max="1" width="12.109375" style="3" bestFit="1" customWidth="1"/>
    <col min="2" max="2" width="21.6640625" style="3" bestFit="1" customWidth="1"/>
    <col min="3" max="3" width="21.6640625" style="3" customWidth="1"/>
    <col min="4" max="4" width="24.21875" style="3" bestFit="1" customWidth="1"/>
    <col min="5" max="5" width="10" style="3" hidden="1" customWidth="1"/>
    <col min="6" max="6" width="16.44140625" style="1" hidden="1" customWidth="1"/>
    <col min="7" max="7" width="20.21875" style="3" bestFit="1" customWidth="1"/>
    <col min="8" max="8" width="9.21875" style="3" bestFit="1" customWidth="1"/>
    <col min="9" max="9" width="13.77734375" style="3" bestFit="1" customWidth="1"/>
    <col min="10" max="258" width="9.21875" style="3"/>
    <col min="259" max="259" width="13.21875" style="3" bestFit="1" customWidth="1"/>
    <col min="260" max="260" width="18" style="3" bestFit="1" customWidth="1"/>
    <col min="261" max="261" width="11.21875" style="3" bestFit="1" customWidth="1"/>
    <col min="262" max="262" width="15" style="3" bestFit="1" customWidth="1"/>
    <col min="263" max="263" width="9.21875" style="3"/>
    <col min="264" max="264" width="9.21875" style="3" bestFit="1" customWidth="1"/>
    <col min="265" max="514" width="9.21875" style="3"/>
    <col min="515" max="515" width="13.21875" style="3" bestFit="1" customWidth="1"/>
    <col min="516" max="516" width="18" style="3" bestFit="1" customWidth="1"/>
    <col min="517" max="517" width="11.21875" style="3" bestFit="1" customWidth="1"/>
    <col min="518" max="518" width="15" style="3" bestFit="1" customWidth="1"/>
    <col min="519" max="519" width="9.21875" style="3"/>
    <col min="520" max="520" width="9.21875" style="3" bestFit="1" customWidth="1"/>
    <col min="521" max="770" width="9.21875" style="3"/>
    <col min="771" max="771" width="13.21875" style="3" bestFit="1" customWidth="1"/>
    <col min="772" max="772" width="18" style="3" bestFit="1" customWidth="1"/>
    <col min="773" max="773" width="11.21875" style="3" bestFit="1" customWidth="1"/>
    <col min="774" max="774" width="15" style="3" bestFit="1" customWidth="1"/>
    <col min="775" max="775" width="9.21875" style="3"/>
    <col min="776" max="776" width="9.21875" style="3" bestFit="1" customWidth="1"/>
    <col min="777" max="1026" width="9.21875" style="3"/>
    <col min="1027" max="1027" width="13.21875" style="3" bestFit="1" customWidth="1"/>
    <col min="1028" max="1028" width="18" style="3" bestFit="1" customWidth="1"/>
    <col min="1029" max="1029" width="11.21875" style="3" bestFit="1" customWidth="1"/>
    <col min="1030" max="1030" width="15" style="3" bestFit="1" customWidth="1"/>
    <col min="1031" max="1031" width="9.21875" style="3"/>
    <col min="1032" max="1032" width="9.21875" style="3" bestFit="1" customWidth="1"/>
    <col min="1033" max="1282" width="9.21875" style="3"/>
    <col min="1283" max="1283" width="13.21875" style="3" bestFit="1" customWidth="1"/>
    <col min="1284" max="1284" width="18" style="3" bestFit="1" customWidth="1"/>
    <col min="1285" max="1285" width="11.21875" style="3" bestFit="1" customWidth="1"/>
    <col min="1286" max="1286" width="15" style="3" bestFit="1" customWidth="1"/>
    <col min="1287" max="1287" width="9.21875" style="3"/>
    <col min="1288" max="1288" width="9.21875" style="3" bestFit="1" customWidth="1"/>
    <col min="1289" max="1538" width="9.21875" style="3"/>
    <col min="1539" max="1539" width="13.21875" style="3" bestFit="1" customWidth="1"/>
    <col min="1540" max="1540" width="18" style="3" bestFit="1" customWidth="1"/>
    <col min="1541" max="1541" width="11.21875" style="3" bestFit="1" customWidth="1"/>
    <col min="1542" max="1542" width="15" style="3" bestFit="1" customWidth="1"/>
    <col min="1543" max="1543" width="9.21875" style="3"/>
    <col min="1544" max="1544" width="9.21875" style="3" bestFit="1" customWidth="1"/>
    <col min="1545" max="1794" width="9.21875" style="3"/>
    <col min="1795" max="1795" width="13.21875" style="3" bestFit="1" customWidth="1"/>
    <col min="1796" max="1796" width="18" style="3" bestFit="1" customWidth="1"/>
    <col min="1797" max="1797" width="11.21875" style="3" bestFit="1" customWidth="1"/>
    <col min="1798" max="1798" width="15" style="3" bestFit="1" customWidth="1"/>
    <col min="1799" max="1799" width="9.21875" style="3"/>
    <col min="1800" max="1800" width="9.21875" style="3" bestFit="1" customWidth="1"/>
    <col min="1801" max="2050" width="9.21875" style="3"/>
    <col min="2051" max="2051" width="13.21875" style="3" bestFit="1" customWidth="1"/>
    <col min="2052" max="2052" width="18" style="3" bestFit="1" customWidth="1"/>
    <col min="2053" max="2053" width="11.21875" style="3" bestFit="1" customWidth="1"/>
    <col min="2054" max="2054" width="15" style="3" bestFit="1" customWidth="1"/>
    <col min="2055" max="2055" width="9.21875" style="3"/>
    <col min="2056" max="2056" width="9.21875" style="3" bestFit="1" customWidth="1"/>
    <col min="2057" max="2306" width="9.21875" style="3"/>
    <col min="2307" max="2307" width="13.21875" style="3" bestFit="1" customWidth="1"/>
    <col min="2308" max="2308" width="18" style="3" bestFit="1" customWidth="1"/>
    <col min="2309" max="2309" width="11.21875" style="3" bestFit="1" customWidth="1"/>
    <col min="2310" max="2310" width="15" style="3" bestFit="1" customWidth="1"/>
    <col min="2311" max="2311" width="9.21875" style="3"/>
    <col min="2312" max="2312" width="9.21875" style="3" bestFit="1" customWidth="1"/>
    <col min="2313" max="2562" width="9.21875" style="3"/>
    <col min="2563" max="2563" width="13.21875" style="3" bestFit="1" customWidth="1"/>
    <col min="2564" max="2564" width="18" style="3" bestFit="1" customWidth="1"/>
    <col min="2565" max="2565" width="11.21875" style="3" bestFit="1" customWidth="1"/>
    <col min="2566" max="2566" width="15" style="3" bestFit="1" customWidth="1"/>
    <col min="2567" max="2567" width="9.21875" style="3"/>
    <col min="2568" max="2568" width="9.21875" style="3" bestFit="1" customWidth="1"/>
    <col min="2569" max="2818" width="9.21875" style="3"/>
    <col min="2819" max="2819" width="13.21875" style="3" bestFit="1" customWidth="1"/>
    <col min="2820" max="2820" width="18" style="3" bestFit="1" customWidth="1"/>
    <col min="2821" max="2821" width="11.21875" style="3" bestFit="1" customWidth="1"/>
    <col min="2822" max="2822" width="15" style="3" bestFit="1" customWidth="1"/>
    <col min="2823" max="2823" width="9.21875" style="3"/>
    <col min="2824" max="2824" width="9.21875" style="3" bestFit="1" customWidth="1"/>
    <col min="2825" max="3074" width="9.21875" style="3"/>
    <col min="3075" max="3075" width="13.21875" style="3" bestFit="1" customWidth="1"/>
    <col min="3076" max="3076" width="18" style="3" bestFit="1" customWidth="1"/>
    <col min="3077" max="3077" width="11.21875" style="3" bestFit="1" customWidth="1"/>
    <col min="3078" max="3078" width="15" style="3" bestFit="1" customWidth="1"/>
    <col min="3079" max="3079" width="9.21875" style="3"/>
    <col min="3080" max="3080" width="9.21875" style="3" bestFit="1" customWidth="1"/>
    <col min="3081" max="3330" width="9.21875" style="3"/>
    <col min="3331" max="3331" width="13.21875" style="3" bestFit="1" customWidth="1"/>
    <col min="3332" max="3332" width="18" style="3" bestFit="1" customWidth="1"/>
    <col min="3333" max="3333" width="11.21875" style="3" bestFit="1" customWidth="1"/>
    <col min="3334" max="3334" width="15" style="3" bestFit="1" customWidth="1"/>
    <col min="3335" max="3335" width="9.21875" style="3"/>
    <col min="3336" max="3336" width="9.21875" style="3" bestFit="1" customWidth="1"/>
    <col min="3337" max="3586" width="9.21875" style="3"/>
    <col min="3587" max="3587" width="13.21875" style="3" bestFit="1" customWidth="1"/>
    <col min="3588" max="3588" width="18" style="3" bestFit="1" customWidth="1"/>
    <col min="3589" max="3589" width="11.21875" style="3" bestFit="1" customWidth="1"/>
    <col min="3590" max="3590" width="15" style="3" bestFit="1" customWidth="1"/>
    <col min="3591" max="3591" width="9.21875" style="3"/>
    <col min="3592" max="3592" width="9.21875" style="3" bestFit="1" customWidth="1"/>
    <col min="3593" max="3842" width="9.21875" style="3"/>
    <col min="3843" max="3843" width="13.21875" style="3" bestFit="1" customWidth="1"/>
    <col min="3844" max="3844" width="18" style="3" bestFit="1" customWidth="1"/>
    <col min="3845" max="3845" width="11.21875" style="3" bestFit="1" customWidth="1"/>
    <col min="3846" max="3846" width="15" style="3" bestFit="1" customWidth="1"/>
    <col min="3847" max="3847" width="9.21875" style="3"/>
    <col min="3848" max="3848" width="9.21875" style="3" bestFit="1" customWidth="1"/>
    <col min="3849" max="4098" width="9.21875" style="3"/>
    <col min="4099" max="4099" width="13.21875" style="3" bestFit="1" customWidth="1"/>
    <col min="4100" max="4100" width="18" style="3" bestFit="1" customWidth="1"/>
    <col min="4101" max="4101" width="11.21875" style="3" bestFit="1" customWidth="1"/>
    <col min="4102" max="4102" width="15" style="3" bestFit="1" customWidth="1"/>
    <col min="4103" max="4103" width="9.21875" style="3"/>
    <col min="4104" max="4104" width="9.21875" style="3" bestFit="1" customWidth="1"/>
    <col min="4105" max="4354" width="9.21875" style="3"/>
    <col min="4355" max="4355" width="13.21875" style="3" bestFit="1" customWidth="1"/>
    <col min="4356" max="4356" width="18" style="3" bestFit="1" customWidth="1"/>
    <col min="4357" max="4357" width="11.21875" style="3" bestFit="1" customWidth="1"/>
    <col min="4358" max="4358" width="15" style="3" bestFit="1" customWidth="1"/>
    <col min="4359" max="4359" width="9.21875" style="3"/>
    <col min="4360" max="4360" width="9.21875" style="3" bestFit="1" customWidth="1"/>
    <col min="4361" max="4610" width="9.21875" style="3"/>
    <col min="4611" max="4611" width="13.21875" style="3" bestFit="1" customWidth="1"/>
    <col min="4612" max="4612" width="18" style="3" bestFit="1" customWidth="1"/>
    <col min="4613" max="4613" width="11.21875" style="3" bestFit="1" customWidth="1"/>
    <col min="4614" max="4614" width="15" style="3" bestFit="1" customWidth="1"/>
    <col min="4615" max="4615" width="9.21875" style="3"/>
    <col min="4616" max="4616" width="9.21875" style="3" bestFit="1" customWidth="1"/>
    <col min="4617" max="4866" width="9.21875" style="3"/>
    <col min="4867" max="4867" width="13.21875" style="3" bestFit="1" customWidth="1"/>
    <col min="4868" max="4868" width="18" style="3" bestFit="1" customWidth="1"/>
    <col min="4869" max="4869" width="11.21875" style="3" bestFit="1" customWidth="1"/>
    <col min="4870" max="4870" width="15" style="3" bestFit="1" customWidth="1"/>
    <col min="4871" max="4871" width="9.21875" style="3"/>
    <col min="4872" max="4872" width="9.21875" style="3" bestFit="1" customWidth="1"/>
    <col min="4873" max="5122" width="9.21875" style="3"/>
    <col min="5123" max="5123" width="13.21875" style="3" bestFit="1" customWidth="1"/>
    <col min="5124" max="5124" width="18" style="3" bestFit="1" customWidth="1"/>
    <col min="5125" max="5125" width="11.21875" style="3" bestFit="1" customWidth="1"/>
    <col min="5126" max="5126" width="15" style="3" bestFit="1" customWidth="1"/>
    <col min="5127" max="5127" width="9.21875" style="3"/>
    <col min="5128" max="5128" width="9.21875" style="3" bestFit="1" customWidth="1"/>
    <col min="5129" max="5378" width="9.21875" style="3"/>
    <col min="5379" max="5379" width="13.21875" style="3" bestFit="1" customWidth="1"/>
    <col min="5380" max="5380" width="18" style="3" bestFit="1" customWidth="1"/>
    <col min="5381" max="5381" width="11.21875" style="3" bestFit="1" customWidth="1"/>
    <col min="5382" max="5382" width="15" style="3" bestFit="1" customWidth="1"/>
    <col min="5383" max="5383" width="9.21875" style="3"/>
    <col min="5384" max="5384" width="9.21875" style="3" bestFit="1" customWidth="1"/>
    <col min="5385" max="5634" width="9.21875" style="3"/>
    <col min="5635" max="5635" width="13.21875" style="3" bestFit="1" customWidth="1"/>
    <col min="5636" max="5636" width="18" style="3" bestFit="1" customWidth="1"/>
    <col min="5637" max="5637" width="11.21875" style="3" bestFit="1" customWidth="1"/>
    <col min="5638" max="5638" width="15" style="3" bestFit="1" customWidth="1"/>
    <col min="5639" max="5639" width="9.21875" style="3"/>
    <col min="5640" max="5640" width="9.21875" style="3" bestFit="1" customWidth="1"/>
    <col min="5641" max="5890" width="9.21875" style="3"/>
    <col min="5891" max="5891" width="13.21875" style="3" bestFit="1" customWidth="1"/>
    <col min="5892" max="5892" width="18" style="3" bestFit="1" customWidth="1"/>
    <col min="5893" max="5893" width="11.21875" style="3" bestFit="1" customWidth="1"/>
    <col min="5894" max="5894" width="15" style="3" bestFit="1" customWidth="1"/>
    <col min="5895" max="5895" width="9.21875" style="3"/>
    <col min="5896" max="5896" width="9.21875" style="3" bestFit="1" customWidth="1"/>
    <col min="5897" max="6146" width="9.21875" style="3"/>
    <col min="6147" max="6147" width="13.21875" style="3" bestFit="1" customWidth="1"/>
    <col min="6148" max="6148" width="18" style="3" bestFit="1" customWidth="1"/>
    <col min="6149" max="6149" width="11.21875" style="3" bestFit="1" customWidth="1"/>
    <col min="6150" max="6150" width="15" style="3" bestFit="1" customWidth="1"/>
    <col min="6151" max="6151" width="9.21875" style="3"/>
    <col min="6152" max="6152" width="9.21875" style="3" bestFit="1" customWidth="1"/>
    <col min="6153" max="6402" width="9.21875" style="3"/>
    <col min="6403" max="6403" width="13.21875" style="3" bestFit="1" customWidth="1"/>
    <col min="6404" max="6404" width="18" style="3" bestFit="1" customWidth="1"/>
    <col min="6405" max="6405" width="11.21875" style="3" bestFit="1" customWidth="1"/>
    <col min="6406" max="6406" width="15" style="3" bestFit="1" customWidth="1"/>
    <col min="6407" max="6407" width="9.21875" style="3"/>
    <col min="6408" max="6408" width="9.21875" style="3" bestFit="1" customWidth="1"/>
    <col min="6409" max="6658" width="9.21875" style="3"/>
    <col min="6659" max="6659" width="13.21875" style="3" bestFit="1" customWidth="1"/>
    <col min="6660" max="6660" width="18" style="3" bestFit="1" customWidth="1"/>
    <col min="6661" max="6661" width="11.21875" style="3" bestFit="1" customWidth="1"/>
    <col min="6662" max="6662" width="15" style="3" bestFit="1" customWidth="1"/>
    <col min="6663" max="6663" width="9.21875" style="3"/>
    <col min="6664" max="6664" width="9.21875" style="3" bestFit="1" customWidth="1"/>
    <col min="6665" max="6914" width="9.21875" style="3"/>
    <col min="6915" max="6915" width="13.21875" style="3" bestFit="1" customWidth="1"/>
    <col min="6916" max="6916" width="18" style="3" bestFit="1" customWidth="1"/>
    <col min="6917" max="6917" width="11.21875" style="3" bestFit="1" customWidth="1"/>
    <col min="6918" max="6918" width="15" style="3" bestFit="1" customWidth="1"/>
    <col min="6919" max="6919" width="9.21875" style="3"/>
    <col min="6920" max="6920" width="9.21875" style="3" bestFit="1" customWidth="1"/>
    <col min="6921" max="7170" width="9.21875" style="3"/>
    <col min="7171" max="7171" width="13.21875" style="3" bestFit="1" customWidth="1"/>
    <col min="7172" max="7172" width="18" style="3" bestFit="1" customWidth="1"/>
    <col min="7173" max="7173" width="11.21875" style="3" bestFit="1" customWidth="1"/>
    <col min="7174" max="7174" width="15" style="3" bestFit="1" customWidth="1"/>
    <col min="7175" max="7175" width="9.21875" style="3"/>
    <col min="7176" max="7176" width="9.21875" style="3" bestFit="1" customWidth="1"/>
    <col min="7177" max="7426" width="9.21875" style="3"/>
    <col min="7427" max="7427" width="13.21875" style="3" bestFit="1" customWidth="1"/>
    <col min="7428" max="7428" width="18" style="3" bestFit="1" customWidth="1"/>
    <col min="7429" max="7429" width="11.21875" style="3" bestFit="1" customWidth="1"/>
    <col min="7430" max="7430" width="15" style="3" bestFit="1" customWidth="1"/>
    <col min="7431" max="7431" width="9.21875" style="3"/>
    <col min="7432" max="7432" width="9.21875" style="3" bestFit="1" customWidth="1"/>
    <col min="7433" max="7682" width="9.21875" style="3"/>
    <col min="7683" max="7683" width="13.21875" style="3" bestFit="1" customWidth="1"/>
    <col min="7684" max="7684" width="18" style="3" bestFit="1" customWidth="1"/>
    <col min="7685" max="7685" width="11.21875" style="3" bestFit="1" customWidth="1"/>
    <col min="7686" max="7686" width="15" style="3" bestFit="1" customWidth="1"/>
    <col min="7687" max="7687" width="9.21875" style="3"/>
    <col min="7688" max="7688" width="9.21875" style="3" bestFit="1" customWidth="1"/>
    <col min="7689" max="7938" width="9.21875" style="3"/>
    <col min="7939" max="7939" width="13.21875" style="3" bestFit="1" customWidth="1"/>
    <col min="7940" max="7940" width="18" style="3" bestFit="1" customWidth="1"/>
    <col min="7941" max="7941" width="11.21875" style="3" bestFit="1" customWidth="1"/>
    <col min="7942" max="7942" width="15" style="3" bestFit="1" customWidth="1"/>
    <col min="7943" max="7943" width="9.21875" style="3"/>
    <col min="7944" max="7944" width="9.21875" style="3" bestFit="1" customWidth="1"/>
    <col min="7945" max="8194" width="9.21875" style="3"/>
    <col min="8195" max="8195" width="13.21875" style="3" bestFit="1" customWidth="1"/>
    <col min="8196" max="8196" width="18" style="3" bestFit="1" customWidth="1"/>
    <col min="8197" max="8197" width="11.21875" style="3" bestFit="1" customWidth="1"/>
    <col min="8198" max="8198" width="15" style="3" bestFit="1" customWidth="1"/>
    <col min="8199" max="8199" width="9.21875" style="3"/>
    <col min="8200" max="8200" width="9.21875" style="3" bestFit="1" customWidth="1"/>
    <col min="8201" max="8450" width="9.21875" style="3"/>
    <col min="8451" max="8451" width="13.21875" style="3" bestFit="1" customWidth="1"/>
    <col min="8452" max="8452" width="18" style="3" bestFit="1" customWidth="1"/>
    <col min="8453" max="8453" width="11.21875" style="3" bestFit="1" customWidth="1"/>
    <col min="8454" max="8454" width="15" style="3" bestFit="1" customWidth="1"/>
    <col min="8455" max="8455" width="9.21875" style="3"/>
    <col min="8456" max="8456" width="9.21875" style="3" bestFit="1" customWidth="1"/>
    <col min="8457" max="8706" width="9.21875" style="3"/>
    <col min="8707" max="8707" width="13.21875" style="3" bestFit="1" customWidth="1"/>
    <col min="8708" max="8708" width="18" style="3" bestFit="1" customWidth="1"/>
    <col min="8709" max="8709" width="11.21875" style="3" bestFit="1" customWidth="1"/>
    <col min="8710" max="8710" width="15" style="3" bestFit="1" customWidth="1"/>
    <col min="8711" max="8711" width="9.21875" style="3"/>
    <col min="8712" max="8712" width="9.21875" style="3" bestFit="1" customWidth="1"/>
    <col min="8713" max="8962" width="9.21875" style="3"/>
    <col min="8963" max="8963" width="13.21875" style="3" bestFit="1" customWidth="1"/>
    <col min="8964" max="8964" width="18" style="3" bestFit="1" customWidth="1"/>
    <col min="8965" max="8965" width="11.21875" style="3" bestFit="1" customWidth="1"/>
    <col min="8966" max="8966" width="15" style="3" bestFit="1" customWidth="1"/>
    <col min="8967" max="8967" width="9.21875" style="3"/>
    <col min="8968" max="8968" width="9.21875" style="3" bestFit="1" customWidth="1"/>
    <col min="8969" max="9218" width="9.21875" style="3"/>
    <col min="9219" max="9219" width="13.21875" style="3" bestFit="1" customWidth="1"/>
    <col min="9220" max="9220" width="18" style="3" bestFit="1" customWidth="1"/>
    <col min="9221" max="9221" width="11.21875" style="3" bestFit="1" customWidth="1"/>
    <col min="9222" max="9222" width="15" style="3" bestFit="1" customWidth="1"/>
    <col min="9223" max="9223" width="9.21875" style="3"/>
    <col min="9224" max="9224" width="9.21875" style="3" bestFit="1" customWidth="1"/>
    <col min="9225" max="9474" width="9.21875" style="3"/>
    <col min="9475" max="9475" width="13.21875" style="3" bestFit="1" customWidth="1"/>
    <col min="9476" max="9476" width="18" style="3" bestFit="1" customWidth="1"/>
    <col min="9477" max="9477" width="11.21875" style="3" bestFit="1" customWidth="1"/>
    <col min="9478" max="9478" width="15" style="3" bestFit="1" customWidth="1"/>
    <col min="9479" max="9479" width="9.21875" style="3"/>
    <col min="9480" max="9480" width="9.21875" style="3" bestFit="1" customWidth="1"/>
    <col min="9481" max="9730" width="9.21875" style="3"/>
    <col min="9731" max="9731" width="13.21875" style="3" bestFit="1" customWidth="1"/>
    <col min="9732" max="9732" width="18" style="3" bestFit="1" customWidth="1"/>
    <col min="9733" max="9733" width="11.21875" style="3" bestFit="1" customWidth="1"/>
    <col min="9734" max="9734" width="15" style="3" bestFit="1" customWidth="1"/>
    <col min="9735" max="9735" width="9.21875" style="3"/>
    <col min="9736" max="9736" width="9.21875" style="3" bestFit="1" customWidth="1"/>
    <col min="9737" max="9986" width="9.21875" style="3"/>
    <col min="9987" max="9987" width="13.21875" style="3" bestFit="1" customWidth="1"/>
    <col min="9988" max="9988" width="18" style="3" bestFit="1" customWidth="1"/>
    <col min="9989" max="9989" width="11.21875" style="3" bestFit="1" customWidth="1"/>
    <col min="9990" max="9990" width="15" style="3" bestFit="1" customWidth="1"/>
    <col min="9991" max="9991" width="9.21875" style="3"/>
    <col min="9992" max="9992" width="9.21875" style="3" bestFit="1" customWidth="1"/>
    <col min="9993" max="10242" width="9.21875" style="3"/>
    <col min="10243" max="10243" width="13.21875" style="3" bestFit="1" customWidth="1"/>
    <col min="10244" max="10244" width="18" style="3" bestFit="1" customWidth="1"/>
    <col min="10245" max="10245" width="11.21875" style="3" bestFit="1" customWidth="1"/>
    <col min="10246" max="10246" width="15" style="3" bestFit="1" customWidth="1"/>
    <col min="10247" max="10247" width="9.21875" style="3"/>
    <col min="10248" max="10248" width="9.21875" style="3" bestFit="1" customWidth="1"/>
    <col min="10249" max="10498" width="9.21875" style="3"/>
    <col min="10499" max="10499" width="13.21875" style="3" bestFit="1" customWidth="1"/>
    <col min="10500" max="10500" width="18" style="3" bestFit="1" customWidth="1"/>
    <col min="10501" max="10501" width="11.21875" style="3" bestFit="1" customWidth="1"/>
    <col min="10502" max="10502" width="15" style="3" bestFit="1" customWidth="1"/>
    <col min="10503" max="10503" width="9.21875" style="3"/>
    <col min="10504" max="10504" width="9.21875" style="3" bestFit="1" customWidth="1"/>
    <col min="10505" max="10754" width="9.21875" style="3"/>
    <col min="10755" max="10755" width="13.21875" style="3" bestFit="1" customWidth="1"/>
    <col min="10756" max="10756" width="18" style="3" bestFit="1" customWidth="1"/>
    <col min="10757" max="10757" width="11.21875" style="3" bestFit="1" customWidth="1"/>
    <col min="10758" max="10758" width="15" style="3" bestFit="1" customWidth="1"/>
    <col min="10759" max="10759" width="9.21875" style="3"/>
    <col min="10760" max="10760" width="9.21875" style="3" bestFit="1" customWidth="1"/>
    <col min="10761" max="11010" width="9.21875" style="3"/>
    <col min="11011" max="11011" width="13.21875" style="3" bestFit="1" customWidth="1"/>
    <col min="11012" max="11012" width="18" style="3" bestFit="1" customWidth="1"/>
    <col min="11013" max="11013" width="11.21875" style="3" bestFit="1" customWidth="1"/>
    <col min="11014" max="11014" width="15" style="3" bestFit="1" customWidth="1"/>
    <col min="11015" max="11015" width="9.21875" style="3"/>
    <col min="11016" max="11016" width="9.21875" style="3" bestFit="1" customWidth="1"/>
    <col min="11017" max="11266" width="9.21875" style="3"/>
    <col min="11267" max="11267" width="13.21875" style="3" bestFit="1" customWidth="1"/>
    <col min="11268" max="11268" width="18" style="3" bestFit="1" customWidth="1"/>
    <col min="11269" max="11269" width="11.21875" style="3" bestFit="1" customWidth="1"/>
    <col min="11270" max="11270" width="15" style="3" bestFit="1" customWidth="1"/>
    <col min="11271" max="11271" width="9.21875" style="3"/>
    <col min="11272" max="11272" width="9.21875" style="3" bestFit="1" customWidth="1"/>
    <col min="11273" max="11522" width="9.21875" style="3"/>
    <col min="11523" max="11523" width="13.21875" style="3" bestFit="1" customWidth="1"/>
    <col min="11524" max="11524" width="18" style="3" bestFit="1" customWidth="1"/>
    <col min="11525" max="11525" width="11.21875" style="3" bestFit="1" customWidth="1"/>
    <col min="11526" max="11526" width="15" style="3" bestFit="1" customWidth="1"/>
    <col min="11527" max="11527" width="9.21875" style="3"/>
    <col min="11528" max="11528" width="9.21875" style="3" bestFit="1" customWidth="1"/>
    <col min="11529" max="11778" width="9.21875" style="3"/>
    <col min="11779" max="11779" width="13.21875" style="3" bestFit="1" customWidth="1"/>
    <col min="11780" max="11780" width="18" style="3" bestFit="1" customWidth="1"/>
    <col min="11781" max="11781" width="11.21875" style="3" bestFit="1" customWidth="1"/>
    <col min="11782" max="11782" width="15" style="3" bestFit="1" customWidth="1"/>
    <col min="11783" max="11783" width="9.21875" style="3"/>
    <col min="11784" max="11784" width="9.21875" style="3" bestFit="1" customWidth="1"/>
    <col min="11785" max="12034" width="9.21875" style="3"/>
    <col min="12035" max="12035" width="13.21875" style="3" bestFit="1" customWidth="1"/>
    <col min="12036" max="12036" width="18" style="3" bestFit="1" customWidth="1"/>
    <col min="12037" max="12037" width="11.21875" style="3" bestFit="1" customWidth="1"/>
    <col min="12038" max="12038" width="15" style="3" bestFit="1" customWidth="1"/>
    <col min="12039" max="12039" width="9.21875" style="3"/>
    <col min="12040" max="12040" width="9.21875" style="3" bestFit="1" customWidth="1"/>
    <col min="12041" max="12290" width="9.21875" style="3"/>
    <col min="12291" max="12291" width="13.21875" style="3" bestFit="1" customWidth="1"/>
    <col min="12292" max="12292" width="18" style="3" bestFit="1" customWidth="1"/>
    <col min="12293" max="12293" width="11.21875" style="3" bestFit="1" customWidth="1"/>
    <col min="12294" max="12294" width="15" style="3" bestFit="1" customWidth="1"/>
    <col min="12295" max="12295" width="9.21875" style="3"/>
    <col min="12296" max="12296" width="9.21875" style="3" bestFit="1" customWidth="1"/>
    <col min="12297" max="12546" width="9.21875" style="3"/>
    <col min="12547" max="12547" width="13.21875" style="3" bestFit="1" customWidth="1"/>
    <col min="12548" max="12548" width="18" style="3" bestFit="1" customWidth="1"/>
    <col min="12549" max="12549" width="11.21875" style="3" bestFit="1" customWidth="1"/>
    <col min="12550" max="12550" width="15" style="3" bestFit="1" customWidth="1"/>
    <col min="12551" max="12551" width="9.21875" style="3"/>
    <col min="12552" max="12552" width="9.21875" style="3" bestFit="1" customWidth="1"/>
    <col min="12553" max="12802" width="9.21875" style="3"/>
    <col min="12803" max="12803" width="13.21875" style="3" bestFit="1" customWidth="1"/>
    <col min="12804" max="12804" width="18" style="3" bestFit="1" customWidth="1"/>
    <col min="12805" max="12805" width="11.21875" style="3" bestFit="1" customWidth="1"/>
    <col min="12806" max="12806" width="15" style="3" bestFit="1" customWidth="1"/>
    <col min="12807" max="12807" width="9.21875" style="3"/>
    <col min="12808" max="12808" width="9.21875" style="3" bestFit="1" customWidth="1"/>
    <col min="12809" max="13058" width="9.21875" style="3"/>
    <col min="13059" max="13059" width="13.21875" style="3" bestFit="1" customWidth="1"/>
    <col min="13060" max="13060" width="18" style="3" bestFit="1" customWidth="1"/>
    <col min="13061" max="13061" width="11.21875" style="3" bestFit="1" customWidth="1"/>
    <col min="13062" max="13062" width="15" style="3" bestFit="1" customWidth="1"/>
    <col min="13063" max="13063" width="9.21875" style="3"/>
    <col min="13064" max="13064" width="9.21875" style="3" bestFit="1" customWidth="1"/>
    <col min="13065" max="13314" width="9.21875" style="3"/>
    <col min="13315" max="13315" width="13.21875" style="3" bestFit="1" customWidth="1"/>
    <col min="13316" max="13316" width="18" style="3" bestFit="1" customWidth="1"/>
    <col min="13317" max="13317" width="11.21875" style="3" bestFit="1" customWidth="1"/>
    <col min="13318" max="13318" width="15" style="3" bestFit="1" customWidth="1"/>
    <col min="13319" max="13319" width="9.21875" style="3"/>
    <col min="13320" max="13320" width="9.21875" style="3" bestFit="1" customWidth="1"/>
    <col min="13321" max="13570" width="9.21875" style="3"/>
    <col min="13571" max="13571" width="13.21875" style="3" bestFit="1" customWidth="1"/>
    <col min="13572" max="13572" width="18" style="3" bestFit="1" customWidth="1"/>
    <col min="13573" max="13573" width="11.21875" style="3" bestFit="1" customWidth="1"/>
    <col min="13574" max="13574" width="15" style="3" bestFit="1" customWidth="1"/>
    <col min="13575" max="13575" width="9.21875" style="3"/>
    <col min="13576" max="13576" width="9.21875" style="3" bestFit="1" customWidth="1"/>
    <col min="13577" max="13826" width="9.21875" style="3"/>
    <col min="13827" max="13827" width="13.21875" style="3" bestFit="1" customWidth="1"/>
    <col min="13828" max="13828" width="18" style="3" bestFit="1" customWidth="1"/>
    <col min="13829" max="13829" width="11.21875" style="3" bestFit="1" customWidth="1"/>
    <col min="13830" max="13830" width="15" style="3" bestFit="1" customWidth="1"/>
    <col min="13831" max="13831" width="9.21875" style="3"/>
    <col min="13832" max="13832" width="9.21875" style="3" bestFit="1" customWidth="1"/>
    <col min="13833" max="14082" width="9.21875" style="3"/>
    <col min="14083" max="14083" width="13.21875" style="3" bestFit="1" customWidth="1"/>
    <col min="14084" max="14084" width="18" style="3" bestFit="1" customWidth="1"/>
    <col min="14085" max="14085" width="11.21875" style="3" bestFit="1" customWidth="1"/>
    <col min="14086" max="14086" width="15" style="3" bestFit="1" customWidth="1"/>
    <col min="14087" max="14087" width="9.21875" style="3"/>
    <col min="14088" max="14088" width="9.21875" style="3" bestFit="1" customWidth="1"/>
    <col min="14089" max="14338" width="9.21875" style="3"/>
    <col min="14339" max="14339" width="13.21875" style="3" bestFit="1" customWidth="1"/>
    <col min="14340" max="14340" width="18" style="3" bestFit="1" customWidth="1"/>
    <col min="14341" max="14341" width="11.21875" style="3" bestFit="1" customWidth="1"/>
    <col min="14342" max="14342" width="15" style="3" bestFit="1" customWidth="1"/>
    <col min="14343" max="14343" width="9.21875" style="3"/>
    <col min="14344" max="14344" width="9.21875" style="3" bestFit="1" customWidth="1"/>
    <col min="14345" max="14594" width="9.21875" style="3"/>
    <col min="14595" max="14595" width="13.21875" style="3" bestFit="1" customWidth="1"/>
    <col min="14596" max="14596" width="18" style="3" bestFit="1" customWidth="1"/>
    <col min="14597" max="14597" width="11.21875" style="3" bestFit="1" customWidth="1"/>
    <col min="14598" max="14598" width="15" style="3" bestFit="1" customWidth="1"/>
    <col min="14599" max="14599" width="9.21875" style="3"/>
    <col min="14600" max="14600" width="9.21875" style="3" bestFit="1" customWidth="1"/>
    <col min="14601" max="14850" width="9.21875" style="3"/>
    <col min="14851" max="14851" width="13.21875" style="3" bestFit="1" customWidth="1"/>
    <col min="14852" max="14852" width="18" style="3" bestFit="1" customWidth="1"/>
    <col min="14853" max="14853" width="11.21875" style="3" bestFit="1" customWidth="1"/>
    <col min="14854" max="14854" width="15" style="3" bestFit="1" customWidth="1"/>
    <col min="14855" max="14855" width="9.21875" style="3"/>
    <col min="14856" max="14856" width="9.21875" style="3" bestFit="1" customWidth="1"/>
    <col min="14857" max="15106" width="9.21875" style="3"/>
    <col min="15107" max="15107" width="13.21875" style="3" bestFit="1" customWidth="1"/>
    <col min="15108" max="15108" width="18" style="3" bestFit="1" customWidth="1"/>
    <col min="15109" max="15109" width="11.21875" style="3" bestFit="1" customWidth="1"/>
    <col min="15110" max="15110" width="15" style="3" bestFit="1" customWidth="1"/>
    <col min="15111" max="15111" width="9.21875" style="3"/>
    <col min="15112" max="15112" width="9.21875" style="3" bestFit="1" customWidth="1"/>
    <col min="15113" max="15362" width="9.21875" style="3"/>
    <col min="15363" max="15363" width="13.21875" style="3" bestFit="1" customWidth="1"/>
    <col min="15364" max="15364" width="18" style="3" bestFit="1" customWidth="1"/>
    <col min="15365" max="15365" width="11.21875" style="3" bestFit="1" customWidth="1"/>
    <col min="15366" max="15366" width="15" style="3" bestFit="1" customWidth="1"/>
    <col min="15367" max="15367" width="9.21875" style="3"/>
    <col min="15368" max="15368" width="9.21875" style="3" bestFit="1" customWidth="1"/>
    <col min="15369" max="15618" width="9.21875" style="3"/>
    <col min="15619" max="15619" width="13.21875" style="3" bestFit="1" customWidth="1"/>
    <col min="15620" max="15620" width="18" style="3" bestFit="1" customWidth="1"/>
    <col min="15621" max="15621" width="11.21875" style="3" bestFit="1" customWidth="1"/>
    <col min="15622" max="15622" width="15" style="3" bestFit="1" customWidth="1"/>
    <col min="15623" max="15623" width="9.21875" style="3"/>
    <col min="15624" max="15624" width="9.21875" style="3" bestFit="1" customWidth="1"/>
    <col min="15625" max="15874" width="9.21875" style="3"/>
    <col min="15875" max="15875" width="13.21875" style="3" bestFit="1" customWidth="1"/>
    <col min="15876" max="15876" width="18" style="3" bestFit="1" customWidth="1"/>
    <col min="15877" max="15877" width="11.21875" style="3" bestFit="1" customWidth="1"/>
    <col min="15878" max="15878" width="15" style="3" bestFit="1" customWidth="1"/>
    <col min="15879" max="15879" width="9.21875" style="3"/>
    <col min="15880" max="15880" width="9.21875" style="3" bestFit="1" customWidth="1"/>
    <col min="15881" max="16130" width="9.21875" style="3"/>
    <col min="16131" max="16131" width="13.21875" style="3" bestFit="1" customWidth="1"/>
    <col min="16132" max="16132" width="18" style="3" bestFit="1" customWidth="1"/>
    <col min="16133" max="16133" width="11.21875" style="3" bestFit="1" customWidth="1"/>
    <col min="16134" max="16134" width="15" style="3" bestFit="1" customWidth="1"/>
    <col min="16135" max="16135" width="9.21875" style="3"/>
    <col min="16136" max="16136" width="9.21875" style="3" bestFit="1" customWidth="1"/>
    <col min="16137" max="16384" width="9.21875" style="3"/>
  </cols>
  <sheetData>
    <row r="2" spans="1:28" x14ac:dyDescent="0.3">
      <c r="A2" s="41" t="s">
        <v>30</v>
      </c>
      <c r="B2" s="41"/>
      <c r="C2" s="41"/>
      <c r="D2" s="41"/>
      <c r="E2" s="41"/>
      <c r="F2" s="42"/>
      <c r="G2" s="43"/>
    </row>
    <row r="3" spans="1:28" x14ac:dyDescent="0.3">
      <c r="A3" s="30"/>
      <c r="B3" s="30"/>
      <c r="C3" s="27" t="s">
        <v>33</v>
      </c>
      <c r="D3" s="31">
        <f>+IRR(C8:C18)</f>
        <v>2.9061845514553633</v>
      </c>
      <c r="E3" s="30"/>
      <c r="F3" s="32"/>
      <c r="G3" s="30"/>
    </row>
    <row r="4" spans="1:28" x14ac:dyDescent="0.3">
      <c r="A4" s="27" t="s">
        <v>31</v>
      </c>
      <c r="B4" s="30"/>
      <c r="C4" s="33" t="s">
        <v>60</v>
      </c>
      <c r="D4" s="29" t="s">
        <v>59</v>
      </c>
      <c r="E4" s="34"/>
      <c r="F4" s="35"/>
      <c r="G4" s="33" t="s">
        <v>58</v>
      </c>
    </row>
    <row r="5" spans="1:28" x14ac:dyDescent="0.3">
      <c r="A5" s="36">
        <v>0.11</v>
      </c>
      <c r="B5" s="27" t="s">
        <v>32</v>
      </c>
      <c r="C5" s="27" t="s">
        <v>32</v>
      </c>
      <c r="D5" s="27" t="s">
        <v>32</v>
      </c>
      <c r="E5" s="37"/>
      <c r="F5" s="28"/>
      <c r="G5" s="27" t="s">
        <v>32</v>
      </c>
      <c r="H5" s="23"/>
    </row>
    <row r="6" spans="1:28" x14ac:dyDescent="0.3">
      <c r="A6" s="38"/>
      <c r="B6" s="28">
        <f>+NPV(A5,B8:B18)</f>
        <v>2385995959.5650716</v>
      </c>
      <c r="C6" s="28">
        <f>+NPV(A5,C8:C18)</f>
        <v>18979729941.292088</v>
      </c>
      <c r="D6" s="28">
        <f>+NPV(A5,D8:D18)</f>
        <v>-1384190154.9924321</v>
      </c>
      <c r="E6" s="38"/>
      <c r="F6" s="35"/>
      <c r="G6" s="28">
        <f>+NPV(A5,G8:G29)</f>
        <v>-1326997533.7627692</v>
      </c>
    </row>
    <row r="7" spans="1:28" s="2" customFormat="1" x14ac:dyDescent="0.3">
      <c r="A7" s="27" t="s">
        <v>6</v>
      </c>
      <c r="B7" s="27" t="s">
        <v>44</v>
      </c>
      <c r="C7" s="27" t="s">
        <v>45</v>
      </c>
      <c r="D7" s="27" t="s">
        <v>56</v>
      </c>
      <c r="E7" s="27" t="s">
        <v>34</v>
      </c>
      <c r="F7" s="28" t="s">
        <v>35</v>
      </c>
      <c r="G7" s="27" t="s">
        <v>44</v>
      </c>
    </row>
    <row r="8" spans="1:28" x14ac:dyDescent="0.3">
      <c r="A8" s="38">
        <v>0</v>
      </c>
      <c r="B8" s="39">
        <f>+'Incremental CFs'!C28</f>
        <v>-1150000000</v>
      </c>
      <c r="C8" s="39">
        <f>+With!C33</f>
        <v>-1150000000</v>
      </c>
      <c r="D8" s="39">
        <f>+'Incremental CFs (2)'!C37</f>
        <v>-1150000000</v>
      </c>
      <c r="E8" s="40">
        <f>1/(1+A$5)^A8</f>
        <v>1</v>
      </c>
      <c r="F8" s="39">
        <f>+B8*E8</f>
        <v>-1150000000</v>
      </c>
      <c r="G8" s="32">
        <f>+'Incremental CFs (3)'!C37</f>
        <v>-1150000000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x14ac:dyDescent="0.3">
      <c r="A9" s="38">
        <f>+A8+1</f>
        <v>1</v>
      </c>
      <c r="B9" s="39">
        <f>+'Incremental CFs'!D28</f>
        <v>86400000</v>
      </c>
      <c r="C9" s="39">
        <f>+With!D33</f>
        <v>3281400000</v>
      </c>
      <c r="D9" s="39">
        <f>+'Incremental CFs (2)'!D37</f>
        <v>73440000</v>
      </c>
      <c r="E9" s="40">
        <f t="shared" ref="E9:E18" si="0">1/(1+A$5)^A9</f>
        <v>0.9009009009009008</v>
      </c>
      <c r="F9" s="39">
        <f t="shared" ref="F9:F18" si="1">+B9*E9</f>
        <v>77837837.83783783</v>
      </c>
      <c r="G9" s="32">
        <v>71301600</v>
      </c>
    </row>
    <row r="10" spans="1:28" x14ac:dyDescent="0.3">
      <c r="A10" s="38">
        <f t="shared" ref="A10:A28" si="2">+A9+1</f>
        <v>2</v>
      </c>
      <c r="B10" s="39">
        <f>+'Incremental CFs'!E28</f>
        <v>25287480.000000052</v>
      </c>
      <c r="C10" s="39">
        <f>+With!E33</f>
        <v>3495192479.999999</v>
      </c>
      <c r="D10" s="39">
        <f>+'Incremental CFs (2)'!E37</f>
        <v>9640728.0000000596</v>
      </c>
      <c r="E10" s="40">
        <f t="shared" si="0"/>
        <v>0.8116224332440547</v>
      </c>
      <c r="F10" s="39">
        <f t="shared" si="1"/>
        <v>20523886.048210412</v>
      </c>
      <c r="G10" s="32">
        <v>9619128.0000000596</v>
      </c>
    </row>
    <row r="11" spans="1:28" x14ac:dyDescent="0.3">
      <c r="A11" s="38">
        <f t="shared" si="2"/>
        <v>3</v>
      </c>
      <c r="B11" s="39">
        <f>+'Incremental CFs'!F28</f>
        <v>20402978.400000054</v>
      </c>
      <c r="C11" s="39">
        <f>+With!F33</f>
        <v>3646086165.9000001</v>
      </c>
      <c r="D11" s="39">
        <f>+'Incremental CFs (2)'!F37</f>
        <v>3481158.2400000598</v>
      </c>
      <c r="E11" s="40">
        <f t="shared" si="0"/>
        <v>0.73119138130095018</v>
      </c>
      <c r="F11" s="39">
        <f>+B11*E11</f>
        <v>14918481.95894949</v>
      </c>
      <c r="G11" s="32">
        <v>3481158.2400000598</v>
      </c>
    </row>
    <row r="12" spans="1:28" x14ac:dyDescent="0.3">
      <c r="A12" s="38">
        <f t="shared" si="2"/>
        <v>4</v>
      </c>
      <c r="B12" s="39">
        <f>+'Incremental CFs'!G28</f>
        <v>5581019483.2800007</v>
      </c>
      <c r="C12" s="39">
        <f>+With!G33</f>
        <v>3220475177.8282499</v>
      </c>
      <c r="D12" s="39">
        <f>+'Incremental CFs (2)'!G37</f>
        <v>-638388841.69279993</v>
      </c>
      <c r="E12" s="40">
        <f t="shared" si="0"/>
        <v>0.65873097414500015</v>
      </c>
      <c r="F12" s="39">
        <f t="shared" si="1"/>
        <v>3676390400.9432602</v>
      </c>
      <c r="G12" s="32">
        <v>-638388841.69279993</v>
      </c>
    </row>
    <row r="13" spans="1:28" x14ac:dyDescent="0.3">
      <c r="A13" s="38">
        <f t="shared" si="2"/>
        <v>5</v>
      </c>
      <c r="B13" s="39">
        <f>+'Incremental CFs'!H28</f>
        <v>6759581.8557600435</v>
      </c>
      <c r="C13" s="39">
        <f>+With!H33</f>
        <v>3932275322.8119307</v>
      </c>
      <c r="D13" s="39">
        <f>+'Incremental CFs (2)'!H37</f>
        <v>-12978029.178863956</v>
      </c>
      <c r="E13" s="40">
        <f t="shared" si="0"/>
        <v>0.5934513280585586</v>
      </c>
      <c r="F13" s="39">
        <f t="shared" si="1"/>
        <v>4011482.829421334</v>
      </c>
      <c r="G13" s="32">
        <v>-12978029.178863956</v>
      </c>
    </row>
    <row r="14" spans="1:28" x14ac:dyDescent="0.3">
      <c r="A14" s="38">
        <f t="shared" si="2"/>
        <v>6</v>
      </c>
      <c r="B14" s="39">
        <f>+'Incremental CFs'!I28</f>
        <v>-2459374.864279157</v>
      </c>
      <c r="C14" s="39">
        <f>+With!I33</f>
        <v>4060133782.450973</v>
      </c>
      <c r="D14" s="39">
        <f>+'Incremental CFs (2)'!I37</f>
        <v>-24049258.655481875</v>
      </c>
      <c r="E14" s="40">
        <f t="shared" si="0"/>
        <v>0.53464083608879154</v>
      </c>
      <c r="F14" s="39">
        <f t="shared" si="1"/>
        <v>-1314882.2336939666</v>
      </c>
      <c r="G14" s="32">
        <v>-24049258.655481875</v>
      </c>
    </row>
    <row r="15" spans="1:28" x14ac:dyDescent="0.3">
      <c r="A15" s="38">
        <f t="shared" si="2"/>
        <v>7</v>
      </c>
      <c r="B15" s="39">
        <f>+'Incremental CFs'!J28</f>
        <v>-13644766.584976476</v>
      </c>
      <c r="C15" s="39">
        <f>+With!J33</f>
        <v>4171233013.400835</v>
      </c>
      <c r="D15" s="39">
        <f>+'Incremental CFs (2)'!J37</f>
        <v>-38182801.271870404</v>
      </c>
      <c r="E15" s="40">
        <f t="shared" si="0"/>
        <v>0.48165841089080319</v>
      </c>
      <c r="F15" s="39">
        <f t="shared" si="1"/>
        <v>-6572116.5902957004</v>
      </c>
      <c r="G15" s="32">
        <v>-38182801.271870404</v>
      </c>
    </row>
    <row r="16" spans="1:28" x14ac:dyDescent="0.3">
      <c r="A16" s="38">
        <f t="shared" si="2"/>
        <v>8</v>
      </c>
      <c r="B16" s="39">
        <f>+'Incremental CFs'!K28</f>
        <v>-27127505.143026154</v>
      </c>
      <c r="C16" s="39">
        <f>+With!K33</f>
        <v>4259052518.1173396</v>
      </c>
      <c r="D16" s="39">
        <f>+'Incremental CFs (2)'!K37</f>
        <v>-55005377.852788441</v>
      </c>
      <c r="E16" s="40">
        <f t="shared" si="0"/>
        <v>0.43392649629802077</v>
      </c>
      <c r="F16" s="39">
        <f t="shared" si="1"/>
        <v>-11771343.260019878</v>
      </c>
      <c r="G16" s="32">
        <v>-55005377.852788441</v>
      </c>
    </row>
    <row r="17" spans="1:7" x14ac:dyDescent="0.3">
      <c r="A17" s="38">
        <f t="shared" si="2"/>
        <v>9</v>
      </c>
      <c r="B17" s="39">
        <f>+'Incremental CFs'!L28</f>
        <v>-43290323.702369966</v>
      </c>
      <c r="C17" s="39">
        <f>+With!L33</f>
        <v>4315479607.7060823</v>
      </c>
      <c r="D17" s="39">
        <f>+'Incremental CFs (2)'!L37</f>
        <v>-74953161.578680098</v>
      </c>
      <c r="E17" s="40">
        <f t="shared" si="0"/>
        <v>0.39092477143965831</v>
      </c>
      <c r="F17" s="39">
        <f>+B17*E17</f>
        <v>-16923259.898897801</v>
      </c>
      <c r="G17" s="32">
        <v>-74953161.578680098</v>
      </c>
    </row>
    <row r="18" spans="1:7" x14ac:dyDescent="0.3">
      <c r="A18" s="38">
        <f t="shared" si="2"/>
        <v>10</v>
      </c>
      <c r="B18" s="39">
        <f>+'Incremental CFs'!M28</f>
        <v>117424332.91315237</v>
      </c>
      <c r="C18" s="39">
        <f>+With!M33</f>
        <v>4510458423.287406</v>
      </c>
      <c r="D18" s="39">
        <f>+'Incremental CFs (2)'!M37</f>
        <v>141014719.78458691</v>
      </c>
      <c r="E18" s="40">
        <f t="shared" si="0"/>
        <v>0.3521844787744669</v>
      </c>
      <c r="F18" s="39">
        <f t="shared" si="1"/>
        <v>41355027.482458048</v>
      </c>
      <c r="G18" s="32">
        <v>-98529545.047516808</v>
      </c>
    </row>
    <row r="19" spans="1:7" x14ac:dyDescent="0.3">
      <c r="A19" s="38">
        <f t="shared" si="2"/>
        <v>11</v>
      </c>
      <c r="B19" s="39"/>
      <c r="C19" s="39"/>
      <c r="D19" s="39"/>
      <c r="E19" s="40"/>
      <c r="F19" s="39"/>
      <c r="G19" s="32">
        <v>120640771.94251159</v>
      </c>
    </row>
    <row r="20" spans="1:7" x14ac:dyDescent="0.3">
      <c r="A20" s="38">
        <f t="shared" si="2"/>
        <v>12</v>
      </c>
      <c r="B20" s="39"/>
      <c r="C20" s="39"/>
      <c r="D20" s="39"/>
      <c r="E20" s="40"/>
      <c r="F20" s="39"/>
      <c r="G20" s="32">
        <v>126610252.01452598</v>
      </c>
    </row>
    <row r="21" spans="1:7" x14ac:dyDescent="0.3">
      <c r="A21" s="38">
        <f t="shared" si="2"/>
        <v>13</v>
      </c>
      <c r="B21" s="39"/>
      <c r="C21" s="39"/>
      <c r="D21" s="39"/>
      <c r="E21" s="40"/>
      <c r="F21" s="39"/>
      <c r="G21" s="32">
        <v>132816112.42181084</v>
      </c>
    </row>
    <row r="22" spans="1:7" x14ac:dyDescent="0.3">
      <c r="A22" s="38">
        <f t="shared" si="2"/>
        <v>14</v>
      </c>
      <c r="B22" s="39"/>
      <c r="C22" s="39"/>
      <c r="D22" s="39"/>
      <c r="E22" s="40"/>
      <c r="F22" s="39"/>
      <c r="G22" s="32">
        <v>-602886096.26033998</v>
      </c>
    </row>
    <row r="23" spans="1:7" x14ac:dyDescent="0.3">
      <c r="A23" s="38">
        <f t="shared" si="2"/>
        <v>15</v>
      </c>
      <c r="B23" s="39"/>
      <c r="C23" s="39"/>
      <c r="D23" s="39"/>
      <c r="E23" s="40"/>
      <c r="F23" s="39"/>
      <c r="G23" s="32">
        <v>145929356.46251759</v>
      </c>
    </row>
    <row r="24" spans="1:7" x14ac:dyDescent="0.3">
      <c r="A24" s="38">
        <f t="shared" si="2"/>
        <v>16</v>
      </c>
      <c r="B24" s="39"/>
      <c r="C24" s="39"/>
      <c r="D24" s="39"/>
      <c r="E24" s="40"/>
      <c r="F24" s="39"/>
      <c r="G24" s="32">
        <v>152827510.04916513</v>
      </c>
    </row>
    <row r="25" spans="1:7" x14ac:dyDescent="0.3">
      <c r="A25" s="38">
        <f t="shared" si="2"/>
        <v>17</v>
      </c>
      <c r="B25" s="39"/>
      <c r="C25" s="39"/>
      <c r="D25" s="39"/>
      <c r="E25" s="40"/>
      <c r="F25" s="39"/>
      <c r="G25" s="32">
        <v>159942836.15870795</v>
      </c>
    </row>
    <row r="26" spans="1:7" x14ac:dyDescent="0.3">
      <c r="A26" s="38">
        <f t="shared" si="2"/>
        <v>18</v>
      </c>
      <c r="B26" s="39"/>
      <c r="C26" s="39"/>
      <c r="D26" s="39"/>
      <c r="E26" s="40"/>
      <c r="F26" s="39"/>
      <c r="G26" s="32">
        <v>167263528.80844405</v>
      </c>
    </row>
    <row r="27" spans="1:7" x14ac:dyDescent="0.3">
      <c r="A27" s="38">
        <f t="shared" si="2"/>
        <v>19</v>
      </c>
      <c r="B27" s="39"/>
      <c r="C27" s="39"/>
      <c r="D27" s="39"/>
      <c r="E27" s="40"/>
      <c r="F27" s="39"/>
      <c r="G27" s="32">
        <v>174774048.20435786</v>
      </c>
    </row>
    <row r="28" spans="1:7" x14ac:dyDescent="0.3">
      <c r="A28" s="38">
        <f t="shared" si="2"/>
        <v>20</v>
      </c>
      <c r="B28" s="39"/>
      <c r="C28" s="39"/>
      <c r="D28" s="39"/>
      <c r="E28" s="40"/>
      <c r="F28" s="39"/>
      <c r="G28" s="32">
        <v>362454546.96231812</v>
      </c>
    </row>
    <row r="29" spans="1:7" x14ac:dyDescent="0.3">
      <c r="A29" s="4"/>
      <c r="B29" s="5"/>
      <c r="C29" s="5"/>
      <c r="D29" s="5"/>
      <c r="E29" s="6"/>
      <c r="F29" s="5"/>
    </row>
  </sheetData>
  <hyperlinks>
    <hyperlink ref="G4" location="'Incremental CFs (3)'!A1" display="'Incremental CFs (3)'!A1" xr:uid="{1C1785BA-2722-4EB9-ABA0-2CB0C00F13D4}"/>
    <hyperlink ref="D4" location="'Incremental CFs (2)'!A1" display="'Incremental CFs (2)'!A1" xr:uid="{B42EB6A3-B2F2-49B1-AA27-93AEDD31A642}"/>
    <hyperlink ref="C4" location="'Incremental CFs'!A1" display="'Incremental CFs'!A1" xr:uid="{2CEC743B-F5AC-4123-928E-F80BD851940F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6A0DB-9B15-4FD2-BDA1-70AD1EB1B23F}">
  <dimension ref="A1:N37"/>
  <sheetViews>
    <sheetView tabSelected="1" workbookViewId="0">
      <selection activeCell="J6" sqref="J6"/>
    </sheetView>
  </sheetViews>
  <sheetFormatPr defaultColWidth="8.77734375" defaultRowHeight="14.4" x14ac:dyDescent="0.3"/>
  <cols>
    <col min="1" max="1" width="5.88671875" style="8" bestFit="1" customWidth="1"/>
    <col min="2" max="2" width="17.77734375" style="8" bestFit="1" customWidth="1"/>
    <col min="3" max="3" width="18.21875" style="10" customWidth="1"/>
    <col min="4" max="4" width="16.33203125" style="10" customWidth="1"/>
    <col min="5" max="5" width="14.5546875" style="10" customWidth="1"/>
    <col min="6" max="6" width="14.109375" style="10" customWidth="1"/>
    <col min="7" max="7" width="16.6640625" style="10" customWidth="1"/>
    <col min="8" max="8" width="15.77734375" style="10" customWidth="1"/>
    <col min="9" max="9" width="16.33203125" style="10" customWidth="1"/>
    <col min="10" max="10" width="13.6640625" style="10" customWidth="1"/>
    <col min="11" max="11" width="14.33203125" style="10" customWidth="1"/>
    <col min="12" max="12" width="13" style="10" customWidth="1"/>
    <col min="13" max="13" width="14.33203125" style="10" customWidth="1"/>
    <col min="14" max="14" width="5.109375" style="10" bestFit="1" customWidth="1"/>
    <col min="15" max="16384" width="8.77734375" style="10"/>
  </cols>
  <sheetData>
    <row r="1" spans="1:14" s="8" customFormat="1" x14ac:dyDescent="0.3">
      <c r="A1" s="7" t="s">
        <v>26</v>
      </c>
      <c r="H1" s="9">
        <v>2019</v>
      </c>
      <c r="I1" s="9" t="s">
        <v>3</v>
      </c>
      <c r="K1" s="10">
        <v>1000000</v>
      </c>
    </row>
    <row r="2" spans="1:14" s="8" customFormat="1" x14ac:dyDescent="0.3">
      <c r="B2" s="72" t="s">
        <v>20</v>
      </c>
      <c r="C2" s="9" t="s">
        <v>0</v>
      </c>
      <c r="D2" s="9" t="s">
        <v>1</v>
      </c>
      <c r="E2" s="9" t="s">
        <v>2</v>
      </c>
      <c r="H2" s="9">
        <v>2022</v>
      </c>
      <c r="I2" s="9" t="s">
        <v>4</v>
      </c>
    </row>
    <row r="3" spans="1:14" s="8" customFormat="1" x14ac:dyDescent="0.3">
      <c r="B3" s="72" t="s">
        <v>41</v>
      </c>
      <c r="C3" s="9" t="s">
        <v>5</v>
      </c>
      <c r="D3" s="9"/>
      <c r="E3" s="9"/>
    </row>
    <row r="4" spans="1:14" s="11" customFormat="1" x14ac:dyDescent="0.3">
      <c r="H4" s="12">
        <v>2022</v>
      </c>
      <c r="I4" s="13">
        <v>3.0000000000000001E-3</v>
      </c>
      <c r="J4" s="12" t="s">
        <v>9</v>
      </c>
      <c r="K4" s="12" t="s">
        <v>10</v>
      </c>
    </row>
    <row r="5" spans="1:14" s="8" customFormat="1" x14ac:dyDescent="0.3">
      <c r="B5" s="72" t="s">
        <v>38</v>
      </c>
      <c r="C5" s="14">
        <v>1.4999999999999999E-2</v>
      </c>
      <c r="E5" s="72" t="s">
        <v>43</v>
      </c>
      <c r="F5" s="72"/>
      <c r="H5" s="9" t="s">
        <v>7</v>
      </c>
      <c r="I5" s="15">
        <f>45*K1</f>
        <v>45000000</v>
      </c>
      <c r="J5" s="16">
        <v>0.05</v>
      </c>
      <c r="K5" s="16">
        <v>0.05</v>
      </c>
    </row>
    <row r="6" spans="1:14" s="8" customFormat="1" x14ac:dyDescent="0.3">
      <c r="E6" s="16">
        <v>0.65</v>
      </c>
      <c r="F6" s="15">
        <f>+I6</f>
        <v>30000000</v>
      </c>
      <c r="H6" s="9" t="s">
        <v>8</v>
      </c>
      <c r="I6" s="15">
        <f>30*K1</f>
        <v>30000000</v>
      </c>
      <c r="J6" s="16">
        <v>0.08</v>
      </c>
      <c r="K6" s="16">
        <v>0.1</v>
      </c>
    </row>
    <row r="7" spans="1:14" s="8" customFormat="1" x14ac:dyDescent="0.3">
      <c r="E7" s="16">
        <v>1</v>
      </c>
      <c r="F7" s="17">
        <f>F6/65*100</f>
        <v>46153846.15384616</v>
      </c>
      <c r="G7" s="18"/>
    </row>
    <row r="8" spans="1:14" s="8" customFormat="1" x14ac:dyDescent="0.3">
      <c r="B8" s="11"/>
      <c r="C8" s="11"/>
      <c r="I8" s="18"/>
    </row>
    <row r="9" spans="1:14" s="8" customFormat="1" x14ac:dyDescent="0.3">
      <c r="A9" s="9"/>
      <c r="B9" s="12" t="s">
        <v>46</v>
      </c>
      <c r="C9" s="12"/>
      <c r="D9" s="9"/>
      <c r="E9" s="9"/>
      <c r="F9" s="9"/>
      <c r="G9" s="9"/>
      <c r="H9" s="9"/>
      <c r="I9" s="15"/>
      <c r="J9" s="9"/>
      <c r="K9" s="9"/>
      <c r="L9" s="9"/>
      <c r="M9" s="9"/>
      <c r="N9" s="9"/>
    </row>
    <row r="10" spans="1:14" s="11" customFormat="1" x14ac:dyDescent="0.3">
      <c r="A10" s="12"/>
      <c r="B10" s="44" t="s">
        <v>6</v>
      </c>
      <c r="C10" s="44" t="s">
        <v>28</v>
      </c>
      <c r="D10" s="44">
        <v>1</v>
      </c>
      <c r="E10" s="44">
        <v>2</v>
      </c>
      <c r="F10" s="44">
        <v>3</v>
      </c>
      <c r="G10" s="44">
        <v>4</v>
      </c>
      <c r="H10" s="44">
        <v>5</v>
      </c>
      <c r="I10" s="44">
        <v>6</v>
      </c>
      <c r="J10" s="44">
        <v>7</v>
      </c>
      <c r="K10" s="44">
        <v>8</v>
      </c>
      <c r="L10" s="44">
        <v>9</v>
      </c>
      <c r="M10" s="44">
        <v>10</v>
      </c>
      <c r="N10" s="44" t="s">
        <v>24</v>
      </c>
    </row>
    <row r="11" spans="1:14" s="21" customFormat="1" x14ac:dyDescent="0.3">
      <c r="A11" s="12" t="s">
        <v>19</v>
      </c>
      <c r="B11" s="62" t="s">
        <v>40</v>
      </c>
      <c r="C11" s="46"/>
      <c r="D11" s="17">
        <f>5*K1</f>
        <v>5000000</v>
      </c>
      <c r="E11" s="17">
        <f>D11*108%</f>
        <v>5400000</v>
      </c>
      <c r="F11" s="17">
        <f t="shared" ref="F11:M11" si="0">E11*108%</f>
        <v>5832000</v>
      </c>
      <c r="G11" s="17">
        <f t="shared" si="0"/>
        <v>6298560</v>
      </c>
      <c r="H11" s="17">
        <f t="shared" si="0"/>
        <v>6802444.8000000007</v>
      </c>
      <c r="I11" s="17">
        <f t="shared" si="0"/>
        <v>7346640.3840000015</v>
      </c>
      <c r="J11" s="17">
        <f t="shared" si="0"/>
        <v>7934371.6147200018</v>
      </c>
      <c r="K11" s="17">
        <f t="shared" si="0"/>
        <v>8569121.3438976035</v>
      </c>
      <c r="L11" s="17">
        <f t="shared" si="0"/>
        <v>9254651.0514094122</v>
      </c>
      <c r="M11" s="17">
        <f t="shared" si="0"/>
        <v>9995023.1355221663</v>
      </c>
      <c r="N11" s="47"/>
    </row>
    <row r="12" spans="1:14" s="22" customFormat="1" x14ac:dyDescent="0.3">
      <c r="A12" s="9"/>
      <c r="B12" s="63" t="s">
        <v>11</v>
      </c>
      <c r="C12" s="17">
        <f>150*K1</f>
        <v>150000000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x14ac:dyDescent="0.3">
      <c r="A13" s="9"/>
      <c r="B13" s="63" t="s">
        <v>42</v>
      </c>
      <c r="C13" s="17">
        <v>1000000000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x14ac:dyDescent="0.3">
      <c r="A14" s="9"/>
      <c r="B14" s="64" t="s">
        <v>16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4" x14ac:dyDescent="0.3">
      <c r="A15" s="9"/>
      <c r="B15" s="63" t="s">
        <v>36</v>
      </c>
      <c r="C15" s="17"/>
      <c r="D15" s="17">
        <f t="shared" ref="D15" si="1">D11*(48*60%)</f>
        <v>144000000</v>
      </c>
      <c r="E15" s="17">
        <f>E11*(48*60%)*101.5%</f>
        <v>157852799.99999994</v>
      </c>
      <c r="F15" s="17">
        <f t="shared" ref="F15:M15" si="2">F11*(48*60%)*101.5%</f>
        <v>170481023.99999994</v>
      </c>
      <c r="G15" s="17">
        <f t="shared" si="2"/>
        <v>184119505.91999996</v>
      </c>
      <c r="H15" s="17">
        <f t="shared" si="2"/>
        <v>198849066.39359999</v>
      </c>
      <c r="I15" s="17">
        <f t="shared" si="2"/>
        <v>214756991.70508799</v>
      </c>
      <c r="J15" s="17">
        <f t="shared" si="2"/>
        <v>231937551.04149505</v>
      </c>
      <c r="K15" s="17">
        <f t="shared" si="2"/>
        <v>250492555.12481469</v>
      </c>
      <c r="L15" s="17">
        <f t="shared" si="2"/>
        <v>270531959.53479987</v>
      </c>
      <c r="M15" s="17">
        <f t="shared" si="2"/>
        <v>292174516.29758388</v>
      </c>
      <c r="N15" s="17"/>
    </row>
    <row r="16" spans="1:14" x14ac:dyDescent="0.3">
      <c r="A16" s="9"/>
      <c r="B16" s="63" t="s">
        <v>25</v>
      </c>
      <c r="C16" s="17"/>
      <c r="D16" s="17"/>
      <c r="E16" s="17"/>
      <c r="F16" s="17"/>
      <c r="G16" s="17">
        <f>+'Incremental CFs (2)'!G16</f>
        <v>636000000</v>
      </c>
      <c r="H16" s="17"/>
      <c r="I16" s="17"/>
      <c r="J16" s="17"/>
      <c r="K16" s="17"/>
      <c r="L16" s="17"/>
      <c r="M16" s="17"/>
      <c r="N16" s="17"/>
    </row>
    <row r="17" spans="1:14" x14ac:dyDescent="0.3">
      <c r="A17" s="9"/>
      <c r="B17" s="63" t="s">
        <v>27</v>
      </c>
      <c r="C17" s="17"/>
      <c r="D17" s="17">
        <f>40*K1</f>
        <v>40000000</v>
      </c>
      <c r="E17" s="17">
        <f>D17*110%</f>
        <v>44000000</v>
      </c>
      <c r="F17" s="17">
        <f t="shared" ref="F17:M17" si="3">E17*110%</f>
        <v>48400000.000000007</v>
      </c>
      <c r="G17" s="17">
        <f t="shared" si="3"/>
        <v>53240000.000000015</v>
      </c>
      <c r="H17" s="17">
        <f t="shared" si="3"/>
        <v>58564000.000000022</v>
      </c>
      <c r="I17" s="17">
        <f t="shared" si="3"/>
        <v>64420400.00000003</v>
      </c>
      <c r="J17" s="17">
        <f t="shared" si="3"/>
        <v>70862440.000000045</v>
      </c>
      <c r="K17" s="17">
        <f t="shared" si="3"/>
        <v>77948684.00000006</v>
      </c>
      <c r="L17" s="17">
        <f t="shared" si="3"/>
        <v>85743552.400000066</v>
      </c>
      <c r="M17" s="17">
        <f t="shared" si="3"/>
        <v>94317907.640000075</v>
      </c>
      <c r="N17" s="17"/>
    </row>
    <row r="18" spans="1:14" s="24" customFormat="1" x14ac:dyDescent="0.3">
      <c r="A18" s="45"/>
      <c r="B18" s="62" t="s">
        <v>29</v>
      </c>
      <c r="C18" s="48"/>
      <c r="D18" s="48">
        <v>0</v>
      </c>
      <c r="E18" s="48">
        <f>(500*K1*120%)-(500*K1*105%)</f>
        <v>75000000</v>
      </c>
      <c r="F18" s="48">
        <f t="shared" ref="F18:M18" si="4">E18*115%</f>
        <v>86250000</v>
      </c>
      <c r="G18" s="48">
        <f t="shared" si="4"/>
        <v>99187499.999999985</v>
      </c>
      <c r="H18" s="48">
        <f t="shared" si="4"/>
        <v>114065624.99999997</v>
      </c>
      <c r="I18" s="48">
        <f t="shared" si="4"/>
        <v>131175468.74999996</v>
      </c>
      <c r="J18" s="48">
        <f t="shared" si="4"/>
        <v>150851789.06249994</v>
      </c>
      <c r="K18" s="48">
        <f t="shared" si="4"/>
        <v>173479557.42187491</v>
      </c>
      <c r="L18" s="48">
        <f t="shared" si="4"/>
        <v>199501491.03515613</v>
      </c>
      <c r="M18" s="48">
        <f t="shared" si="4"/>
        <v>229426714.69042954</v>
      </c>
      <c r="N18" s="48"/>
    </row>
    <row r="19" spans="1:14" x14ac:dyDescent="0.3">
      <c r="A19" s="9"/>
      <c r="B19" s="63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 s="22" customFormat="1" x14ac:dyDescent="0.3">
      <c r="A20" s="9"/>
      <c r="B20" s="63" t="s">
        <v>13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 s="21" customFormat="1" x14ac:dyDescent="0.3">
      <c r="A21" s="12"/>
      <c r="B21" s="65" t="s">
        <v>14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>
        <f>200*K1</f>
        <v>200000000</v>
      </c>
      <c r="N21" s="47"/>
    </row>
    <row r="22" spans="1:14" x14ac:dyDescent="0.3">
      <c r="A22" s="9"/>
      <c r="B22" s="63" t="s">
        <v>23</v>
      </c>
      <c r="C22" s="50"/>
      <c r="D22" s="17">
        <f t="shared" ref="D22" si="5">D11*50</f>
        <v>250000000</v>
      </c>
      <c r="E22" s="17">
        <f>E11*50*101.5%</f>
        <v>274050000</v>
      </c>
      <c r="F22" s="17">
        <f t="shared" ref="F22:M22" si="6">F11*50*101.5%</f>
        <v>295974000</v>
      </c>
      <c r="G22" s="17">
        <f t="shared" si="6"/>
        <v>319651919.99999994</v>
      </c>
      <c r="H22" s="17">
        <f t="shared" si="6"/>
        <v>345224073.60000002</v>
      </c>
      <c r="I22" s="17">
        <f t="shared" si="6"/>
        <v>372841999.48800004</v>
      </c>
      <c r="J22" s="17">
        <f t="shared" si="6"/>
        <v>402669359.44704002</v>
      </c>
      <c r="K22" s="17">
        <f t="shared" si="6"/>
        <v>434882908.20280337</v>
      </c>
      <c r="L22" s="17">
        <f t="shared" si="6"/>
        <v>469673540.85902762</v>
      </c>
      <c r="M22" s="17">
        <f t="shared" si="6"/>
        <v>507247424.12774992</v>
      </c>
      <c r="N22" s="17"/>
    </row>
    <row r="23" spans="1:14" x14ac:dyDescent="0.3">
      <c r="A23" s="9"/>
      <c r="B23" s="63" t="s">
        <v>37</v>
      </c>
      <c r="C23" s="17"/>
      <c r="D23" s="17">
        <f>30*K1</f>
        <v>30000000</v>
      </c>
      <c r="E23" s="17">
        <f>D23*103%</f>
        <v>30900000</v>
      </c>
      <c r="F23" s="17">
        <f t="shared" ref="F23:M23" si="7">E23*103%</f>
        <v>31827000</v>
      </c>
      <c r="G23" s="17">
        <f t="shared" si="7"/>
        <v>32781810</v>
      </c>
      <c r="H23" s="17">
        <f t="shared" si="7"/>
        <v>33765264.300000004</v>
      </c>
      <c r="I23" s="17">
        <f t="shared" si="7"/>
        <v>34778222.229000002</v>
      </c>
      <c r="J23" s="17">
        <f t="shared" si="7"/>
        <v>35821568.89587</v>
      </c>
      <c r="K23" s="17">
        <f t="shared" si="7"/>
        <v>36896215.962746099</v>
      </c>
      <c r="L23" s="17">
        <f t="shared" si="7"/>
        <v>38003102.441628486</v>
      </c>
      <c r="M23" s="17">
        <f t="shared" si="7"/>
        <v>39143195.514877342</v>
      </c>
      <c r="N23" s="17"/>
    </row>
    <row r="24" spans="1:14" x14ac:dyDescent="0.3">
      <c r="A24" s="9"/>
      <c r="B24" s="63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  <row r="25" spans="1:14" s="21" customFormat="1" ht="28.8" x14ac:dyDescent="0.3">
      <c r="A25" s="12"/>
      <c r="B25" s="66" t="s">
        <v>47</v>
      </c>
      <c r="C25" s="47">
        <f t="shared" ref="C25:M25" si="8">SUM(C20:C23)-SUM(C12:C18)</f>
        <v>-1150000000</v>
      </c>
      <c r="D25" s="47">
        <f t="shared" si="8"/>
        <v>96000000</v>
      </c>
      <c r="E25" s="47">
        <f t="shared" si="8"/>
        <v>28097200.00000006</v>
      </c>
      <c r="F25" s="47">
        <f t="shared" si="8"/>
        <v>22669976.00000006</v>
      </c>
      <c r="G25" s="47">
        <f t="shared" si="8"/>
        <v>-620113275.92000008</v>
      </c>
      <c r="H25" s="47">
        <f t="shared" si="8"/>
        <v>7510646.5064000487</v>
      </c>
      <c r="I25" s="47">
        <f t="shared" si="8"/>
        <v>-2732638.7380879521</v>
      </c>
      <c r="J25" s="47">
        <f t="shared" si="8"/>
        <v>-15160851.761084974</v>
      </c>
      <c r="K25" s="47">
        <f t="shared" si="8"/>
        <v>-30141672.381140172</v>
      </c>
      <c r="L25" s="47">
        <f t="shared" si="8"/>
        <v>-48100359.66929996</v>
      </c>
      <c r="M25" s="47">
        <f t="shared" si="8"/>
        <v>130471481.01461375</v>
      </c>
      <c r="N25" s="47"/>
    </row>
    <row r="26" spans="1:14" x14ac:dyDescent="0.3">
      <c r="A26" s="9"/>
      <c r="B26" s="63" t="s">
        <v>39</v>
      </c>
      <c r="C26" s="17"/>
      <c r="D26" s="17">
        <f>D25*10%</f>
        <v>9600000</v>
      </c>
      <c r="E26" s="17">
        <f t="shared" ref="E26:H26" si="9">E25*10%</f>
        <v>2809720.0000000061</v>
      </c>
      <c r="F26" s="17">
        <f t="shared" si="9"/>
        <v>2266997.6000000061</v>
      </c>
      <c r="G26" s="17">
        <f>G25*10</f>
        <v>-6201132759.2000008</v>
      </c>
      <c r="H26" s="17">
        <f t="shared" si="9"/>
        <v>751064.6506400049</v>
      </c>
      <c r="I26" s="17">
        <f>I25*10%</f>
        <v>-273263.87380879524</v>
      </c>
      <c r="J26" s="17">
        <f t="shared" ref="J26:L26" si="10">J25*10%</f>
        <v>-1516085.1761084974</v>
      </c>
      <c r="K26" s="17">
        <f t="shared" si="10"/>
        <v>-3014167.2381140175</v>
      </c>
      <c r="L26" s="17">
        <f t="shared" si="10"/>
        <v>-4810035.9669299964</v>
      </c>
      <c r="M26" s="17">
        <f t="shared" ref="M26" si="11">M25*10%</f>
        <v>13047148.101461375</v>
      </c>
      <c r="N26" s="17"/>
    </row>
    <row r="27" spans="1:14" x14ac:dyDescent="0.3">
      <c r="A27" s="9"/>
      <c r="B27" s="63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</row>
    <row r="28" spans="1:14" s="21" customFormat="1" ht="28.8" x14ac:dyDescent="0.3">
      <c r="A28" s="12"/>
      <c r="B28" s="66" t="s">
        <v>48</v>
      </c>
      <c r="C28" s="47">
        <f t="shared" ref="C28:M28" si="12">SUM(C21:C23)-SUM(C12:C18)-C26</f>
        <v>-1150000000</v>
      </c>
      <c r="D28" s="47">
        <f t="shared" si="12"/>
        <v>86400000</v>
      </c>
      <c r="E28" s="47">
        <f t="shared" si="12"/>
        <v>25287480.000000052</v>
      </c>
      <c r="F28" s="47">
        <f t="shared" si="12"/>
        <v>20402978.400000054</v>
      </c>
      <c r="G28" s="47">
        <f t="shared" si="12"/>
        <v>5581019483.2800007</v>
      </c>
      <c r="H28" s="47">
        <f t="shared" si="12"/>
        <v>6759581.8557600435</v>
      </c>
      <c r="I28" s="47">
        <f>SUM(I21:I23)-SUM(I12:I18)-I26</f>
        <v>-2459374.864279157</v>
      </c>
      <c r="J28" s="47">
        <f t="shared" si="12"/>
        <v>-13644766.584976476</v>
      </c>
      <c r="K28" s="47">
        <f>SUM(K21:K23)-SUM(K12:K18)-K26</f>
        <v>-27127505.143026154</v>
      </c>
      <c r="L28" s="47">
        <f t="shared" si="12"/>
        <v>-43290323.702369966</v>
      </c>
      <c r="M28" s="47">
        <f t="shared" si="12"/>
        <v>117424332.91315237</v>
      </c>
      <c r="N28" s="47"/>
    </row>
    <row r="29" spans="1:14" x14ac:dyDescent="0.3">
      <c r="A29" s="9"/>
      <c r="B29" s="63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</row>
    <row r="30" spans="1:14" x14ac:dyDescent="0.3">
      <c r="A30" s="9"/>
      <c r="B30" s="65" t="s">
        <v>49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</row>
    <row r="31" spans="1:14" x14ac:dyDescent="0.3">
      <c r="A31" s="9"/>
      <c r="B31" s="63" t="s">
        <v>51</v>
      </c>
      <c r="C31" s="17"/>
      <c r="D31" s="17">
        <f t="shared" ref="D31:M31" si="13">-D15*5%</f>
        <v>-7200000</v>
      </c>
      <c r="E31" s="17">
        <f t="shared" si="13"/>
        <v>-7892639.9999999972</v>
      </c>
      <c r="F31" s="17">
        <f t="shared" si="13"/>
        <v>-8524051.1999999974</v>
      </c>
      <c r="G31" s="17">
        <f t="shared" si="13"/>
        <v>-9205975.2959999982</v>
      </c>
      <c r="H31" s="17">
        <f t="shared" si="13"/>
        <v>-9942453.3196799997</v>
      </c>
      <c r="I31" s="17">
        <f t="shared" si="13"/>
        <v>-10737849.585254401</v>
      </c>
      <c r="J31" s="17">
        <f t="shared" si="13"/>
        <v>-11596877.552074753</v>
      </c>
      <c r="K31" s="17">
        <f t="shared" si="13"/>
        <v>-12524627.756240735</v>
      </c>
      <c r="L31" s="17">
        <f t="shared" si="13"/>
        <v>-13526597.976739995</v>
      </c>
      <c r="M31" s="17">
        <f t="shared" si="13"/>
        <v>-14608725.814879194</v>
      </c>
      <c r="N31" s="17"/>
    </row>
    <row r="32" spans="1:14" x14ac:dyDescent="0.3">
      <c r="A32" s="9"/>
      <c r="B32" s="63" t="s">
        <v>52</v>
      </c>
      <c r="C32" s="17"/>
      <c r="D32" s="17">
        <v>0</v>
      </c>
      <c r="E32" s="17">
        <f>-D31</f>
        <v>7200000</v>
      </c>
      <c r="F32" s="17">
        <f t="shared" ref="F32:M32" si="14">-E31</f>
        <v>7892639.9999999972</v>
      </c>
      <c r="G32" s="17">
        <f t="shared" si="14"/>
        <v>8524051.1999999974</v>
      </c>
      <c r="H32" s="17">
        <f t="shared" si="14"/>
        <v>9205975.2959999982</v>
      </c>
      <c r="I32" s="17">
        <f t="shared" si="14"/>
        <v>9942453.3196799997</v>
      </c>
      <c r="J32" s="17">
        <f t="shared" si="14"/>
        <v>10737849.585254401</v>
      </c>
      <c r="K32" s="17">
        <f t="shared" si="14"/>
        <v>11596877.552074753</v>
      </c>
      <c r="L32" s="17">
        <f t="shared" si="14"/>
        <v>12524627.756240735</v>
      </c>
      <c r="M32" s="17">
        <f t="shared" si="14"/>
        <v>13526597.976739995</v>
      </c>
      <c r="N32" s="17"/>
    </row>
    <row r="33" spans="1:14" x14ac:dyDescent="0.3">
      <c r="A33" s="9"/>
      <c r="B33" s="63" t="s">
        <v>50</v>
      </c>
      <c r="C33" s="17"/>
      <c r="D33" s="17">
        <f t="shared" ref="D33:M33" si="15">-D15*10%</f>
        <v>-14400000</v>
      </c>
      <c r="E33" s="17">
        <f t="shared" si="15"/>
        <v>-15785279.999999994</v>
      </c>
      <c r="F33" s="17">
        <f t="shared" si="15"/>
        <v>-17048102.399999995</v>
      </c>
      <c r="G33" s="17">
        <f t="shared" si="15"/>
        <v>-18411950.591999996</v>
      </c>
      <c r="H33" s="17">
        <f t="shared" si="15"/>
        <v>-19884906.639359999</v>
      </c>
      <c r="I33" s="17">
        <f t="shared" si="15"/>
        <v>-21475699.170508802</v>
      </c>
      <c r="J33" s="17">
        <f t="shared" si="15"/>
        <v>-23193755.104149505</v>
      </c>
      <c r="K33" s="17">
        <f t="shared" si="15"/>
        <v>-25049255.51248147</v>
      </c>
      <c r="L33" s="17">
        <f t="shared" si="15"/>
        <v>-27053195.95347999</v>
      </c>
      <c r="M33" s="17">
        <f t="shared" si="15"/>
        <v>-29217451.629758388</v>
      </c>
      <c r="N33" s="17"/>
    </row>
    <row r="34" spans="1:14" x14ac:dyDescent="0.3">
      <c r="A34" s="9"/>
      <c r="B34" s="63" t="s">
        <v>53</v>
      </c>
      <c r="C34" s="17"/>
      <c r="D34" s="17">
        <f t="shared" ref="D34:M34" si="16">+D15*6%</f>
        <v>8640000</v>
      </c>
      <c r="E34" s="17">
        <f t="shared" si="16"/>
        <v>9471167.9999999963</v>
      </c>
      <c r="F34" s="17">
        <f t="shared" si="16"/>
        <v>10228861.439999996</v>
      </c>
      <c r="G34" s="17">
        <f t="shared" si="16"/>
        <v>11047170.355199996</v>
      </c>
      <c r="H34" s="17">
        <f t="shared" si="16"/>
        <v>11930943.983615998</v>
      </c>
      <c r="I34" s="17">
        <f t="shared" si="16"/>
        <v>12885419.502305279</v>
      </c>
      <c r="J34" s="17">
        <f t="shared" si="16"/>
        <v>13916253.062489703</v>
      </c>
      <c r="K34" s="17">
        <f t="shared" si="16"/>
        <v>15029553.307488881</v>
      </c>
      <c r="L34" s="17">
        <f t="shared" si="16"/>
        <v>16231917.572087992</v>
      </c>
      <c r="M34" s="17">
        <f t="shared" si="16"/>
        <v>17530470.97785503</v>
      </c>
      <c r="N34" s="17"/>
    </row>
    <row r="35" spans="1:14" x14ac:dyDescent="0.3">
      <c r="A35" s="9"/>
      <c r="B35" s="63" t="s">
        <v>54</v>
      </c>
      <c r="C35" s="17"/>
      <c r="D35" s="17"/>
      <c r="E35" s="17">
        <f>-D34</f>
        <v>-8640000</v>
      </c>
      <c r="F35" s="17">
        <f t="shared" ref="F35:M35" si="17">-E34</f>
        <v>-9471167.9999999963</v>
      </c>
      <c r="G35" s="17">
        <f t="shared" si="17"/>
        <v>-10228861.439999996</v>
      </c>
      <c r="H35" s="17">
        <f t="shared" si="17"/>
        <v>-11047170.355199996</v>
      </c>
      <c r="I35" s="17">
        <f t="shared" si="17"/>
        <v>-11930943.983615998</v>
      </c>
      <c r="J35" s="17">
        <f t="shared" si="17"/>
        <v>-12885419.502305279</v>
      </c>
      <c r="K35" s="17">
        <f t="shared" si="17"/>
        <v>-13916253.062489703</v>
      </c>
      <c r="L35" s="17">
        <f t="shared" si="17"/>
        <v>-15029553.307488881</v>
      </c>
      <c r="M35" s="17">
        <f t="shared" si="17"/>
        <v>-16231917.572087992</v>
      </c>
      <c r="N35" s="17"/>
    </row>
    <row r="36" spans="1:14" x14ac:dyDescent="0.3">
      <c r="A36" s="9"/>
      <c r="B36" s="63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1:14" s="21" customFormat="1" ht="28.8" x14ac:dyDescent="0.3">
      <c r="A37" s="12"/>
      <c r="B37" s="66" t="s">
        <v>55</v>
      </c>
      <c r="C37" s="47">
        <f>SUM(C28:C36)</f>
        <v>-1150000000</v>
      </c>
      <c r="D37" s="47">
        <f t="shared" ref="D37:M37" si="18">SUM(D28:D36)</f>
        <v>73440000</v>
      </c>
      <c r="E37" s="47">
        <f t="shared" si="18"/>
        <v>9640728.0000000596</v>
      </c>
      <c r="F37" s="47">
        <f t="shared" si="18"/>
        <v>3481158.2400000598</v>
      </c>
      <c r="G37" s="47">
        <f t="shared" si="18"/>
        <v>5562743917.5072012</v>
      </c>
      <c r="H37" s="47">
        <f t="shared" si="18"/>
        <v>-12978029.178863956</v>
      </c>
      <c r="I37" s="47">
        <f t="shared" si="18"/>
        <v>-23775994.781673081</v>
      </c>
      <c r="J37" s="47">
        <f t="shared" si="18"/>
        <v>-36666716.095761903</v>
      </c>
      <c r="K37" s="47">
        <f t="shared" si="18"/>
        <v>-51991210.614674427</v>
      </c>
      <c r="L37" s="47">
        <f t="shared" si="18"/>
        <v>-70143125.611750096</v>
      </c>
      <c r="M37" s="47">
        <f t="shared" si="18"/>
        <v>88423306.851021811</v>
      </c>
      <c r="N37" s="4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F5B72-5F0E-4A44-803C-A17D89D5C4A2}">
  <dimension ref="A1:N37"/>
  <sheetViews>
    <sheetView workbookViewId="0">
      <selection activeCell="G3" sqref="G3"/>
    </sheetView>
  </sheetViews>
  <sheetFormatPr defaultColWidth="8.77734375" defaultRowHeight="14.4" x14ac:dyDescent="0.3"/>
  <cols>
    <col min="1" max="1" width="5.88671875" style="8" bestFit="1" customWidth="1"/>
    <col min="2" max="2" width="17.77734375" style="8" bestFit="1" customWidth="1"/>
    <col min="3" max="3" width="16.6640625" style="10" customWidth="1"/>
    <col min="4" max="4" width="14.21875" style="10" customWidth="1"/>
    <col min="5" max="5" width="14.5546875" style="10" customWidth="1"/>
    <col min="6" max="6" width="14.44140625" style="10" customWidth="1"/>
    <col min="7" max="7" width="13.5546875" style="10" bestFit="1" customWidth="1"/>
    <col min="8" max="8" width="14.109375" style="10" customWidth="1"/>
    <col min="9" max="9" width="15.6640625" style="10" customWidth="1"/>
    <col min="10" max="10" width="13.44140625" style="10" customWidth="1"/>
    <col min="11" max="11" width="14.77734375" style="10" customWidth="1"/>
    <col min="12" max="12" width="14" style="10" customWidth="1"/>
    <col min="13" max="13" width="13.88671875" style="10" customWidth="1"/>
    <col min="14" max="14" width="5.109375" style="10" bestFit="1" customWidth="1"/>
    <col min="15" max="16384" width="8.77734375" style="10"/>
  </cols>
  <sheetData>
    <row r="1" spans="1:14" s="8" customFormat="1" x14ac:dyDescent="0.3">
      <c r="A1" s="7" t="s">
        <v>26</v>
      </c>
      <c r="H1" s="9">
        <v>2019</v>
      </c>
      <c r="I1" s="9" t="s">
        <v>3</v>
      </c>
      <c r="K1" s="10">
        <v>1000000</v>
      </c>
    </row>
    <row r="2" spans="1:14" s="8" customFormat="1" x14ac:dyDescent="0.3">
      <c r="B2" s="68" t="s">
        <v>20</v>
      </c>
      <c r="C2" s="9" t="s">
        <v>0</v>
      </c>
      <c r="D2" s="9" t="s">
        <v>1</v>
      </c>
      <c r="E2" s="9" t="s">
        <v>2</v>
      </c>
      <c r="H2" s="9">
        <v>2022</v>
      </c>
      <c r="I2" s="9" t="s">
        <v>4</v>
      </c>
    </row>
    <row r="3" spans="1:14" s="8" customFormat="1" x14ac:dyDescent="0.3">
      <c r="B3" s="68" t="s">
        <v>41</v>
      </c>
      <c r="C3" s="9" t="s">
        <v>5</v>
      </c>
      <c r="D3" s="9"/>
      <c r="E3" s="9"/>
    </row>
    <row r="4" spans="1:14" s="11" customFormat="1" x14ac:dyDescent="0.3">
      <c r="H4" s="12">
        <v>2022</v>
      </c>
      <c r="I4" s="13">
        <v>3.0000000000000001E-3</v>
      </c>
      <c r="J4" s="12" t="s">
        <v>9</v>
      </c>
      <c r="K4" s="12" t="s">
        <v>10</v>
      </c>
    </row>
    <row r="5" spans="1:14" s="8" customFormat="1" x14ac:dyDescent="0.3">
      <c r="B5" s="68" t="s">
        <v>38</v>
      </c>
      <c r="C5" s="14">
        <v>1.4999999999999999E-2</v>
      </c>
      <c r="E5" s="68" t="s">
        <v>43</v>
      </c>
      <c r="F5" s="68"/>
      <c r="H5" s="9" t="s">
        <v>7</v>
      </c>
      <c r="I5" s="15">
        <f>45*K1</f>
        <v>45000000</v>
      </c>
      <c r="J5" s="16">
        <v>0.05</v>
      </c>
      <c r="K5" s="16">
        <v>0.05</v>
      </c>
    </row>
    <row r="6" spans="1:14" s="8" customFormat="1" x14ac:dyDescent="0.3">
      <c r="E6" s="16">
        <v>0.65</v>
      </c>
      <c r="F6" s="15">
        <f>+I6</f>
        <v>30000000</v>
      </c>
      <c r="H6" s="9" t="s">
        <v>8</v>
      </c>
      <c r="I6" s="15">
        <f>30*K1</f>
        <v>30000000</v>
      </c>
      <c r="J6" s="16">
        <v>0.08</v>
      </c>
      <c r="K6" s="16">
        <v>0.1</v>
      </c>
    </row>
    <row r="7" spans="1:14" s="8" customFormat="1" x14ac:dyDescent="0.3">
      <c r="E7" s="16">
        <v>1</v>
      </c>
      <c r="F7" s="17">
        <f>F6/65*100</f>
        <v>46153846.15384616</v>
      </c>
      <c r="G7" s="18"/>
    </row>
    <row r="8" spans="1:14" s="8" customFormat="1" x14ac:dyDescent="0.3">
      <c r="B8" s="11"/>
      <c r="C8" s="11"/>
      <c r="I8" s="18"/>
    </row>
    <row r="9" spans="1:14" s="8" customFormat="1" x14ac:dyDescent="0.3">
      <c r="A9" s="9"/>
      <c r="B9" s="12" t="s">
        <v>46</v>
      </c>
      <c r="C9" s="12"/>
      <c r="D9" s="9"/>
      <c r="E9" s="9"/>
      <c r="F9" s="9"/>
      <c r="G9" s="9"/>
      <c r="H9" s="9"/>
      <c r="I9" s="15"/>
      <c r="J9" s="9"/>
      <c r="K9" s="9"/>
      <c r="L9" s="9"/>
      <c r="M9" s="9"/>
      <c r="N9" s="9"/>
    </row>
    <row r="10" spans="1:14" s="11" customFormat="1" x14ac:dyDescent="0.3">
      <c r="A10" s="12"/>
      <c r="B10" s="44" t="s">
        <v>6</v>
      </c>
      <c r="C10" s="44" t="s">
        <v>28</v>
      </c>
      <c r="D10" s="44">
        <v>1</v>
      </c>
      <c r="E10" s="44">
        <v>2</v>
      </c>
      <c r="F10" s="44">
        <v>3</v>
      </c>
      <c r="G10" s="44">
        <v>4</v>
      </c>
      <c r="H10" s="44">
        <v>5</v>
      </c>
      <c r="I10" s="44">
        <v>6</v>
      </c>
      <c r="J10" s="44">
        <v>7</v>
      </c>
      <c r="K10" s="44">
        <v>8</v>
      </c>
      <c r="L10" s="44">
        <v>9</v>
      </c>
      <c r="M10" s="44">
        <v>10</v>
      </c>
      <c r="N10" s="44" t="s">
        <v>24</v>
      </c>
    </row>
    <row r="11" spans="1:14" s="21" customFormat="1" x14ac:dyDescent="0.3">
      <c r="A11" s="12" t="s">
        <v>19</v>
      </c>
      <c r="B11" s="67" t="s">
        <v>40</v>
      </c>
      <c r="C11" s="46"/>
      <c r="D11" s="17">
        <f>5*K1</f>
        <v>5000000</v>
      </c>
      <c r="E11" s="17">
        <f>D11*108%</f>
        <v>5400000</v>
      </c>
      <c r="F11" s="17">
        <f t="shared" ref="F11:M11" si="0">E11*108%</f>
        <v>5832000</v>
      </c>
      <c r="G11" s="17">
        <f t="shared" si="0"/>
        <v>6298560</v>
      </c>
      <c r="H11" s="17">
        <f t="shared" si="0"/>
        <v>6802444.8000000007</v>
      </c>
      <c r="I11" s="17">
        <f t="shared" si="0"/>
        <v>7346640.3840000015</v>
      </c>
      <c r="J11" s="17">
        <f t="shared" si="0"/>
        <v>7934371.6147200018</v>
      </c>
      <c r="K11" s="17">
        <f t="shared" si="0"/>
        <v>8569121.3438976035</v>
      </c>
      <c r="L11" s="17">
        <f t="shared" si="0"/>
        <v>9254651.0514094122</v>
      </c>
      <c r="M11" s="17">
        <f t="shared" si="0"/>
        <v>9995023.1355221663</v>
      </c>
      <c r="N11" s="47"/>
    </row>
    <row r="12" spans="1:14" s="22" customFormat="1" x14ac:dyDescent="0.3">
      <c r="A12" s="9"/>
      <c r="B12" s="68" t="s">
        <v>11</v>
      </c>
      <c r="C12" s="17">
        <f>150*K1</f>
        <v>150000000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x14ac:dyDescent="0.3">
      <c r="A13" s="9"/>
      <c r="B13" s="68" t="s">
        <v>42</v>
      </c>
      <c r="C13" s="17">
        <v>1000000000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x14ac:dyDescent="0.3">
      <c r="A14" s="9"/>
      <c r="B14" s="69" t="s">
        <v>16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4" x14ac:dyDescent="0.3">
      <c r="A15" s="9"/>
      <c r="B15" s="68" t="s">
        <v>36</v>
      </c>
      <c r="C15" s="17"/>
      <c r="D15" s="17">
        <f t="shared" ref="D15" si="1">D11*(48*60%)</f>
        <v>144000000</v>
      </c>
      <c r="E15" s="17">
        <f>E11*(48*60%)*101.5%</f>
        <v>157852799.99999994</v>
      </c>
      <c r="F15" s="17">
        <f t="shared" ref="F15:M15" si="2">F11*(48*60%)*101.5%</f>
        <v>170481023.99999994</v>
      </c>
      <c r="G15" s="17">
        <f t="shared" si="2"/>
        <v>184119505.91999996</v>
      </c>
      <c r="H15" s="17">
        <f t="shared" si="2"/>
        <v>198849066.39359999</v>
      </c>
      <c r="I15" s="17">
        <f t="shared" si="2"/>
        <v>214756991.70508799</v>
      </c>
      <c r="J15" s="17">
        <f t="shared" si="2"/>
        <v>231937551.04149505</v>
      </c>
      <c r="K15" s="17">
        <f t="shared" si="2"/>
        <v>250492555.12481469</v>
      </c>
      <c r="L15" s="17">
        <f t="shared" si="2"/>
        <v>270531959.53479987</v>
      </c>
      <c r="M15" s="17">
        <f t="shared" si="2"/>
        <v>292174516.29758388</v>
      </c>
      <c r="N15" s="17"/>
    </row>
    <row r="16" spans="1:14" x14ac:dyDescent="0.3">
      <c r="A16" s="9"/>
      <c r="B16" s="68" t="s">
        <v>25</v>
      </c>
      <c r="C16" s="17"/>
      <c r="D16" s="17"/>
      <c r="E16" s="17"/>
      <c r="F16" s="17"/>
      <c r="G16" s="17">
        <f>600*K1*(1.5%*4)+(600*K1)</f>
        <v>636000000</v>
      </c>
      <c r="H16" s="17"/>
      <c r="I16" s="17"/>
      <c r="J16" s="17"/>
      <c r="K16" s="17"/>
      <c r="L16" s="17"/>
      <c r="M16" s="17"/>
      <c r="N16" s="17"/>
    </row>
    <row r="17" spans="1:14" x14ac:dyDescent="0.3">
      <c r="A17" s="9"/>
      <c r="B17" s="68" t="s">
        <v>27</v>
      </c>
      <c r="C17" s="17"/>
      <c r="D17" s="17">
        <f>40*K1</f>
        <v>40000000</v>
      </c>
      <c r="E17" s="17">
        <f>D17*110%</f>
        <v>44000000</v>
      </c>
      <c r="F17" s="17">
        <f t="shared" ref="F17:M17" si="3">E17*110%</f>
        <v>48400000.000000007</v>
      </c>
      <c r="G17" s="17">
        <f t="shared" si="3"/>
        <v>53240000.000000015</v>
      </c>
      <c r="H17" s="17">
        <f t="shared" si="3"/>
        <v>58564000.000000022</v>
      </c>
      <c r="I17" s="17">
        <f t="shared" si="3"/>
        <v>64420400.00000003</v>
      </c>
      <c r="J17" s="17">
        <f t="shared" si="3"/>
        <v>70862440.000000045</v>
      </c>
      <c r="K17" s="17">
        <f t="shared" si="3"/>
        <v>77948684.00000006</v>
      </c>
      <c r="L17" s="17">
        <f t="shared" si="3"/>
        <v>85743552.400000066</v>
      </c>
      <c r="M17" s="17">
        <f t="shared" si="3"/>
        <v>94317907.640000075</v>
      </c>
      <c r="N17" s="17"/>
    </row>
    <row r="18" spans="1:14" s="24" customFormat="1" x14ac:dyDescent="0.3">
      <c r="A18" s="45"/>
      <c r="B18" s="67" t="s">
        <v>29</v>
      </c>
      <c r="C18" s="48"/>
      <c r="D18" s="48">
        <v>0</v>
      </c>
      <c r="E18" s="48">
        <f>(500*K1*120%)-(500*K1*105%)</f>
        <v>75000000</v>
      </c>
      <c r="F18" s="48">
        <f t="shared" ref="F18:M18" si="4">E18*115%</f>
        <v>86250000</v>
      </c>
      <c r="G18" s="48">
        <f t="shared" si="4"/>
        <v>99187499.999999985</v>
      </c>
      <c r="H18" s="48">
        <f t="shared" si="4"/>
        <v>114065624.99999997</v>
      </c>
      <c r="I18" s="48">
        <f t="shared" si="4"/>
        <v>131175468.74999996</v>
      </c>
      <c r="J18" s="48">
        <f t="shared" si="4"/>
        <v>150851789.06249994</v>
      </c>
      <c r="K18" s="48">
        <f t="shared" si="4"/>
        <v>173479557.42187491</v>
      </c>
      <c r="L18" s="48">
        <f t="shared" si="4"/>
        <v>199501491.03515613</v>
      </c>
      <c r="M18" s="48">
        <f t="shared" si="4"/>
        <v>229426714.69042954</v>
      </c>
      <c r="N18" s="48"/>
    </row>
    <row r="19" spans="1:14" x14ac:dyDescent="0.3">
      <c r="A19" s="9"/>
      <c r="B19" s="68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 s="22" customFormat="1" x14ac:dyDescent="0.3">
      <c r="A20" s="9"/>
      <c r="B20" s="68" t="s">
        <v>13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 s="21" customFormat="1" x14ac:dyDescent="0.3">
      <c r="A21" s="12"/>
      <c r="B21" s="70" t="s">
        <v>14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53">
        <f>200*K1</f>
        <v>200000000</v>
      </c>
      <c r="N21" s="47"/>
    </row>
    <row r="22" spans="1:14" x14ac:dyDescent="0.3">
      <c r="A22" s="9"/>
      <c r="B22" s="68" t="s">
        <v>23</v>
      </c>
      <c r="C22" s="50"/>
      <c r="D22" s="17">
        <f>D11*50</f>
        <v>250000000</v>
      </c>
      <c r="E22" s="17">
        <f t="shared" ref="E22:M22" si="5">E11*50*101.5%</f>
        <v>274050000</v>
      </c>
      <c r="F22" s="17">
        <f t="shared" si="5"/>
        <v>295974000</v>
      </c>
      <c r="G22" s="17">
        <f t="shared" si="5"/>
        <v>319651919.99999994</v>
      </c>
      <c r="H22" s="17">
        <f t="shared" si="5"/>
        <v>345224073.60000002</v>
      </c>
      <c r="I22" s="17">
        <f t="shared" si="5"/>
        <v>372841999.48800004</v>
      </c>
      <c r="J22" s="17">
        <f t="shared" si="5"/>
        <v>402669359.44704002</v>
      </c>
      <c r="K22" s="17">
        <f t="shared" si="5"/>
        <v>434882908.20280337</v>
      </c>
      <c r="L22" s="17">
        <f t="shared" si="5"/>
        <v>469673540.85902762</v>
      </c>
      <c r="M22" s="17">
        <f t="shared" si="5"/>
        <v>507247424.12774992</v>
      </c>
      <c r="N22" s="17"/>
    </row>
    <row r="23" spans="1:14" x14ac:dyDescent="0.3">
      <c r="A23" s="9"/>
      <c r="B23" s="68" t="s">
        <v>37</v>
      </c>
      <c r="C23" s="17"/>
      <c r="D23" s="17">
        <f>30*K1</f>
        <v>30000000</v>
      </c>
      <c r="E23" s="17">
        <f>D23*103%</f>
        <v>30900000</v>
      </c>
      <c r="F23" s="17">
        <f t="shared" ref="F23:M23" si="6">E23*103%</f>
        <v>31827000</v>
      </c>
      <c r="G23" s="17">
        <f t="shared" si="6"/>
        <v>32781810</v>
      </c>
      <c r="H23" s="17">
        <f t="shared" si="6"/>
        <v>33765264.300000004</v>
      </c>
      <c r="I23" s="17">
        <f t="shared" si="6"/>
        <v>34778222.229000002</v>
      </c>
      <c r="J23" s="17">
        <f t="shared" si="6"/>
        <v>35821568.89587</v>
      </c>
      <c r="K23" s="17">
        <f t="shared" si="6"/>
        <v>36896215.962746099</v>
      </c>
      <c r="L23" s="17">
        <f t="shared" si="6"/>
        <v>38003102.441628486</v>
      </c>
      <c r="M23" s="17">
        <f t="shared" si="6"/>
        <v>39143195.514877342</v>
      </c>
      <c r="N23" s="17"/>
    </row>
    <row r="24" spans="1:14" x14ac:dyDescent="0.3">
      <c r="A24" s="9"/>
      <c r="B24" s="68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  <row r="25" spans="1:14" s="21" customFormat="1" ht="28.8" x14ac:dyDescent="0.3">
      <c r="A25" s="12"/>
      <c r="B25" s="71" t="s">
        <v>47</v>
      </c>
      <c r="C25" s="47">
        <f t="shared" ref="C25:M25" si="7">SUM(C20:C23)-SUM(C12:C18)</f>
        <v>-1150000000</v>
      </c>
      <c r="D25" s="47">
        <f t="shared" si="7"/>
        <v>96000000</v>
      </c>
      <c r="E25" s="47">
        <f t="shared" si="7"/>
        <v>28097200.00000006</v>
      </c>
      <c r="F25" s="47">
        <f t="shared" si="7"/>
        <v>22669976.00000006</v>
      </c>
      <c r="G25" s="47">
        <f t="shared" si="7"/>
        <v>-620113275.92000008</v>
      </c>
      <c r="H25" s="47">
        <f t="shared" si="7"/>
        <v>7510646.5064000487</v>
      </c>
      <c r="I25" s="47">
        <f t="shared" si="7"/>
        <v>-2732638.7380879521</v>
      </c>
      <c r="J25" s="47">
        <f t="shared" si="7"/>
        <v>-15160851.761084974</v>
      </c>
      <c r="K25" s="47">
        <f t="shared" si="7"/>
        <v>-30141672.381140172</v>
      </c>
      <c r="L25" s="47">
        <f t="shared" si="7"/>
        <v>-48100359.66929996</v>
      </c>
      <c r="M25" s="47">
        <f t="shared" si="7"/>
        <v>130471481.01461375</v>
      </c>
      <c r="N25" s="47"/>
    </row>
    <row r="26" spans="1:14" x14ac:dyDescent="0.3">
      <c r="A26" s="9"/>
      <c r="B26" s="68" t="s">
        <v>39</v>
      </c>
      <c r="C26" s="17"/>
      <c r="D26" s="17">
        <f>D25*10%</f>
        <v>9600000</v>
      </c>
      <c r="E26" s="17">
        <f t="shared" ref="E26:M26" si="8">E25*10%</f>
        <v>2809720.0000000061</v>
      </c>
      <c r="F26" s="17">
        <f t="shared" si="8"/>
        <v>2266997.6000000061</v>
      </c>
      <c r="G26" s="17"/>
      <c r="H26" s="17">
        <f t="shared" si="8"/>
        <v>751064.6506400049</v>
      </c>
      <c r="I26" s="17"/>
      <c r="J26" s="17"/>
      <c r="K26" s="17"/>
      <c r="L26" s="17"/>
      <c r="M26" s="17">
        <f t="shared" si="8"/>
        <v>13047148.101461375</v>
      </c>
      <c r="N26" s="17"/>
    </row>
    <row r="27" spans="1:14" x14ac:dyDescent="0.3">
      <c r="A27" s="9"/>
      <c r="B27" s="68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</row>
    <row r="28" spans="1:14" s="21" customFormat="1" ht="28.8" x14ac:dyDescent="0.3">
      <c r="A28" s="12"/>
      <c r="B28" s="71" t="s">
        <v>48</v>
      </c>
      <c r="C28" s="47">
        <f t="shared" ref="C28:M28" si="9">SUM(C21:C23)-SUM(C12:C18)-C26</f>
        <v>-1150000000</v>
      </c>
      <c r="D28" s="47">
        <f t="shared" si="9"/>
        <v>86400000</v>
      </c>
      <c r="E28" s="47">
        <f t="shared" si="9"/>
        <v>25287480.000000052</v>
      </c>
      <c r="F28" s="47">
        <f t="shared" si="9"/>
        <v>20402978.400000054</v>
      </c>
      <c r="G28" s="47">
        <f t="shared" si="9"/>
        <v>-620113275.92000008</v>
      </c>
      <c r="H28" s="47">
        <f t="shared" si="9"/>
        <v>6759581.8557600435</v>
      </c>
      <c r="I28" s="47">
        <f t="shared" si="9"/>
        <v>-2732638.7380879521</v>
      </c>
      <c r="J28" s="47">
        <f t="shared" si="9"/>
        <v>-15160851.761084974</v>
      </c>
      <c r="K28" s="47">
        <f t="shared" si="9"/>
        <v>-30141672.381140172</v>
      </c>
      <c r="L28" s="47">
        <f t="shared" si="9"/>
        <v>-48100359.66929996</v>
      </c>
      <c r="M28" s="47">
        <f t="shared" si="9"/>
        <v>117424332.91315237</v>
      </c>
      <c r="N28" s="47"/>
    </row>
    <row r="29" spans="1:14" x14ac:dyDescent="0.3">
      <c r="A29" s="9"/>
      <c r="B29" s="68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</row>
    <row r="30" spans="1:14" x14ac:dyDescent="0.3">
      <c r="A30" s="9"/>
      <c r="B30" s="70" t="s">
        <v>49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</row>
    <row r="31" spans="1:14" x14ac:dyDescent="0.3">
      <c r="A31" s="9"/>
      <c r="B31" s="68" t="s">
        <v>51</v>
      </c>
      <c r="C31" s="17"/>
      <c r="D31" s="17">
        <f t="shared" ref="D31:L31" si="10">-D15*5%</f>
        <v>-7200000</v>
      </c>
      <c r="E31" s="17">
        <f t="shared" si="10"/>
        <v>-7892639.9999999972</v>
      </c>
      <c r="F31" s="17">
        <f t="shared" si="10"/>
        <v>-8524051.1999999974</v>
      </c>
      <c r="G31" s="17">
        <f t="shared" si="10"/>
        <v>-9205975.2959999982</v>
      </c>
      <c r="H31" s="17">
        <f t="shared" si="10"/>
        <v>-9942453.3196799997</v>
      </c>
      <c r="I31" s="17">
        <f t="shared" si="10"/>
        <v>-10737849.585254401</v>
      </c>
      <c r="J31" s="17">
        <f t="shared" si="10"/>
        <v>-11596877.552074753</v>
      </c>
      <c r="K31" s="17">
        <f t="shared" si="10"/>
        <v>-12524627.756240735</v>
      </c>
      <c r="L31" s="17">
        <f t="shared" si="10"/>
        <v>-13526597.976739995</v>
      </c>
      <c r="M31" s="17">
        <f>M15*5%</f>
        <v>14608725.814879194</v>
      </c>
      <c r="N31" s="17"/>
    </row>
    <row r="32" spans="1:14" x14ac:dyDescent="0.3">
      <c r="A32" s="9"/>
      <c r="B32" s="68" t="s">
        <v>52</v>
      </c>
      <c r="C32" s="17"/>
      <c r="D32" s="17">
        <v>0</v>
      </c>
      <c r="E32" s="17">
        <f>-D31</f>
        <v>7200000</v>
      </c>
      <c r="F32" s="17">
        <f t="shared" ref="F32:M32" si="11">-E31</f>
        <v>7892639.9999999972</v>
      </c>
      <c r="G32" s="17">
        <f t="shared" si="11"/>
        <v>8524051.1999999974</v>
      </c>
      <c r="H32" s="17">
        <f t="shared" si="11"/>
        <v>9205975.2959999982</v>
      </c>
      <c r="I32" s="17">
        <f t="shared" si="11"/>
        <v>9942453.3196799997</v>
      </c>
      <c r="J32" s="17">
        <f t="shared" si="11"/>
        <v>10737849.585254401</v>
      </c>
      <c r="K32" s="17">
        <f t="shared" si="11"/>
        <v>11596877.552074753</v>
      </c>
      <c r="L32" s="17">
        <f t="shared" si="11"/>
        <v>12524627.756240735</v>
      </c>
      <c r="M32" s="17">
        <f t="shared" si="11"/>
        <v>13526597.976739995</v>
      </c>
      <c r="N32" s="17"/>
    </row>
    <row r="33" spans="1:14" x14ac:dyDescent="0.3">
      <c r="A33" s="9"/>
      <c r="B33" s="68" t="s">
        <v>50</v>
      </c>
      <c r="C33" s="17"/>
      <c r="D33" s="17">
        <f t="shared" ref="D33:L33" si="12">-D15*10%</f>
        <v>-14400000</v>
      </c>
      <c r="E33" s="17">
        <f t="shared" si="12"/>
        <v>-15785279.999999994</v>
      </c>
      <c r="F33" s="17">
        <f t="shared" si="12"/>
        <v>-17048102.399999995</v>
      </c>
      <c r="G33" s="17">
        <f t="shared" si="12"/>
        <v>-18411950.591999996</v>
      </c>
      <c r="H33" s="17">
        <f t="shared" si="12"/>
        <v>-19884906.639359999</v>
      </c>
      <c r="I33" s="17">
        <f t="shared" si="12"/>
        <v>-21475699.170508802</v>
      </c>
      <c r="J33" s="17">
        <f t="shared" si="12"/>
        <v>-23193755.104149505</v>
      </c>
      <c r="K33" s="17">
        <f t="shared" si="12"/>
        <v>-25049255.51248147</v>
      </c>
      <c r="L33" s="17">
        <f t="shared" si="12"/>
        <v>-27053195.95347999</v>
      </c>
      <c r="M33" s="17">
        <f>M15*10%</f>
        <v>29217451.629758388</v>
      </c>
      <c r="N33" s="17"/>
    </row>
    <row r="34" spans="1:14" x14ac:dyDescent="0.3">
      <c r="A34" s="9"/>
      <c r="B34" s="68" t="s">
        <v>53</v>
      </c>
      <c r="C34" s="17"/>
      <c r="D34" s="17">
        <f t="shared" ref="D34:L34" si="13">+D15*6%</f>
        <v>8640000</v>
      </c>
      <c r="E34" s="17">
        <f t="shared" si="13"/>
        <v>9471167.9999999963</v>
      </c>
      <c r="F34" s="17">
        <f t="shared" si="13"/>
        <v>10228861.439999996</v>
      </c>
      <c r="G34" s="17">
        <f t="shared" si="13"/>
        <v>11047170.355199996</v>
      </c>
      <c r="H34" s="17">
        <f t="shared" si="13"/>
        <v>11930943.983615998</v>
      </c>
      <c r="I34" s="17">
        <f t="shared" si="13"/>
        <v>12885419.502305279</v>
      </c>
      <c r="J34" s="17">
        <f t="shared" si="13"/>
        <v>13916253.062489703</v>
      </c>
      <c r="K34" s="17">
        <f t="shared" si="13"/>
        <v>15029553.307488881</v>
      </c>
      <c r="L34" s="17">
        <f t="shared" si="13"/>
        <v>16231917.572087992</v>
      </c>
      <c r="M34" s="17">
        <f>-M15*6%</f>
        <v>-17530470.97785503</v>
      </c>
      <c r="N34" s="17"/>
    </row>
    <row r="35" spans="1:14" x14ac:dyDescent="0.3">
      <c r="A35" s="9"/>
      <c r="B35" s="68" t="s">
        <v>54</v>
      </c>
      <c r="C35" s="17"/>
      <c r="D35" s="17"/>
      <c r="E35" s="17">
        <f>-D34</f>
        <v>-8640000</v>
      </c>
      <c r="F35" s="17">
        <f t="shared" ref="F35:M35" si="14">-E34</f>
        <v>-9471167.9999999963</v>
      </c>
      <c r="G35" s="17">
        <f t="shared" si="14"/>
        <v>-10228861.439999996</v>
      </c>
      <c r="H35" s="17">
        <f t="shared" si="14"/>
        <v>-11047170.355199996</v>
      </c>
      <c r="I35" s="17">
        <f t="shared" si="14"/>
        <v>-11930943.983615998</v>
      </c>
      <c r="J35" s="17">
        <f t="shared" si="14"/>
        <v>-12885419.502305279</v>
      </c>
      <c r="K35" s="17">
        <f t="shared" si="14"/>
        <v>-13916253.062489703</v>
      </c>
      <c r="L35" s="17">
        <f t="shared" si="14"/>
        <v>-15029553.307488881</v>
      </c>
      <c r="M35" s="17">
        <f t="shared" si="14"/>
        <v>-16231917.572087992</v>
      </c>
      <c r="N35" s="17"/>
    </row>
    <row r="36" spans="1:14" x14ac:dyDescent="0.3">
      <c r="A36" s="9"/>
      <c r="B36" s="68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1:14" s="21" customFormat="1" ht="28.8" x14ac:dyDescent="0.3">
      <c r="A37" s="12"/>
      <c r="B37" s="71" t="s">
        <v>55</v>
      </c>
      <c r="C37" s="47">
        <f>SUM(C28:C36)</f>
        <v>-1150000000</v>
      </c>
      <c r="D37" s="47">
        <f t="shared" ref="D37:M37" si="15">SUM(D28:D36)</f>
        <v>73440000</v>
      </c>
      <c r="E37" s="47">
        <f t="shared" si="15"/>
        <v>9640728.0000000596</v>
      </c>
      <c r="F37" s="47">
        <f t="shared" si="15"/>
        <v>3481158.2400000598</v>
      </c>
      <c r="G37" s="47">
        <f t="shared" si="15"/>
        <v>-638388841.69279993</v>
      </c>
      <c r="H37" s="47">
        <f t="shared" si="15"/>
        <v>-12978029.178863956</v>
      </c>
      <c r="I37" s="47">
        <f t="shared" si="15"/>
        <v>-24049258.655481875</v>
      </c>
      <c r="J37" s="47">
        <f t="shared" si="15"/>
        <v>-38182801.271870404</v>
      </c>
      <c r="K37" s="47">
        <f t="shared" si="15"/>
        <v>-55005377.852788441</v>
      </c>
      <c r="L37" s="47">
        <f t="shared" si="15"/>
        <v>-74953161.578680098</v>
      </c>
      <c r="M37" s="47">
        <f t="shared" si="15"/>
        <v>141014719.78458691</v>
      </c>
      <c r="N37" s="4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F98C8-67A3-4C80-84A0-7A09C45F5835}">
  <dimension ref="A1:W37"/>
  <sheetViews>
    <sheetView workbookViewId="0">
      <selection activeCell="B7" sqref="B7"/>
    </sheetView>
  </sheetViews>
  <sheetFormatPr defaultColWidth="8.77734375" defaultRowHeight="14.4" x14ac:dyDescent="0.3"/>
  <cols>
    <col min="1" max="1" width="5.88671875" style="8" bestFit="1" customWidth="1"/>
    <col min="2" max="2" width="17.77734375" style="8" bestFit="1" customWidth="1"/>
    <col min="3" max="3" width="17.5546875" style="10" customWidth="1"/>
    <col min="4" max="4" width="13.77734375" style="10" customWidth="1"/>
    <col min="5" max="5" width="14.5546875" style="10" customWidth="1"/>
    <col min="6" max="6" width="14" style="10" customWidth="1"/>
    <col min="7" max="7" width="14.21875" style="10" customWidth="1"/>
    <col min="8" max="8" width="13.88671875" style="10" customWidth="1"/>
    <col min="9" max="9" width="13.33203125" style="10" customWidth="1"/>
    <col min="10" max="10" width="13.21875" style="10" customWidth="1"/>
    <col min="11" max="11" width="12.88671875" style="10" customWidth="1"/>
    <col min="12" max="12" width="13.109375" style="10" customWidth="1"/>
    <col min="13" max="13" width="13.6640625" style="10" customWidth="1"/>
    <col min="14" max="14" width="13.5546875" style="10" customWidth="1"/>
    <col min="15" max="15" width="13.33203125" style="10" customWidth="1"/>
    <col min="16" max="16" width="14.5546875" style="10" customWidth="1"/>
    <col min="17" max="17" width="15.109375" style="10" customWidth="1"/>
    <col min="18" max="18" width="13.77734375" style="10" customWidth="1"/>
    <col min="19" max="19" width="13.109375" style="10" customWidth="1"/>
    <col min="20" max="20" width="15" style="10" customWidth="1"/>
    <col min="21" max="21" width="14.21875" style="10" customWidth="1"/>
    <col min="22" max="22" width="15.6640625" style="10" customWidth="1"/>
    <col min="23" max="23" width="15.33203125" style="10" customWidth="1"/>
    <col min="24" max="16384" width="8.77734375" style="10"/>
  </cols>
  <sheetData>
    <row r="1" spans="1:23" s="8" customFormat="1" x14ac:dyDescent="0.3">
      <c r="A1" s="7" t="s">
        <v>26</v>
      </c>
      <c r="H1" s="9">
        <v>2019</v>
      </c>
      <c r="I1" s="9" t="s">
        <v>3</v>
      </c>
      <c r="K1" s="10">
        <v>1000000</v>
      </c>
    </row>
    <row r="2" spans="1:23" s="8" customFormat="1" x14ac:dyDescent="0.3">
      <c r="B2" s="57" t="s">
        <v>20</v>
      </c>
      <c r="C2" s="9" t="s">
        <v>0</v>
      </c>
      <c r="D2" s="9" t="s">
        <v>1</v>
      </c>
      <c r="E2" s="9" t="s">
        <v>2</v>
      </c>
      <c r="H2" s="9">
        <v>2022</v>
      </c>
      <c r="I2" s="9" t="s">
        <v>4</v>
      </c>
    </row>
    <row r="3" spans="1:23" s="8" customFormat="1" x14ac:dyDescent="0.3">
      <c r="B3" s="57" t="s">
        <v>41</v>
      </c>
      <c r="C3" s="9" t="s">
        <v>5</v>
      </c>
      <c r="D3" s="9"/>
      <c r="E3" s="9"/>
    </row>
    <row r="4" spans="1:23" s="11" customFormat="1" x14ac:dyDescent="0.3">
      <c r="H4" s="12">
        <v>2022</v>
      </c>
      <c r="I4" s="13">
        <v>3.0000000000000001E-3</v>
      </c>
      <c r="J4" s="12" t="s">
        <v>9</v>
      </c>
      <c r="K4" s="12" t="s">
        <v>10</v>
      </c>
    </row>
    <row r="5" spans="1:23" s="8" customFormat="1" x14ac:dyDescent="0.3">
      <c r="B5" s="57" t="s">
        <v>38</v>
      </c>
      <c r="C5" s="14">
        <v>1.4999999999999999E-2</v>
      </c>
      <c r="E5" s="57" t="s">
        <v>43</v>
      </c>
      <c r="F5" s="57"/>
      <c r="H5" s="9" t="s">
        <v>7</v>
      </c>
      <c r="I5" s="15">
        <f>45*K1</f>
        <v>45000000</v>
      </c>
      <c r="J5" s="16">
        <v>0.05</v>
      </c>
      <c r="K5" s="16">
        <v>0.05</v>
      </c>
    </row>
    <row r="6" spans="1:23" s="8" customFormat="1" x14ac:dyDescent="0.3">
      <c r="E6" s="16">
        <v>0.65</v>
      </c>
      <c r="F6" s="15">
        <f>+I6</f>
        <v>30000000</v>
      </c>
      <c r="H6" s="9" t="s">
        <v>8</v>
      </c>
      <c r="I6" s="15">
        <f>30*K1</f>
        <v>30000000</v>
      </c>
      <c r="J6" s="16">
        <v>0.08</v>
      </c>
      <c r="K6" s="16">
        <v>0.1</v>
      </c>
    </row>
    <row r="7" spans="1:23" s="8" customFormat="1" x14ac:dyDescent="0.3">
      <c r="E7" s="16">
        <v>1</v>
      </c>
      <c r="F7" s="17">
        <f>F6/65*100</f>
        <v>46153846.15384616</v>
      </c>
      <c r="G7" s="18"/>
    </row>
    <row r="8" spans="1:23" s="8" customFormat="1" x14ac:dyDescent="0.3">
      <c r="B8" s="11"/>
      <c r="C8" s="11"/>
      <c r="I8" s="18"/>
    </row>
    <row r="9" spans="1:23" s="8" customFormat="1" x14ac:dyDescent="0.3">
      <c r="A9" s="9"/>
      <c r="B9" s="12" t="s">
        <v>46</v>
      </c>
      <c r="C9" s="12"/>
      <c r="D9" s="9"/>
      <c r="E9" s="9"/>
      <c r="F9" s="9"/>
      <c r="G9" s="9"/>
      <c r="H9" s="9"/>
      <c r="I9" s="15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11" customFormat="1" x14ac:dyDescent="0.3">
      <c r="A10" s="12"/>
      <c r="B10" s="44" t="s">
        <v>6</v>
      </c>
      <c r="C10" s="44" t="s">
        <v>28</v>
      </c>
      <c r="D10" s="44">
        <v>1</v>
      </c>
      <c r="E10" s="44">
        <v>2</v>
      </c>
      <c r="F10" s="44">
        <v>3</v>
      </c>
      <c r="G10" s="44">
        <v>4</v>
      </c>
      <c r="H10" s="44">
        <v>5</v>
      </c>
      <c r="I10" s="44">
        <v>6</v>
      </c>
      <c r="J10" s="44">
        <v>7</v>
      </c>
      <c r="K10" s="44">
        <v>8</v>
      </c>
      <c r="L10" s="44">
        <v>9</v>
      </c>
      <c r="M10" s="44">
        <v>10</v>
      </c>
      <c r="N10" s="44">
        <f>+M10+1</f>
        <v>11</v>
      </c>
      <c r="O10" s="44">
        <f t="shared" ref="O10:W10" si="0">+N10+1</f>
        <v>12</v>
      </c>
      <c r="P10" s="44">
        <f t="shared" si="0"/>
        <v>13</v>
      </c>
      <c r="Q10" s="44">
        <f t="shared" si="0"/>
        <v>14</v>
      </c>
      <c r="R10" s="44">
        <f t="shared" si="0"/>
        <v>15</v>
      </c>
      <c r="S10" s="44">
        <f t="shared" si="0"/>
        <v>16</v>
      </c>
      <c r="T10" s="44">
        <f t="shared" si="0"/>
        <v>17</v>
      </c>
      <c r="U10" s="44">
        <f t="shared" si="0"/>
        <v>18</v>
      </c>
      <c r="V10" s="44">
        <f t="shared" si="0"/>
        <v>19</v>
      </c>
      <c r="W10" s="44">
        <f t="shared" si="0"/>
        <v>20</v>
      </c>
    </row>
    <row r="11" spans="1:23" s="21" customFormat="1" x14ac:dyDescent="0.3">
      <c r="A11" s="12" t="s">
        <v>19</v>
      </c>
      <c r="B11" s="58" t="s">
        <v>40</v>
      </c>
      <c r="C11" s="46"/>
      <c r="D11" s="17">
        <f>5*K1</f>
        <v>5000000</v>
      </c>
      <c r="E11" s="17">
        <f>D11*108%</f>
        <v>5400000</v>
      </c>
      <c r="F11" s="17">
        <f t="shared" ref="F11:M11" si="1">E11*108%</f>
        <v>5832000</v>
      </c>
      <c r="G11" s="17">
        <f t="shared" si="1"/>
        <v>6298560</v>
      </c>
      <c r="H11" s="17">
        <f t="shared" si="1"/>
        <v>6802444.8000000007</v>
      </c>
      <c r="I11" s="17">
        <f t="shared" si="1"/>
        <v>7346640.3840000015</v>
      </c>
      <c r="J11" s="17">
        <f t="shared" si="1"/>
        <v>7934371.6147200018</v>
      </c>
      <c r="K11" s="17">
        <f t="shared" si="1"/>
        <v>8569121.3438976035</v>
      </c>
      <c r="L11" s="17">
        <f t="shared" si="1"/>
        <v>9254651.0514094122</v>
      </c>
      <c r="M11" s="17">
        <f t="shared" si="1"/>
        <v>9995023.1355221663</v>
      </c>
      <c r="N11" s="17">
        <f t="shared" ref="N11" si="2">M11*108%</f>
        <v>10794624.98636394</v>
      </c>
      <c r="O11" s="17">
        <f t="shared" ref="O11" si="3">N11*108%</f>
        <v>11658194.985273056</v>
      </c>
      <c r="P11" s="17">
        <f t="shared" ref="P11" si="4">O11*108%</f>
        <v>12590850.584094901</v>
      </c>
      <c r="Q11" s="17">
        <f t="shared" ref="Q11" si="5">P11*108%</f>
        <v>13598118.630822493</v>
      </c>
      <c r="R11" s="17">
        <f t="shared" ref="R11" si="6">Q11*108%</f>
        <v>14685968.121288294</v>
      </c>
      <c r="S11" s="17">
        <f t="shared" ref="S11" si="7">R11*108%</f>
        <v>15860845.570991358</v>
      </c>
      <c r="T11" s="17">
        <f t="shared" ref="T11" si="8">S11*108%</f>
        <v>17129713.216670666</v>
      </c>
      <c r="U11" s="17">
        <f t="shared" ref="U11" si="9">T11*108%</f>
        <v>18500090.274004322</v>
      </c>
      <c r="V11" s="17">
        <f t="shared" ref="V11" si="10">U11*108%</f>
        <v>19980097.49592467</v>
      </c>
      <c r="W11" s="17">
        <f t="shared" ref="W11" si="11">V11*108%</f>
        <v>21578505.295598645</v>
      </c>
    </row>
    <row r="12" spans="1:23" s="22" customFormat="1" x14ac:dyDescent="0.3">
      <c r="A12" s="9"/>
      <c r="B12" s="57" t="s">
        <v>11</v>
      </c>
      <c r="C12" s="17">
        <f>150*K1</f>
        <v>150000000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3" x14ac:dyDescent="0.3">
      <c r="A13" s="9"/>
      <c r="B13" s="57" t="s">
        <v>42</v>
      </c>
      <c r="C13" s="17">
        <v>1000000000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1:23" x14ac:dyDescent="0.3">
      <c r="A14" s="9"/>
      <c r="B14" s="59" t="s">
        <v>16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spans="1:23" x14ac:dyDescent="0.3">
      <c r="A15" s="9"/>
      <c r="B15" s="57" t="s">
        <v>36</v>
      </c>
      <c r="C15" s="17"/>
      <c r="D15" s="17">
        <f>D11*(48*60%)*101.5%</f>
        <v>146160000</v>
      </c>
      <c r="E15" s="17">
        <f>E11*(48*60%)*101.5%</f>
        <v>157852799.99999994</v>
      </c>
      <c r="F15" s="17">
        <f t="shared" ref="F15:W15" si="12">F11*(48*60%)*101.5%</f>
        <v>170481023.99999994</v>
      </c>
      <c r="G15" s="17">
        <f t="shared" si="12"/>
        <v>184119505.91999996</v>
      </c>
      <c r="H15" s="17">
        <f t="shared" si="12"/>
        <v>198849066.39359999</v>
      </c>
      <c r="I15" s="17">
        <f t="shared" si="12"/>
        <v>214756991.70508799</v>
      </c>
      <c r="J15" s="17">
        <f t="shared" si="12"/>
        <v>231937551.04149505</v>
      </c>
      <c r="K15" s="17">
        <f t="shared" si="12"/>
        <v>250492555.12481469</v>
      </c>
      <c r="L15" s="17">
        <f t="shared" si="12"/>
        <v>270531959.53479987</v>
      </c>
      <c r="M15" s="17">
        <f t="shared" si="12"/>
        <v>292174516.29758388</v>
      </c>
      <c r="N15" s="17">
        <f t="shared" si="12"/>
        <v>315548477.60139066</v>
      </c>
      <c r="O15" s="17">
        <f t="shared" si="12"/>
        <v>340792355.80950189</v>
      </c>
      <c r="P15" s="17">
        <f t="shared" si="12"/>
        <v>368055744.27426207</v>
      </c>
      <c r="Q15" s="17">
        <f t="shared" si="12"/>
        <v>397500203.816203</v>
      </c>
      <c r="R15" s="17">
        <f t="shared" si="12"/>
        <v>429300220.1214993</v>
      </c>
      <c r="S15" s="17">
        <f t="shared" si="12"/>
        <v>463644237.73121929</v>
      </c>
      <c r="T15" s="17">
        <f t="shared" si="12"/>
        <v>500735776.74971682</v>
      </c>
      <c r="U15" s="17">
        <f t="shared" si="12"/>
        <v>540794638.88969421</v>
      </c>
      <c r="V15" s="17">
        <f t="shared" si="12"/>
        <v>584058210.00086987</v>
      </c>
      <c r="W15" s="17">
        <f t="shared" si="12"/>
        <v>630782866.80093944</v>
      </c>
    </row>
    <row r="16" spans="1:23" x14ac:dyDescent="0.3">
      <c r="A16" s="9"/>
      <c r="B16" s="57" t="s">
        <v>25</v>
      </c>
      <c r="C16" s="17"/>
      <c r="D16" s="17"/>
      <c r="E16" s="17"/>
      <c r="F16" s="17"/>
      <c r="G16" s="17">
        <f>+'Incremental CFs (2)'!G16</f>
        <v>636000000</v>
      </c>
      <c r="H16" s="17"/>
      <c r="I16" s="17"/>
      <c r="J16" s="17"/>
      <c r="K16" s="17"/>
      <c r="L16" s="17"/>
      <c r="M16" s="17"/>
      <c r="N16" s="17"/>
      <c r="O16" s="17"/>
      <c r="P16" s="17"/>
      <c r="Q16" s="17">
        <f>600000000*(1.5%*14)+G16</f>
        <v>762000000</v>
      </c>
      <c r="R16" s="17"/>
      <c r="S16" s="17"/>
      <c r="T16" s="17"/>
      <c r="U16" s="17"/>
      <c r="V16" s="17"/>
      <c r="W16" s="17"/>
    </row>
    <row r="17" spans="1:23" x14ac:dyDescent="0.3">
      <c r="A17" s="9"/>
      <c r="B17" s="57" t="s">
        <v>27</v>
      </c>
      <c r="C17" s="17"/>
      <c r="D17" s="17">
        <f>40*K1</f>
        <v>40000000</v>
      </c>
      <c r="E17" s="17">
        <f>D17*110%</f>
        <v>44000000</v>
      </c>
      <c r="F17" s="17">
        <f t="shared" ref="F17:M17" si="13">E17*110%</f>
        <v>48400000.000000007</v>
      </c>
      <c r="G17" s="17">
        <f t="shared" si="13"/>
        <v>53240000.000000015</v>
      </c>
      <c r="H17" s="17">
        <f t="shared" si="13"/>
        <v>58564000.000000022</v>
      </c>
      <c r="I17" s="17">
        <f t="shared" si="13"/>
        <v>64420400.00000003</v>
      </c>
      <c r="J17" s="17">
        <f t="shared" si="13"/>
        <v>70862440.000000045</v>
      </c>
      <c r="K17" s="17">
        <f t="shared" si="13"/>
        <v>77948684.00000006</v>
      </c>
      <c r="L17" s="17">
        <f t="shared" si="13"/>
        <v>85743552.400000066</v>
      </c>
      <c r="M17" s="17">
        <f t="shared" si="13"/>
        <v>94317907.640000075</v>
      </c>
      <c r="N17" s="17">
        <f t="shared" ref="N17" si="14">M17*110%</f>
        <v>103749698.40400009</v>
      </c>
      <c r="O17" s="17">
        <f t="shared" ref="O17" si="15">N17*110%</f>
        <v>114124668.24440011</v>
      </c>
      <c r="P17" s="17">
        <f t="shared" ref="P17" si="16">O17*110%</f>
        <v>125537135.06884013</v>
      </c>
      <c r="Q17" s="17">
        <f t="shared" ref="Q17" si="17">P17*110%</f>
        <v>138090848.57572415</v>
      </c>
      <c r="R17" s="17">
        <f t="shared" ref="R17" si="18">Q17*110%</f>
        <v>151899933.43329659</v>
      </c>
      <c r="S17" s="17">
        <f t="shared" ref="S17" si="19">R17*110%</f>
        <v>167089926.77662626</v>
      </c>
      <c r="T17" s="17">
        <f t="shared" ref="T17" si="20">S17*110%</f>
        <v>183798919.4542889</v>
      </c>
      <c r="U17" s="17">
        <f t="shared" ref="U17" si="21">T17*110%</f>
        <v>202178811.39971781</v>
      </c>
      <c r="V17" s="17">
        <f t="shared" ref="V17" si="22">U17*110%</f>
        <v>222396692.5396896</v>
      </c>
      <c r="W17" s="17">
        <f t="shared" ref="W17" si="23">V17*110%</f>
        <v>244636361.79365858</v>
      </c>
    </row>
    <row r="18" spans="1:23" s="24" customFormat="1" x14ac:dyDescent="0.3">
      <c r="A18" s="45"/>
      <c r="B18" s="58" t="s">
        <v>29</v>
      </c>
      <c r="C18" s="48"/>
      <c r="D18" s="48">
        <v>0</v>
      </c>
      <c r="E18" s="48">
        <f>(500*K1*120%)-(500*K1*105%)</f>
        <v>75000000</v>
      </c>
      <c r="F18" s="48">
        <f t="shared" ref="F18:M18" si="24">E18*115%</f>
        <v>86250000</v>
      </c>
      <c r="G18" s="48">
        <f t="shared" si="24"/>
        <v>99187499.999999985</v>
      </c>
      <c r="H18" s="48">
        <f t="shared" si="24"/>
        <v>114065624.99999997</v>
      </c>
      <c r="I18" s="48">
        <f t="shared" si="24"/>
        <v>131175468.74999996</v>
      </c>
      <c r="J18" s="48">
        <f t="shared" si="24"/>
        <v>150851789.06249994</v>
      </c>
      <c r="K18" s="48">
        <f t="shared" si="24"/>
        <v>173479557.42187491</v>
      </c>
      <c r="L18" s="48">
        <f t="shared" si="24"/>
        <v>199501491.03515613</v>
      </c>
      <c r="M18" s="48">
        <f t="shared" si="24"/>
        <v>229426714.69042954</v>
      </c>
      <c r="N18" s="48"/>
      <c r="O18" s="48"/>
      <c r="P18" s="48"/>
      <c r="Q18" s="48"/>
      <c r="R18" s="48"/>
      <c r="S18" s="48"/>
      <c r="T18" s="48"/>
      <c r="U18" s="48"/>
      <c r="V18" s="48"/>
      <c r="W18" s="48"/>
    </row>
    <row r="19" spans="1:23" x14ac:dyDescent="0.3">
      <c r="A19" s="9"/>
      <c r="B19" s="5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spans="1:23" s="22" customFormat="1" x14ac:dyDescent="0.3">
      <c r="A20" s="9"/>
      <c r="B20" s="57" t="s">
        <v>13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spans="1:23" s="21" customFormat="1" x14ac:dyDescent="0.3">
      <c r="A21" s="12"/>
      <c r="B21" s="60" t="s">
        <v>14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>
        <f>200*K1</f>
        <v>200000000</v>
      </c>
    </row>
    <row r="22" spans="1:23" x14ac:dyDescent="0.3">
      <c r="A22" s="9"/>
      <c r="B22" s="57" t="s">
        <v>23</v>
      </c>
      <c r="C22" s="50"/>
      <c r="D22" s="17">
        <f t="shared" ref="D22" si="25">D11*50</f>
        <v>250000000</v>
      </c>
      <c r="E22" s="17">
        <f>E11*50*101.5%</f>
        <v>274050000</v>
      </c>
      <c r="F22" s="17">
        <f t="shared" ref="F22:W22" si="26">F11*50*101.5%</f>
        <v>295974000</v>
      </c>
      <c r="G22" s="17">
        <f t="shared" si="26"/>
        <v>319651919.99999994</v>
      </c>
      <c r="H22" s="17">
        <f t="shared" si="26"/>
        <v>345224073.60000002</v>
      </c>
      <c r="I22" s="17">
        <f t="shared" si="26"/>
        <v>372841999.48800004</v>
      </c>
      <c r="J22" s="17">
        <f t="shared" si="26"/>
        <v>402669359.44704002</v>
      </c>
      <c r="K22" s="17">
        <f t="shared" si="26"/>
        <v>434882908.20280337</v>
      </c>
      <c r="L22" s="17">
        <f t="shared" si="26"/>
        <v>469673540.85902762</v>
      </c>
      <c r="M22" s="17">
        <f t="shared" si="26"/>
        <v>507247424.12774992</v>
      </c>
      <c r="N22" s="17">
        <f t="shared" si="26"/>
        <v>547827218.05796993</v>
      </c>
      <c r="O22" s="17">
        <f t="shared" si="26"/>
        <v>591653395.50260758</v>
      </c>
      <c r="P22" s="17">
        <f t="shared" si="26"/>
        <v>638985667.14281619</v>
      </c>
      <c r="Q22" s="17">
        <f t="shared" si="26"/>
        <v>690104520.51424134</v>
      </c>
      <c r="R22" s="17">
        <f t="shared" si="26"/>
        <v>745312882.15538085</v>
      </c>
      <c r="S22" s="17">
        <f t="shared" si="26"/>
        <v>804937912.72781134</v>
      </c>
      <c r="T22" s="17">
        <f t="shared" si="26"/>
        <v>869332945.74603617</v>
      </c>
      <c r="U22" s="17">
        <f t="shared" si="26"/>
        <v>938879581.40571916</v>
      </c>
      <c r="V22" s="17">
        <f t="shared" si="26"/>
        <v>1013989947.9181769</v>
      </c>
      <c r="W22" s="17">
        <f t="shared" si="26"/>
        <v>1095109143.751631</v>
      </c>
    </row>
    <row r="23" spans="1:23" x14ac:dyDescent="0.3">
      <c r="A23" s="9"/>
      <c r="B23" s="57" t="s">
        <v>37</v>
      </c>
      <c r="C23" s="17"/>
      <c r="D23" s="17">
        <f>30*K1</f>
        <v>30000000</v>
      </c>
      <c r="E23" s="17">
        <f>D23*103%</f>
        <v>30900000</v>
      </c>
      <c r="F23" s="17">
        <f t="shared" ref="F23:M23" si="27">E23*103%</f>
        <v>31827000</v>
      </c>
      <c r="G23" s="17">
        <f t="shared" si="27"/>
        <v>32781810</v>
      </c>
      <c r="H23" s="17">
        <f t="shared" si="27"/>
        <v>33765264.300000004</v>
      </c>
      <c r="I23" s="17">
        <f t="shared" si="27"/>
        <v>34778222.229000002</v>
      </c>
      <c r="J23" s="17">
        <f t="shared" si="27"/>
        <v>35821568.89587</v>
      </c>
      <c r="K23" s="17">
        <f t="shared" si="27"/>
        <v>36896215.962746099</v>
      </c>
      <c r="L23" s="17">
        <f t="shared" si="27"/>
        <v>38003102.441628486</v>
      </c>
      <c r="M23" s="17">
        <f t="shared" si="27"/>
        <v>39143195.514877342</v>
      </c>
      <c r="N23" s="17">
        <f t="shared" ref="N23" si="28">M23*103%</f>
        <v>40317491.380323663</v>
      </c>
      <c r="O23" s="17">
        <f t="shared" ref="O23" si="29">N23*103%</f>
        <v>41527016.121733375</v>
      </c>
      <c r="P23" s="17">
        <f t="shared" ref="P23" si="30">O23*103%</f>
        <v>42772826.605385378</v>
      </c>
      <c r="Q23" s="17">
        <f t="shared" ref="Q23" si="31">P23*103%</f>
        <v>44056011.403546937</v>
      </c>
      <c r="R23" s="17">
        <f t="shared" ref="R23" si="32">Q23*103%</f>
        <v>45377691.745653346</v>
      </c>
      <c r="S23" s="17">
        <f t="shared" ref="S23" si="33">R23*103%</f>
        <v>46739022.498022951</v>
      </c>
      <c r="T23" s="17">
        <f t="shared" ref="T23" si="34">S23*103%</f>
        <v>48141193.172963642</v>
      </c>
      <c r="U23" s="17">
        <f t="shared" ref="U23" si="35">T23*103%</f>
        <v>49585428.968152553</v>
      </c>
      <c r="V23" s="17">
        <f t="shared" ref="V23" si="36">U23*103%</f>
        <v>51072991.837197132</v>
      </c>
      <c r="W23" s="17">
        <f t="shared" ref="W23" si="37">V23*103%</f>
        <v>52605181.592313051</v>
      </c>
    </row>
    <row r="24" spans="1:23" x14ac:dyDescent="0.3">
      <c r="A24" s="9"/>
      <c r="B24" s="5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s="21" customFormat="1" ht="28.8" x14ac:dyDescent="0.3">
      <c r="A25" s="12"/>
      <c r="B25" s="61" t="s">
        <v>47</v>
      </c>
      <c r="C25" s="47">
        <f t="shared" ref="C25:M25" si="38">SUM(C20:C23)-SUM(C12:C18)</f>
        <v>-1150000000</v>
      </c>
      <c r="D25" s="47">
        <f t="shared" si="38"/>
        <v>93840000</v>
      </c>
      <c r="E25" s="47">
        <f t="shared" si="38"/>
        <v>28097200.00000006</v>
      </c>
      <c r="F25" s="47">
        <f t="shared" si="38"/>
        <v>22669976.00000006</v>
      </c>
      <c r="G25" s="47">
        <f t="shared" si="38"/>
        <v>-620113275.92000008</v>
      </c>
      <c r="H25" s="47">
        <f t="shared" si="38"/>
        <v>7510646.5064000487</v>
      </c>
      <c r="I25" s="47">
        <f t="shared" si="38"/>
        <v>-2732638.7380879521</v>
      </c>
      <c r="J25" s="47">
        <f t="shared" si="38"/>
        <v>-15160851.761084974</v>
      </c>
      <c r="K25" s="47">
        <f t="shared" si="38"/>
        <v>-30141672.381140172</v>
      </c>
      <c r="L25" s="47">
        <f t="shared" si="38"/>
        <v>-48100359.66929996</v>
      </c>
      <c r="M25" s="47">
        <f t="shared" si="38"/>
        <v>-69528518.985386252</v>
      </c>
      <c r="N25" s="47">
        <f t="shared" ref="N25:W25" si="39">SUM(N20:N23)-SUM(N12:N18)</f>
        <v>168846533.43290281</v>
      </c>
      <c r="O25" s="47">
        <f t="shared" si="39"/>
        <v>178263387.57043898</v>
      </c>
      <c r="P25" s="47">
        <f t="shared" si="39"/>
        <v>188165614.40509939</v>
      </c>
      <c r="Q25" s="47">
        <f t="shared" si="39"/>
        <v>-563430520.47413898</v>
      </c>
      <c r="R25" s="47">
        <f t="shared" si="39"/>
        <v>209490420.34623837</v>
      </c>
      <c r="S25" s="47">
        <f t="shared" si="39"/>
        <v>220942770.71798873</v>
      </c>
      <c r="T25" s="47">
        <f t="shared" si="39"/>
        <v>232939442.71499407</v>
      </c>
      <c r="U25" s="47">
        <f t="shared" si="39"/>
        <v>245491560.08445966</v>
      </c>
      <c r="V25" s="47">
        <f t="shared" si="39"/>
        <v>258608037.21481454</v>
      </c>
      <c r="W25" s="47">
        <f t="shared" si="39"/>
        <v>472295096.74934602</v>
      </c>
    </row>
    <row r="26" spans="1:23" x14ac:dyDescent="0.3">
      <c r="A26" s="9"/>
      <c r="B26" s="57" t="s">
        <v>39</v>
      </c>
      <c r="C26" s="17"/>
      <c r="D26" s="17">
        <f>D25*10%</f>
        <v>9384000</v>
      </c>
      <c r="E26" s="17">
        <f t="shared" ref="E26:W26" si="40">E25*10%</f>
        <v>2809720.0000000061</v>
      </c>
      <c r="F26" s="17">
        <f t="shared" si="40"/>
        <v>2266997.6000000061</v>
      </c>
      <c r="G26" s="17"/>
      <c r="H26" s="17">
        <f t="shared" si="40"/>
        <v>751064.6506400049</v>
      </c>
      <c r="I26" s="17"/>
      <c r="J26" s="17"/>
      <c r="K26" s="17"/>
      <c r="L26" s="17"/>
      <c r="M26" s="17"/>
      <c r="N26" s="17">
        <f t="shared" si="40"/>
        <v>16884653.343290281</v>
      </c>
      <c r="O26" s="17">
        <f t="shared" si="40"/>
        <v>17826338.757043898</v>
      </c>
      <c r="P26" s="17">
        <f t="shared" si="40"/>
        <v>18816561.440509941</v>
      </c>
      <c r="Q26" s="17"/>
      <c r="R26" s="17">
        <f t="shared" si="40"/>
        <v>20949042.034623839</v>
      </c>
      <c r="S26" s="17">
        <f t="shared" si="40"/>
        <v>22094277.071798876</v>
      </c>
      <c r="T26" s="17">
        <f t="shared" si="40"/>
        <v>23293944.27149941</v>
      </c>
      <c r="U26" s="17">
        <f t="shared" si="40"/>
        <v>24549156.008445967</v>
      </c>
      <c r="V26" s="17">
        <f t="shared" si="40"/>
        <v>25860803.721481457</v>
      </c>
      <c r="W26" s="17">
        <f t="shared" si="40"/>
        <v>47229509.674934603</v>
      </c>
    </row>
    <row r="27" spans="1:23" x14ac:dyDescent="0.3">
      <c r="A27" s="9"/>
      <c r="B27" s="5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</row>
    <row r="28" spans="1:23" s="21" customFormat="1" ht="28.8" x14ac:dyDescent="0.3">
      <c r="A28" s="12"/>
      <c r="B28" s="61" t="s">
        <v>48</v>
      </c>
      <c r="C28" s="47">
        <f t="shared" ref="C28:M28" si="41">SUM(C21:C23)-SUM(C12:C18)-C26</f>
        <v>-1150000000</v>
      </c>
      <c r="D28" s="47">
        <f t="shared" si="41"/>
        <v>84456000</v>
      </c>
      <c r="E28" s="47">
        <f t="shared" si="41"/>
        <v>25287480.000000052</v>
      </c>
      <c r="F28" s="47">
        <f t="shared" si="41"/>
        <v>20402978.400000054</v>
      </c>
      <c r="G28" s="47">
        <f t="shared" si="41"/>
        <v>-620113275.92000008</v>
      </c>
      <c r="H28" s="47">
        <f t="shared" si="41"/>
        <v>6759581.8557600435</v>
      </c>
      <c r="I28" s="47">
        <f t="shared" si="41"/>
        <v>-2732638.7380879521</v>
      </c>
      <c r="J28" s="47">
        <f t="shared" si="41"/>
        <v>-15160851.761084974</v>
      </c>
      <c r="K28" s="47">
        <f t="shared" si="41"/>
        <v>-30141672.381140172</v>
      </c>
      <c r="L28" s="47">
        <f t="shared" si="41"/>
        <v>-48100359.66929996</v>
      </c>
      <c r="M28" s="47">
        <f t="shared" si="41"/>
        <v>-69528518.985386252</v>
      </c>
      <c r="N28" s="47">
        <f t="shared" ref="N28:W28" si="42">SUM(N21:N23)-SUM(N12:N18)-N26</f>
        <v>151961880.08961254</v>
      </c>
      <c r="O28" s="47">
        <f t="shared" si="42"/>
        <v>160437048.81339508</v>
      </c>
      <c r="P28" s="47">
        <f t="shared" si="42"/>
        <v>169349052.96458945</v>
      </c>
      <c r="Q28" s="47">
        <f t="shared" si="42"/>
        <v>-563430520.47413898</v>
      </c>
      <c r="R28" s="47">
        <f t="shared" si="42"/>
        <v>188541378.31161454</v>
      </c>
      <c r="S28" s="47">
        <f t="shared" si="42"/>
        <v>198848493.64618987</v>
      </c>
      <c r="T28" s="47">
        <f t="shared" si="42"/>
        <v>209645498.44349468</v>
      </c>
      <c r="U28" s="47">
        <f t="shared" si="42"/>
        <v>220942404.07601368</v>
      </c>
      <c r="V28" s="47">
        <f t="shared" si="42"/>
        <v>232747233.4933331</v>
      </c>
      <c r="W28" s="47">
        <f t="shared" si="42"/>
        <v>425065587.07441139</v>
      </c>
    </row>
    <row r="29" spans="1:23" x14ac:dyDescent="0.3">
      <c r="A29" s="9"/>
      <c r="B29" s="5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</row>
    <row r="30" spans="1:23" x14ac:dyDescent="0.3">
      <c r="A30" s="9"/>
      <c r="B30" s="60" t="s">
        <v>49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</row>
    <row r="31" spans="1:23" x14ac:dyDescent="0.3">
      <c r="A31" s="9"/>
      <c r="B31" s="57" t="s">
        <v>51</v>
      </c>
      <c r="C31" s="17"/>
      <c r="D31" s="17">
        <f t="shared" ref="D31:M31" si="43">-D15*5%</f>
        <v>-7308000</v>
      </c>
      <c r="E31" s="17">
        <f t="shared" si="43"/>
        <v>-7892639.9999999972</v>
      </c>
      <c r="F31" s="17">
        <f t="shared" si="43"/>
        <v>-8524051.1999999974</v>
      </c>
      <c r="G31" s="17">
        <f t="shared" si="43"/>
        <v>-9205975.2959999982</v>
      </c>
      <c r="H31" s="17">
        <f t="shared" si="43"/>
        <v>-9942453.3196799997</v>
      </c>
      <c r="I31" s="17">
        <f t="shared" si="43"/>
        <v>-10737849.585254401</v>
      </c>
      <c r="J31" s="17">
        <f t="shared" si="43"/>
        <v>-11596877.552074753</v>
      </c>
      <c r="K31" s="17">
        <f t="shared" si="43"/>
        <v>-12524627.756240735</v>
      </c>
      <c r="L31" s="17">
        <f t="shared" si="43"/>
        <v>-13526597.976739995</v>
      </c>
      <c r="M31" s="17">
        <f t="shared" si="43"/>
        <v>-14608725.814879194</v>
      </c>
      <c r="N31" s="17">
        <f t="shared" ref="N31:W31" si="44">-N15*5%</f>
        <v>-15777423.880069533</v>
      </c>
      <c r="O31" s="17">
        <f t="shared" si="44"/>
        <v>-17039617.790475097</v>
      </c>
      <c r="P31" s="17">
        <f t="shared" si="44"/>
        <v>-18402787.213713106</v>
      </c>
      <c r="Q31" s="17">
        <f t="shared" si="44"/>
        <v>-19875010.190810151</v>
      </c>
      <c r="R31" s="17">
        <f t="shared" si="44"/>
        <v>-21465011.006074965</v>
      </c>
      <c r="S31" s="17">
        <f t="shared" si="44"/>
        <v>-23182211.886560965</v>
      </c>
      <c r="T31" s="17">
        <f t="shared" si="44"/>
        <v>-25036788.837485842</v>
      </c>
      <c r="U31" s="17">
        <f t="shared" si="44"/>
        <v>-27039731.944484711</v>
      </c>
      <c r="V31" s="17">
        <f t="shared" si="44"/>
        <v>-29202910.500043496</v>
      </c>
      <c r="W31" s="17">
        <f t="shared" si="44"/>
        <v>-31539143.340046972</v>
      </c>
    </row>
    <row r="32" spans="1:23" x14ac:dyDescent="0.3">
      <c r="A32" s="9"/>
      <c r="B32" s="57" t="s">
        <v>52</v>
      </c>
      <c r="C32" s="17"/>
      <c r="D32" s="17">
        <v>0</v>
      </c>
      <c r="E32" s="17">
        <f>-D31</f>
        <v>7308000</v>
      </c>
      <c r="F32" s="17">
        <f t="shared" ref="F32:W32" si="45">-E31</f>
        <v>7892639.9999999972</v>
      </c>
      <c r="G32" s="17">
        <f t="shared" si="45"/>
        <v>8524051.1999999974</v>
      </c>
      <c r="H32" s="17">
        <f t="shared" si="45"/>
        <v>9205975.2959999982</v>
      </c>
      <c r="I32" s="17">
        <f t="shared" si="45"/>
        <v>9942453.3196799997</v>
      </c>
      <c r="J32" s="17">
        <f t="shared" si="45"/>
        <v>10737849.585254401</v>
      </c>
      <c r="K32" s="17">
        <f t="shared" si="45"/>
        <v>11596877.552074753</v>
      </c>
      <c r="L32" s="17">
        <f t="shared" si="45"/>
        <v>12524627.756240735</v>
      </c>
      <c r="M32" s="17">
        <f t="shared" si="45"/>
        <v>13526597.976739995</v>
      </c>
      <c r="N32" s="17">
        <f t="shared" si="45"/>
        <v>14608725.814879194</v>
      </c>
      <c r="O32" s="17">
        <f t="shared" si="45"/>
        <v>15777423.880069533</v>
      </c>
      <c r="P32" s="17">
        <f t="shared" si="45"/>
        <v>17039617.790475097</v>
      </c>
      <c r="Q32" s="17">
        <f t="shared" si="45"/>
        <v>18402787.213713106</v>
      </c>
      <c r="R32" s="17">
        <f t="shared" si="45"/>
        <v>19875010.190810151</v>
      </c>
      <c r="S32" s="17">
        <f t="shared" si="45"/>
        <v>21465011.006074965</v>
      </c>
      <c r="T32" s="17">
        <f t="shared" si="45"/>
        <v>23182211.886560965</v>
      </c>
      <c r="U32" s="17">
        <f t="shared" si="45"/>
        <v>25036788.837485842</v>
      </c>
      <c r="V32" s="17">
        <f t="shared" si="45"/>
        <v>27039731.944484711</v>
      </c>
      <c r="W32" s="17">
        <f t="shared" si="45"/>
        <v>29202910.500043496</v>
      </c>
    </row>
    <row r="33" spans="1:23" x14ac:dyDescent="0.3">
      <c r="A33" s="9"/>
      <c r="B33" s="57" t="s">
        <v>50</v>
      </c>
      <c r="C33" s="17"/>
      <c r="D33" s="17">
        <f t="shared" ref="D33:M33" si="46">-D15*10%</f>
        <v>-14616000</v>
      </c>
      <c r="E33" s="17">
        <f t="shared" si="46"/>
        <v>-15785279.999999994</v>
      </c>
      <c r="F33" s="17">
        <f t="shared" si="46"/>
        <v>-17048102.399999995</v>
      </c>
      <c r="G33" s="17">
        <f t="shared" si="46"/>
        <v>-18411950.591999996</v>
      </c>
      <c r="H33" s="17">
        <f t="shared" si="46"/>
        <v>-19884906.639359999</v>
      </c>
      <c r="I33" s="17">
        <f t="shared" si="46"/>
        <v>-21475699.170508802</v>
      </c>
      <c r="J33" s="17">
        <f t="shared" si="46"/>
        <v>-23193755.104149505</v>
      </c>
      <c r="K33" s="17">
        <f t="shared" si="46"/>
        <v>-25049255.51248147</v>
      </c>
      <c r="L33" s="17">
        <f t="shared" si="46"/>
        <v>-27053195.95347999</v>
      </c>
      <c r="M33" s="17">
        <f t="shared" si="46"/>
        <v>-29217451.629758388</v>
      </c>
      <c r="N33" s="17">
        <f t="shared" ref="N33:W33" si="47">-N15*10%</f>
        <v>-31554847.760139067</v>
      </c>
      <c r="O33" s="17">
        <f t="shared" si="47"/>
        <v>-34079235.580950193</v>
      </c>
      <c r="P33" s="17">
        <f t="shared" si="47"/>
        <v>-36805574.427426212</v>
      </c>
      <c r="Q33" s="17">
        <f t="shared" si="47"/>
        <v>-39750020.381620303</v>
      </c>
      <c r="R33" s="17">
        <f t="shared" si="47"/>
        <v>-42930022.01214993</v>
      </c>
      <c r="S33" s="17">
        <f t="shared" si="47"/>
        <v>-46364423.773121931</v>
      </c>
      <c r="T33" s="17">
        <f t="shared" si="47"/>
        <v>-50073577.674971685</v>
      </c>
      <c r="U33" s="17">
        <f t="shared" si="47"/>
        <v>-54079463.888969421</v>
      </c>
      <c r="V33" s="17">
        <f t="shared" si="47"/>
        <v>-58405821.000086993</v>
      </c>
      <c r="W33" s="17">
        <f t="shared" si="47"/>
        <v>-63078286.680093944</v>
      </c>
    </row>
    <row r="34" spans="1:23" x14ac:dyDescent="0.3">
      <c r="A34" s="9"/>
      <c r="B34" s="57" t="s">
        <v>53</v>
      </c>
      <c r="C34" s="17"/>
      <c r="D34" s="17">
        <f t="shared" ref="D34:M34" si="48">+D15*6%</f>
        <v>8769600</v>
      </c>
      <c r="E34" s="17">
        <f t="shared" si="48"/>
        <v>9471167.9999999963</v>
      </c>
      <c r="F34" s="17">
        <f t="shared" si="48"/>
        <v>10228861.439999996</v>
      </c>
      <c r="G34" s="17">
        <f t="shared" si="48"/>
        <v>11047170.355199996</v>
      </c>
      <c r="H34" s="17">
        <f t="shared" si="48"/>
        <v>11930943.983615998</v>
      </c>
      <c r="I34" s="17">
        <f t="shared" si="48"/>
        <v>12885419.502305279</v>
      </c>
      <c r="J34" s="17">
        <f t="shared" si="48"/>
        <v>13916253.062489703</v>
      </c>
      <c r="K34" s="17">
        <f t="shared" si="48"/>
        <v>15029553.307488881</v>
      </c>
      <c r="L34" s="17">
        <f t="shared" si="48"/>
        <v>16231917.572087992</v>
      </c>
      <c r="M34" s="17">
        <f t="shared" si="48"/>
        <v>17530470.97785503</v>
      </c>
      <c r="N34" s="17">
        <f t="shared" ref="N34:W34" si="49">+N15*6%</f>
        <v>18932908.656083439</v>
      </c>
      <c r="O34" s="17">
        <f t="shared" si="49"/>
        <v>20447541.348570112</v>
      </c>
      <c r="P34" s="17">
        <f t="shared" si="49"/>
        <v>22083344.656455722</v>
      </c>
      <c r="Q34" s="17">
        <f t="shared" si="49"/>
        <v>23850012.228972178</v>
      </c>
      <c r="R34" s="17">
        <f t="shared" si="49"/>
        <v>25758013.207289957</v>
      </c>
      <c r="S34" s="17">
        <f t="shared" si="49"/>
        <v>27818654.263873156</v>
      </c>
      <c r="T34" s="17">
        <f t="shared" si="49"/>
        <v>30044146.604983009</v>
      </c>
      <c r="U34" s="17">
        <f t="shared" si="49"/>
        <v>32447678.333381653</v>
      </c>
      <c r="V34" s="17">
        <f t="shared" si="49"/>
        <v>35043492.600052193</v>
      </c>
      <c r="W34" s="17">
        <f t="shared" si="49"/>
        <v>37846972.008056365</v>
      </c>
    </row>
    <row r="35" spans="1:23" x14ac:dyDescent="0.3">
      <c r="A35" s="9"/>
      <c r="B35" s="57" t="s">
        <v>54</v>
      </c>
      <c r="C35" s="17"/>
      <c r="D35" s="17"/>
      <c r="E35" s="17">
        <f>-D34</f>
        <v>-8769600</v>
      </c>
      <c r="F35" s="17">
        <f t="shared" ref="F35:W35" si="50">-E34</f>
        <v>-9471167.9999999963</v>
      </c>
      <c r="G35" s="17">
        <f t="shared" si="50"/>
        <v>-10228861.439999996</v>
      </c>
      <c r="H35" s="17">
        <f t="shared" si="50"/>
        <v>-11047170.355199996</v>
      </c>
      <c r="I35" s="17">
        <f t="shared" si="50"/>
        <v>-11930943.983615998</v>
      </c>
      <c r="J35" s="17">
        <f t="shared" si="50"/>
        <v>-12885419.502305279</v>
      </c>
      <c r="K35" s="17">
        <f t="shared" si="50"/>
        <v>-13916253.062489703</v>
      </c>
      <c r="L35" s="17">
        <f t="shared" si="50"/>
        <v>-15029553.307488881</v>
      </c>
      <c r="M35" s="17">
        <f t="shared" si="50"/>
        <v>-16231917.572087992</v>
      </c>
      <c r="N35" s="17">
        <f t="shared" si="50"/>
        <v>-17530470.97785503</v>
      </c>
      <c r="O35" s="17">
        <f t="shared" si="50"/>
        <v>-18932908.656083439</v>
      </c>
      <c r="P35" s="17">
        <f t="shared" si="50"/>
        <v>-20447541.348570112</v>
      </c>
      <c r="Q35" s="17">
        <f t="shared" si="50"/>
        <v>-22083344.656455722</v>
      </c>
      <c r="R35" s="17">
        <f t="shared" si="50"/>
        <v>-23850012.228972178</v>
      </c>
      <c r="S35" s="17">
        <f t="shared" si="50"/>
        <v>-25758013.207289957</v>
      </c>
      <c r="T35" s="17">
        <f t="shared" si="50"/>
        <v>-27818654.263873156</v>
      </c>
      <c r="U35" s="17">
        <f t="shared" si="50"/>
        <v>-30044146.604983009</v>
      </c>
      <c r="V35" s="17">
        <f t="shared" si="50"/>
        <v>-32447678.333381653</v>
      </c>
      <c r="W35" s="17">
        <f t="shared" si="50"/>
        <v>-35043492.600052193</v>
      </c>
    </row>
    <row r="36" spans="1:23" x14ac:dyDescent="0.3">
      <c r="A36" s="9"/>
      <c r="B36" s="5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</row>
    <row r="37" spans="1:23" s="21" customFormat="1" ht="28.8" x14ac:dyDescent="0.3">
      <c r="A37" s="12"/>
      <c r="B37" s="61" t="s">
        <v>55</v>
      </c>
      <c r="C37" s="47">
        <f>SUM(C28:C36)</f>
        <v>-1150000000</v>
      </c>
      <c r="D37" s="47">
        <f t="shared" ref="D37:M37" si="51">SUM(D28:D36)</f>
        <v>71301600</v>
      </c>
      <c r="E37" s="47">
        <f t="shared" si="51"/>
        <v>9619128.0000000596</v>
      </c>
      <c r="F37" s="47">
        <f t="shared" si="51"/>
        <v>3481158.2400000598</v>
      </c>
      <c r="G37" s="47">
        <f t="shared" si="51"/>
        <v>-638388841.69279993</v>
      </c>
      <c r="H37" s="47">
        <f t="shared" si="51"/>
        <v>-12978029.178863956</v>
      </c>
      <c r="I37" s="47">
        <f t="shared" si="51"/>
        <v>-24049258.655481875</v>
      </c>
      <c r="J37" s="47">
        <f t="shared" si="51"/>
        <v>-38182801.271870404</v>
      </c>
      <c r="K37" s="47">
        <f t="shared" si="51"/>
        <v>-55005377.852788441</v>
      </c>
      <c r="L37" s="47">
        <f t="shared" si="51"/>
        <v>-74953161.578680098</v>
      </c>
      <c r="M37" s="47">
        <f t="shared" si="51"/>
        <v>-98529545.047516808</v>
      </c>
      <c r="N37" s="47">
        <f t="shared" ref="N37" si="52">SUM(N28:N36)</f>
        <v>120640771.94251159</v>
      </c>
      <c r="O37" s="47">
        <f t="shared" ref="O37" si="53">SUM(O28:O36)</f>
        <v>126610252.01452598</v>
      </c>
      <c r="P37" s="47">
        <f t="shared" ref="P37" si="54">SUM(P28:P36)</f>
        <v>132816112.42181084</v>
      </c>
      <c r="Q37" s="47">
        <f t="shared" ref="Q37" si="55">SUM(Q28:Q36)</f>
        <v>-602886096.26033998</v>
      </c>
      <c r="R37" s="47">
        <f t="shared" ref="R37" si="56">SUM(R28:R36)</f>
        <v>145929356.46251759</v>
      </c>
      <c r="S37" s="47">
        <f t="shared" ref="S37" si="57">SUM(S28:S36)</f>
        <v>152827510.04916513</v>
      </c>
      <c r="T37" s="47">
        <f t="shared" ref="T37" si="58">SUM(T28:T36)</f>
        <v>159942836.15870795</v>
      </c>
      <c r="U37" s="47">
        <f t="shared" ref="U37" si="59">SUM(U28:U36)</f>
        <v>167263528.80844405</v>
      </c>
      <c r="V37" s="47">
        <f t="shared" ref="V37" si="60">SUM(V28:V36)</f>
        <v>174774048.20435786</v>
      </c>
      <c r="W37" s="47">
        <f t="shared" ref="W37" si="61">SUM(W28:W36)</f>
        <v>362454546.96231812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58E7B-9830-4A9E-8CE0-734FE69DE7BA}">
  <dimension ref="A1:N40"/>
  <sheetViews>
    <sheetView topLeftCell="A12" workbookViewId="0">
      <selection activeCell="H4" sqref="H4"/>
    </sheetView>
  </sheetViews>
  <sheetFormatPr defaultColWidth="8.77734375" defaultRowHeight="14.4" x14ac:dyDescent="0.3"/>
  <cols>
    <col min="1" max="1" width="8.77734375" style="8"/>
    <col min="2" max="2" width="15.44140625" style="8" bestFit="1" customWidth="1"/>
    <col min="3" max="3" width="15.44140625" style="8" customWidth="1"/>
    <col min="4" max="4" width="16.109375" style="8" customWidth="1"/>
    <col min="5" max="5" width="16.6640625" style="8" customWidth="1"/>
    <col min="6" max="6" width="14.6640625" style="8" bestFit="1" customWidth="1"/>
    <col min="7" max="7" width="17.33203125" style="8" customWidth="1"/>
    <col min="8" max="8" width="16.109375" style="8" customWidth="1"/>
    <col min="9" max="9" width="16.44140625" style="8" customWidth="1"/>
    <col min="10" max="10" width="17.109375" style="8" customWidth="1"/>
    <col min="11" max="11" width="15.88671875" style="8" customWidth="1"/>
    <col min="12" max="12" width="16.21875" style="8" customWidth="1"/>
    <col min="13" max="13" width="16.33203125" style="8" customWidth="1"/>
    <col min="14" max="14" width="11" style="8" bestFit="1" customWidth="1"/>
    <col min="15" max="16384" width="8.77734375" style="8"/>
  </cols>
  <sheetData>
    <row r="1" spans="1:14" x14ac:dyDescent="0.3">
      <c r="A1" s="7" t="s">
        <v>26</v>
      </c>
      <c r="H1" s="9">
        <v>2019</v>
      </c>
      <c r="I1" s="9" t="s">
        <v>3</v>
      </c>
      <c r="K1" s="10">
        <v>1000000</v>
      </c>
    </row>
    <row r="2" spans="1:14" x14ac:dyDescent="0.3">
      <c r="B2" s="9" t="s">
        <v>20</v>
      </c>
      <c r="C2" s="9" t="s">
        <v>0</v>
      </c>
      <c r="D2" s="9" t="s">
        <v>1</v>
      </c>
      <c r="E2" s="9" t="s">
        <v>2</v>
      </c>
      <c r="H2" s="9">
        <v>2022</v>
      </c>
      <c r="I2" s="9" t="s">
        <v>4</v>
      </c>
    </row>
    <row r="3" spans="1:14" x14ac:dyDescent="0.3">
      <c r="B3" s="9" t="s">
        <v>21</v>
      </c>
      <c r="C3" s="9" t="s">
        <v>5</v>
      </c>
      <c r="D3" s="9"/>
      <c r="E3" s="9"/>
    </row>
    <row r="4" spans="1:14" s="11" customFormat="1" x14ac:dyDescent="0.3">
      <c r="H4" s="12">
        <v>2022</v>
      </c>
      <c r="I4" s="13">
        <v>3.0000000000000001E-3</v>
      </c>
      <c r="J4" s="12" t="s">
        <v>9</v>
      </c>
      <c r="K4" s="12" t="s">
        <v>10</v>
      </c>
    </row>
    <row r="5" spans="1:14" x14ac:dyDescent="0.3">
      <c r="E5" s="9" t="s">
        <v>43</v>
      </c>
      <c r="F5" s="9"/>
      <c r="H5" s="9" t="s">
        <v>7</v>
      </c>
      <c r="I5" s="15">
        <f>45*K1</f>
        <v>45000000</v>
      </c>
      <c r="J5" s="16">
        <v>0.05</v>
      </c>
      <c r="K5" s="16">
        <v>0.05</v>
      </c>
    </row>
    <row r="6" spans="1:14" x14ac:dyDescent="0.3">
      <c r="E6" s="16">
        <v>0.65</v>
      </c>
      <c r="F6" s="15">
        <f>+I6</f>
        <v>30000000</v>
      </c>
      <c r="H6" s="9" t="s">
        <v>8</v>
      </c>
      <c r="I6" s="15">
        <f>30*K1</f>
        <v>30000000</v>
      </c>
      <c r="J6" s="16">
        <v>0.08</v>
      </c>
      <c r="K6" s="16">
        <v>0.1</v>
      </c>
    </row>
    <row r="7" spans="1:14" x14ac:dyDescent="0.3">
      <c r="E7" s="16">
        <v>1</v>
      </c>
      <c r="F7" s="17">
        <f>F6/65*100</f>
        <v>46153846.15384616</v>
      </c>
      <c r="G7" s="18"/>
      <c r="I7" s="18"/>
    </row>
    <row r="8" spans="1:14" x14ac:dyDescent="0.3">
      <c r="B8" s="11"/>
      <c r="C8" s="11"/>
      <c r="I8" s="18"/>
    </row>
    <row r="9" spans="1:14" x14ac:dyDescent="0.3">
      <c r="A9" s="9"/>
      <c r="B9" s="12" t="s">
        <v>46</v>
      </c>
      <c r="C9" s="12"/>
      <c r="D9" s="9"/>
      <c r="E9" s="9"/>
      <c r="F9" s="9"/>
      <c r="G9" s="9"/>
      <c r="H9" s="9"/>
      <c r="I9" s="15"/>
      <c r="J9" s="9"/>
      <c r="K9" s="9"/>
      <c r="L9" s="9"/>
      <c r="M9" s="9"/>
      <c r="N9" s="9"/>
    </row>
    <row r="10" spans="1:14" s="11" customFormat="1" x14ac:dyDescent="0.3">
      <c r="A10" s="12"/>
      <c r="B10" s="44" t="s">
        <v>6</v>
      </c>
      <c r="C10" s="44" t="s">
        <v>28</v>
      </c>
      <c r="D10" s="44">
        <v>1</v>
      </c>
      <c r="E10" s="44">
        <v>2</v>
      </c>
      <c r="F10" s="44">
        <v>3</v>
      </c>
      <c r="G10" s="44">
        <v>4</v>
      </c>
      <c r="H10" s="44">
        <v>5</v>
      </c>
      <c r="I10" s="44">
        <v>6</v>
      </c>
      <c r="J10" s="44">
        <v>7</v>
      </c>
      <c r="K10" s="44">
        <v>8</v>
      </c>
      <c r="L10" s="44">
        <v>9</v>
      </c>
      <c r="M10" s="44">
        <v>10</v>
      </c>
      <c r="N10" s="44" t="s">
        <v>24</v>
      </c>
    </row>
    <row r="11" spans="1:14" s="11" customFormat="1" x14ac:dyDescent="0.3">
      <c r="A11" s="12"/>
      <c r="B11" s="9" t="s">
        <v>7</v>
      </c>
      <c r="C11" s="9"/>
      <c r="D11" s="47">
        <f>+I5</f>
        <v>45000000</v>
      </c>
      <c r="E11" s="47">
        <f t="shared" ref="E11:M11" si="0">D11+(D11*$K$5)</f>
        <v>47250000</v>
      </c>
      <c r="F11" s="47">
        <f t="shared" si="0"/>
        <v>49612500</v>
      </c>
      <c r="G11" s="47">
        <f t="shared" si="0"/>
        <v>52093125</v>
      </c>
      <c r="H11" s="47">
        <f t="shared" si="0"/>
        <v>54697781.25</v>
      </c>
      <c r="I11" s="47">
        <f t="shared" si="0"/>
        <v>57432670.3125</v>
      </c>
      <c r="J11" s="47">
        <f t="shared" si="0"/>
        <v>60304303.828125</v>
      </c>
      <c r="K11" s="47">
        <f t="shared" si="0"/>
        <v>63319519.01953125</v>
      </c>
      <c r="L11" s="47">
        <f t="shared" si="0"/>
        <v>66485494.970507815</v>
      </c>
      <c r="M11" s="47">
        <f t="shared" si="0"/>
        <v>69809769.719033211</v>
      </c>
      <c r="N11" s="12"/>
    </row>
    <row r="12" spans="1:14" s="11" customFormat="1" x14ac:dyDescent="0.3">
      <c r="A12" s="12"/>
      <c r="B12" s="9" t="s">
        <v>8</v>
      </c>
      <c r="C12" s="54"/>
      <c r="D12" s="55">
        <f>+I6</f>
        <v>30000000</v>
      </c>
      <c r="E12" s="47">
        <f t="shared" ref="E12:M12" si="1">D12+(D12*$K$6)</f>
        <v>33000000</v>
      </c>
      <c r="F12" s="47">
        <f t="shared" si="1"/>
        <v>36300000</v>
      </c>
      <c r="G12" s="47">
        <f t="shared" si="1"/>
        <v>39930000</v>
      </c>
      <c r="H12" s="47">
        <f t="shared" si="1"/>
        <v>43923000</v>
      </c>
      <c r="I12" s="47">
        <f t="shared" si="1"/>
        <v>48315300</v>
      </c>
      <c r="J12" s="47">
        <f t="shared" si="1"/>
        <v>53146830</v>
      </c>
      <c r="K12" s="47">
        <f t="shared" si="1"/>
        <v>58461513</v>
      </c>
      <c r="L12" s="47">
        <f t="shared" si="1"/>
        <v>64307664.299999997</v>
      </c>
      <c r="M12" s="47">
        <f t="shared" si="1"/>
        <v>70738430.729999989</v>
      </c>
      <c r="N12" s="12"/>
    </row>
    <row r="13" spans="1:14" s="11" customFormat="1" x14ac:dyDescent="0.3">
      <c r="A13" s="12" t="s">
        <v>19</v>
      </c>
      <c r="B13" s="45" t="s">
        <v>22</v>
      </c>
      <c r="C13" s="54"/>
      <c r="D13" s="15">
        <f>5*K1</f>
        <v>5000000</v>
      </c>
      <c r="E13" s="15">
        <f>D13*108%</f>
        <v>5400000</v>
      </c>
      <c r="F13" s="15">
        <f t="shared" ref="F13:M13" si="2">E13*108%</f>
        <v>5832000</v>
      </c>
      <c r="G13" s="15">
        <f t="shared" si="2"/>
        <v>6298560</v>
      </c>
      <c r="H13" s="15">
        <f t="shared" si="2"/>
        <v>6802444.8000000007</v>
      </c>
      <c r="I13" s="15">
        <f t="shared" si="2"/>
        <v>7346640.3840000015</v>
      </c>
      <c r="J13" s="15">
        <f t="shared" si="2"/>
        <v>7934371.6147200018</v>
      </c>
      <c r="K13" s="15">
        <f t="shared" si="2"/>
        <v>8569121.3438976035</v>
      </c>
      <c r="L13" s="15">
        <f t="shared" si="2"/>
        <v>9254651.0514094122</v>
      </c>
      <c r="M13" s="15">
        <f t="shared" si="2"/>
        <v>9995023.1355221663</v>
      </c>
      <c r="N13" s="12"/>
    </row>
    <row r="14" spans="1:14" s="19" customFormat="1" x14ac:dyDescent="0.3">
      <c r="A14" s="9"/>
      <c r="B14" s="9" t="s">
        <v>11</v>
      </c>
      <c r="C14" s="15">
        <f>150*K1</f>
        <v>150000000</v>
      </c>
      <c r="D14" s="9"/>
      <c r="E14" s="9"/>
      <c r="F14" s="15"/>
      <c r="G14" s="9"/>
      <c r="H14" s="9"/>
      <c r="I14" s="9"/>
      <c r="J14" s="9"/>
      <c r="K14" s="9"/>
      <c r="L14" s="9"/>
      <c r="M14" s="9"/>
      <c r="N14" s="9"/>
    </row>
    <row r="15" spans="1:14" x14ac:dyDescent="0.3">
      <c r="A15" s="9"/>
      <c r="B15" s="9" t="s">
        <v>12</v>
      </c>
      <c r="C15" s="56">
        <v>1000000000</v>
      </c>
      <c r="D15" s="9"/>
      <c r="E15" s="9"/>
      <c r="F15" s="15"/>
      <c r="G15" s="9"/>
      <c r="H15" s="9"/>
      <c r="I15" s="9"/>
      <c r="J15" s="9"/>
      <c r="K15" s="9"/>
      <c r="L15" s="9"/>
      <c r="M15" s="9"/>
      <c r="N15" s="9"/>
    </row>
    <row r="16" spans="1:14" x14ac:dyDescent="0.3">
      <c r="A16" s="9"/>
      <c r="B16" s="9" t="s">
        <v>16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x14ac:dyDescent="0.3">
      <c r="A17" s="9"/>
      <c r="B17" s="9" t="s">
        <v>17</v>
      </c>
      <c r="C17" s="9"/>
      <c r="D17" s="15">
        <f>D11*36</f>
        <v>1620000000</v>
      </c>
      <c r="E17" s="15">
        <f>E11*36*101.5%</f>
        <v>1726514999.9999998</v>
      </c>
      <c r="F17" s="15">
        <f t="shared" ref="F17:M17" si="3">F11*36*101.5%</f>
        <v>1812840749.9999998</v>
      </c>
      <c r="G17" s="15">
        <f t="shared" si="3"/>
        <v>1903482787.4999998</v>
      </c>
      <c r="H17" s="15">
        <f t="shared" si="3"/>
        <v>1998656926.8749998</v>
      </c>
      <c r="I17" s="15">
        <f t="shared" si="3"/>
        <v>2098589773.2187498</v>
      </c>
      <c r="J17" s="15">
        <f t="shared" si="3"/>
        <v>2203519261.8796873</v>
      </c>
      <c r="K17" s="15">
        <f t="shared" si="3"/>
        <v>2313695224.9736714</v>
      </c>
      <c r="L17" s="15">
        <f t="shared" si="3"/>
        <v>2429379986.2223554</v>
      </c>
      <c r="M17" s="15">
        <f t="shared" si="3"/>
        <v>2550848985.5334735</v>
      </c>
      <c r="N17" s="9"/>
    </row>
    <row r="18" spans="1:14" x14ac:dyDescent="0.3">
      <c r="A18" s="9"/>
      <c r="B18" s="9" t="s">
        <v>18</v>
      </c>
      <c r="C18" s="9"/>
      <c r="D18" s="15">
        <f>D12*48</f>
        <v>1440000000</v>
      </c>
      <c r="E18" s="15">
        <f>E12*48*101.5%</f>
        <v>1607759999.9999998</v>
      </c>
      <c r="F18" s="15">
        <f t="shared" ref="F18:M18" si="4">F12*48*101.5%</f>
        <v>1768535999.9999998</v>
      </c>
      <c r="G18" s="15">
        <f t="shared" si="4"/>
        <v>1945389599.9999998</v>
      </c>
      <c r="H18" s="15">
        <f t="shared" si="4"/>
        <v>2139928559.9999998</v>
      </c>
      <c r="I18" s="15">
        <f t="shared" si="4"/>
        <v>2353921416</v>
      </c>
      <c r="J18" s="15">
        <f t="shared" si="4"/>
        <v>2589313557.5999999</v>
      </c>
      <c r="K18" s="15">
        <f t="shared" si="4"/>
        <v>2848244913.3599997</v>
      </c>
      <c r="L18" s="15">
        <f t="shared" si="4"/>
        <v>3133069404.6959991</v>
      </c>
      <c r="M18" s="15">
        <f t="shared" si="4"/>
        <v>3446376345.1655993</v>
      </c>
      <c r="N18" s="9"/>
    </row>
    <row r="19" spans="1:14" x14ac:dyDescent="0.3">
      <c r="A19" s="9"/>
      <c r="B19" s="9" t="s">
        <v>36</v>
      </c>
      <c r="C19" s="9"/>
      <c r="D19" s="15">
        <f>D13*(48*60%)</f>
        <v>144000000</v>
      </c>
      <c r="E19" s="15">
        <f>E13*(48*60%)*101.5%</f>
        <v>157852799.99999994</v>
      </c>
      <c r="F19" s="15">
        <f t="shared" ref="F19:M19" si="5">F13*(48*60%)*101.5%</f>
        <v>170481023.99999994</v>
      </c>
      <c r="G19" s="15">
        <f t="shared" si="5"/>
        <v>184119505.91999996</v>
      </c>
      <c r="H19" s="15">
        <f t="shared" si="5"/>
        <v>198849066.39359999</v>
      </c>
      <c r="I19" s="15">
        <f t="shared" si="5"/>
        <v>214756991.70508799</v>
      </c>
      <c r="J19" s="15">
        <f t="shared" si="5"/>
        <v>231937551.04149505</v>
      </c>
      <c r="K19" s="15">
        <f t="shared" si="5"/>
        <v>250492555.12481469</v>
      </c>
      <c r="L19" s="15">
        <f t="shared" si="5"/>
        <v>270531959.53479987</v>
      </c>
      <c r="M19" s="15">
        <f t="shared" si="5"/>
        <v>292174516.29758388</v>
      </c>
      <c r="N19" s="9"/>
    </row>
    <row r="20" spans="1:14" x14ac:dyDescent="0.3">
      <c r="A20" s="9"/>
      <c r="B20" s="9" t="s">
        <v>25</v>
      </c>
      <c r="C20" s="9"/>
      <c r="D20" s="9"/>
      <c r="E20" s="9"/>
      <c r="F20" s="9"/>
      <c r="G20" s="15">
        <f>+'Incremental CFs (2)'!G16</f>
        <v>636000000</v>
      </c>
      <c r="H20" s="9"/>
      <c r="I20" s="9"/>
      <c r="J20" s="9"/>
      <c r="K20" s="9"/>
      <c r="L20" s="9"/>
      <c r="M20" s="9"/>
      <c r="N20" s="9"/>
    </row>
    <row r="21" spans="1:14" x14ac:dyDescent="0.3">
      <c r="A21" s="9"/>
      <c r="B21" s="9" t="s">
        <v>27</v>
      </c>
      <c r="C21" s="9"/>
      <c r="D21" s="15">
        <f>400*K1</f>
        <v>400000000</v>
      </c>
      <c r="E21" s="15">
        <f>D21*110%</f>
        <v>440000000.00000006</v>
      </c>
      <c r="F21" s="15">
        <f t="shared" ref="F21:M21" si="6">E21*110%</f>
        <v>484000000.00000012</v>
      </c>
      <c r="G21" s="15">
        <f t="shared" si="6"/>
        <v>532400000.00000018</v>
      </c>
      <c r="H21" s="15">
        <f t="shared" si="6"/>
        <v>585640000.00000024</v>
      </c>
      <c r="I21" s="15">
        <f t="shared" si="6"/>
        <v>644204000.00000036</v>
      </c>
      <c r="J21" s="15">
        <f t="shared" si="6"/>
        <v>708624400.00000048</v>
      </c>
      <c r="K21" s="15">
        <f t="shared" si="6"/>
        <v>779486840.0000006</v>
      </c>
      <c r="L21" s="15">
        <f t="shared" si="6"/>
        <v>857435524.00000072</v>
      </c>
      <c r="M21" s="15">
        <f t="shared" si="6"/>
        <v>943179076.40000081</v>
      </c>
      <c r="N21" s="9"/>
    </row>
    <row r="22" spans="1:14" x14ac:dyDescent="0.3">
      <c r="A22" s="9"/>
      <c r="B22" s="9" t="s">
        <v>29</v>
      </c>
      <c r="C22" s="9"/>
      <c r="D22" s="15">
        <f>500*K1</f>
        <v>500000000</v>
      </c>
      <c r="E22" s="15">
        <f>(D22*105%)*115%</f>
        <v>603750000</v>
      </c>
      <c r="F22" s="15">
        <f t="shared" ref="F22:M22" si="7">(E22*105%)*115%</f>
        <v>729028125</v>
      </c>
      <c r="G22" s="15">
        <f t="shared" si="7"/>
        <v>880301460.93749988</v>
      </c>
      <c r="H22" s="15">
        <f t="shared" si="7"/>
        <v>1062964014.082031</v>
      </c>
      <c r="I22" s="15">
        <f t="shared" si="7"/>
        <v>1283529047.0040524</v>
      </c>
      <c r="J22" s="15">
        <f t="shared" si="7"/>
        <v>1549861324.2573931</v>
      </c>
      <c r="K22" s="15">
        <f t="shared" si="7"/>
        <v>1871457549.040802</v>
      </c>
      <c r="L22" s="15">
        <f t="shared" si="7"/>
        <v>2259784990.4667683</v>
      </c>
      <c r="M22" s="15">
        <f t="shared" si="7"/>
        <v>2728690375.9886222</v>
      </c>
      <c r="N22" s="9"/>
    </row>
    <row r="23" spans="1:14" x14ac:dyDescent="0.3">
      <c r="A23" s="9"/>
      <c r="B23" s="9"/>
      <c r="C23" s="9"/>
      <c r="D23" s="9"/>
      <c r="E23" s="9"/>
      <c r="F23" s="9"/>
      <c r="G23" s="9"/>
      <c r="H23" s="9"/>
      <c r="I23" s="9"/>
      <c r="J23" s="15"/>
      <c r="K23" s="9"/>
      <c r="L23" s="9"/>
      <c r="M23" s="9"/>
      <c r="N23" s="9"/>
    </row>
    <row r="24" spans="1:14" x14ac:dyDescent="0.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 s="19" customFormat="1" x14ac:dyDescent="0.3">
      <c r="A25" s="9"/>
      <c r="B25" s="9" t="s">
        <v>13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s="11" customFormat="1" x14ac:dyDescent="0.3">
      <c r="A26" s="12"/>
      <c r="B26" s="12" t="s">
        <v>14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55">
        <f>200*K1</f>
        <v>200000000</v>
      </c>
      <c r="N26" s="12"/>
    </row>
    <row r="27" spans="1:14" s="11" customFormat="1" x14ac:dyDescent="0.3">
      <c r="A27" s="12"/>
      <c r="B27" s="12" t="s">
        <v>15</v>
      </c>
      <c r="C27" s="12"/>
      <c r="D27" s="55">
        <f>SUM(D11:D12)*100</f>
        <v>7500000000</v>
      </c>
      <c r="E27" s="55">
        <f>SUM(E11:E12)*100*101.5%</f>
        <v>8145374999.999999</v>
      </c>
      <c r="F27" s="55">
        <f t="shared" ref="F27:M27" si="8">SUM(F11:F12)*100*101.5%</f>
        <v>8720118750</v>
      </c>
      <c r="G27" s="55">
        <f t="shared" si="8"/>
        <v>9340347187.5</v>
      </c>
      <c r="H27" s="55">
        <f t="shared" si="8"/>
        <v>10010009296.874998</v>
      </c>
      <c r="I27" s="55">
        <f t="shared" si="8"/>
        <v>10733418986.718748</v>
      </c>
      <c r="J27" s="55">
        <f t="shared" si="8"/>
        <v>11515290083.554686</v>
      </c>
      <c r="K27" s="55">
        <f t="shared" si="8"/>
        <v>12360774749.98242</v>
      </c>
      <c r="L27" s="55">
        <f t="shared" si="8"/>
        <v>13275505665.956541</v>
      </c>
      <c r="M27" s="55">
        <f t="shared" si="8"/>
        <v>14265642345.576868</v>
      </c>
      <c r="N27" s="12"/>
    </row>
    <row r="28" spans="1:14" x14ac:dyDescent="0.3">
      <c r="A28" s="9"/>
      <c r="B28" s="49" t="s">
        <v>23</v>
      </c>
      <c r="C28" s="49"/>
      <c r="D28" s="15">
        <f>D13*50</f>
        <v>250000000</v>
      </c>
      <c r="E28" s="15">
        <f>E13*50*101.5%</f>
        <v>274050000</v>
      </c>
      <c r="F28" s="15">
        <f t="shared" ref="F28:M28" si="9">F13*50*101.5%</f>
        <v>295974000</v>
      </c>
      <c r="G28" s="15">
        <f t="shared" si="9"/>
        <v>319651919.99999994</v>
      </c>
      <c r="H28" s="15">
        <f t="shared" si="9"/>
        <v>345224073.60000002</v>
      </c>
      <c r="I28" s="15">
        <f t="shared" si="9"/>
        <v>372841999.48800004</v>
      </c>
      <c r="J28" s="15">
        <f t="shared" si="9"/>
        <v>402669359.44704002</v>
      </c>
      <c r="K28" s="15">
        <f t="shared" si="9"/>
        <v>434882908.20280337</v>
      </c>
      <c r="L28" s="15">
        <f t="shared" si="9"/>
        <v>469673540.85902762</v>
      </c>
      <c r="M28" s="15">
        <f t="shared" si="9"/>
        <v>507247424.12774992</v>
      </c>
      <c r="N28" s="9"/>
    </row>
    <row r="29" spans="1:14" s="21" customFormat="1" x14ac:dyDescent="0.3">
      <c r="A29" s="12"/>
      <c r="B29" s="51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</row>
    <row r="30" spans="1:14" s="11" customFormat="1" ht="28.8" x14ac:dyDescent="0.3">
      <c r="A30" s="12"/>
      <c r="B30" s="52" t="s">
        <v>47</v>
      </c>
      <c r="C30" s="55">
        <f t="shared" ref="C30:D30" si="10">SUM(C26:C28)-SUM(C14:C24)</f>
        <v>-1150000000</v>
      </c>
      <c r="D30" s="55">
        <f t="shared" si="10"/>
        <v>3646000000</v>
      </c>
      <c r="E30" s="55">
        <f>SUM(E26:E28)-SUM(E14:E24)</f>
        <v>3883547199.999999</v>
      </c>
      <c r="F30" s="55">
        <f t="shared" ref="F30:M30" si="11">SUM(F26:F28)-SUM(F14:F24)</f>
        <v>4051206851</v>
      </c>
      <c r="G30" s="55">
        <f t="shared" si="11"/>
        <v>3578305753.1424999</v>
      </c>
      <c r="H30" s="55">
        <f t="shared" si="11"/>
        <v>4369194803.1243677</v>
      </c>
      <c r="I30" s="55">
        <f t="shared" si="11"/>
        <v>4511259758.2788591</v>
      </c>
      <c r="J30" s="55">
        <f t="shared" si="11"/>
        <v>4634703348.2231503</v>
      </c>
      <c r="K30" s="55">
        <f t="shared" si="11"/>
        <v>4732280575.6859331</v>
      </c>
      <c r="L30" s="55">
        <f t="shared" si="11"/>
        <v>4794977341.895647</v>
      </c>
      <c r="M30" s="55">
        <f t="shared" si="11"/>
        <v>5011620470.3193398</v>
      </c>
      <c r="N30" s="12"/>
    </row>
    <row r="31" spans="1:14" s="10" customFormat="1" x14ac:dyDescent="0.3">
      <c r="A31" s="9"/>
      <c r="B31" s="9" t="s">
        <v>39</v>
      </c>
      <c r="C31" s="17"/>
      <c r="D31" s="17">
        <f t="shared" ref="D31" si="12">D30*10%</f>
        <v>364600000</v>
      </c>
      <c r="E31" s="17">
        <f t="shared" ref="E31" si="13">E30*10%</f>
        <v>388354719.99999994</v>
      </c>
      <c r="F31" s="17">
        <f t="shared" ref="F31" si="14">F30*10%</f>
        <v>405120685.10000002</v>
      </c>
      <c r="G31" s="17">
        <f t="shared" ref="G31" si="15">G30*10%</f>
        <v>357830575.31424999</v>
      </c>
      <c r="H31" s="17">
        <f t="shared" ref="H31" si="16">H30*10%</f>
        <v>436919480.31243682</v>
      </c>
      <c r="I31" s="17">
        <f t="shared" ref="I31" si="17">I30*10%</f>
        <v>451125975.82788593</v>
      </c>
      <c r="J31" s="17">
        <f t="shared" ref="J31" si="18">J30*10%</f>
        <v>463470334.82231504</v>
      </c>
      <c r="K31" s="17">
        <f t="shared" ref="K31" si="19">K30*10%</f>
        <v>473228057.56859332</v>
      </c>
      <c r="L31" s="17">
        <f t="shared" ref="L31" si="20">L30*10%</f>
        <v>479497734.1895647</v>
      </c>
      <c r="M31" s="17">
        <f t="shared" ref="M31" si="21">M30*10%</f>
        <v>501162047.03193402</v>
      </c>
      <c r="N31" s="17"/>
    </row>
    <row r="32" spans="1:14" x14ac:dyDescent="0.3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1:14" s="11" customFormat="1" ht="28.8" x14ac:dyDescent="0.3">
      <c r="A33" s="12"/>
      <c r="B33" s="52" t="s">
        <v>48</v>
      </c>
      <c r="C33" s="55">
        <f>C30</f>
        <v>-1150000000</v>
      </c>
      <c r="D33" s="55">
        <f>D30-D31</f>
        <v>3281400000</v>
      </c>
      <c r="E33" s="55">
        <f t="shared" ref="E33:M33" si="22">E30-E31</f>
        <v>3495192479.999999</v>
      </c>
      <c r="F33" s="55">
        <f t="shared" si="22"/>
        <v>3646086165.9000001</v>
      </c>
      <c r="G33" s="55">
        <f t="shared" si="22"/>
        <v>3220475177.8282499</v>
      </c>
      <c r="H33" s="55">
        <f t="shared" si="22"/>
        <v>3932275322.8119307</v>
      </c>
      <c r="I33" s="55">
        <f t="shared" si="22"/>
        <v>4060133782.450973</v>
      </c>
      <c r="J33" s="55">
        <f t="shared" si="22"/>
        <v>4171233013.400835</v>
      </c>
      <c r="K33" s="55">
        <f t="shared" si="22"/>
        <v>4259052518.1173396</v>
      </c>
      <c r="L33" s="55">
        <f t="shared" si="22"/>
        <v>4315479607.7060823</v>
      </c>
      <c r="M33" s="55">
        <f t="shared" si="22"/>
        <v>4510458423.287406</v>
      </c>
      <c r="N33" s="12"/>
    </row>
    <row r="35" spans="1:14" x14ac:dyDescent="0.3">
      <c r="B35" s="26"/>
    </row>
    <row r="36" spans="1:14" x14ac:dyDescent="0.3">
      <c r="B36" s="20"/>
      <c r="D36" s="10"/>
    </row>
    <row r="37" spans="1:14" x14ac:dyDescent="0.3">
      <c r="B37" s="20"/>
    </row>
    <row r="38" spans="1:14" x14ac:dyDescent="0.3">
      <c r="B38" s="20"/>
    </row>
    <row r="39" spans="1:14" x14ac:dyDescent="0.3">
      <c r="B39" s="20"/>
    </row>
    <row r="40" spans="1:14" x14ac:dyDescent="0.3">
      <c r="B40" s="20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DA091-667C-452E-A13E-910F8975D3B8}">
  <dimension ref="A1:N28"/>
  <sheetViews>
    <sheetView workbookViewId="0">
      <selection activeCell="H4" sqref="H4"/>
    </sheetView>
  </sheetViews>
  <sheetFormatPr defaultColWidth="8.77734375" defaultRowHeight="14.4" x14ac:dyDescent="0.3"/>
  <cols>
    <col min="1" max="1" width="9.5546875" style="8" bestFit="1" customWidth="1"/>
    <col min="2" max="2" width="15.44140625" style="8" bestFit="1" customWidth="1"/>
    <col min="3" max="3" width="15.44140625" style="8" customWidth="1"/>
    <col min="4" max="4" width="15" style="8" customWidth="1"/>
    <col min="5" max="5" width="15.44140625" style="8" customWidth="1"/>
    <col min="6" max="6" width="14.6640625" style="8" bestFit="1" customWidth="1"/>
    <col min="7" max="7" width="16.109375" style="8" customWidth="1"/>
    <col min="8" max="9" width="16" style="8" customWidth="1"/>
    <col min="10" max="10" width="15.44140625" style="8" customWidth="1"/>
    <col min="11" max="11" width="15.77734375" style="8" customWidth="1"/>
    <col min="12" max="12" width="16.33203125" style="8" customWidth="1"/>
    <col min="13" max="13" width="16" style="8" customWidth="1"/>
    <col min="14" max="14" width="11" style="8" bestFit="1" customWidth="1"/>
    <col min="15" max="16384" width="8.77734375" style="8"/>
  </cols>
  <sheetData>
    <row r="1" spans="1:14" x14ac:dyDescent="0.3">
      <c r="A1" s="7" t="s">
        <v>57</v>
      </c>
      <c r="H1" s="9">
        <v>2019</v>
      </c>
      <c r="I1" s="9" t="s">
        <v>3</v>
      </c>
      <c r="K1" s="10">
        <v>1000000</v>
      </c>
    </row>
    <row r="2" spans="1:14" x14ac:dyDescent="0.3">
      <c r="B2" s="9" t="s">
        <v>20</v>
      </c>
      <c r="C2" s="9" t="s">
        <v>0</v>
      </c>
      <c r="D2" s="9" t="s">
        <v>1</v>
      </c>
      <c r="E2" s="9" t="s">
        <v>2</v>
      </c>
      <c r="H2" s="9">
        <v>2022</v>
      </c>
      <c r="I2" s="9" t="s">
        <v>4</v>
      </c>
    </row>
    <row r="3" spans="1:14" x14ac:dyDescent="0.3">
      <c r="B3" s="9"/>
      <c r="C3" s="9"/>
      <c r="D3" s="9"/>
      <c r="E3" s="9"/>
    </row>
    <row r="4" spans="1:14" s="11" customFormat="1" x14ac:dyDescent="0.3">
      <c r="H4" s="12">
        <v>2022</v>
      </c>
      <c r="I4" s="13">
        <v>3.0000000000000001E-3</v>
      </c>
      <c r="J4" s="12" t="s">
        <v>9</v>
      </c>
      <c r="K4" s="12" t="s">
        <v>10</v>
      </c>
    </row>
    <row r="5" spans="1:14" x14ac:dyDescent="0.3">
      <c r="E5" s="9" t="s">
        <v>61</v>
      </c>
      <c r="F5" s="9"/>
      <c r="H5" s="9" t="s">
        <v>7</v>
      </c>
      <c r="I5" s="15">
        <f>45*K1</f>
        <v>45000000</v>
      </c>
      <c r="J5" s="16">
        <v>0.05</v>
      </c>
      <c r="K5" s="16">
        <v>0.05</v>
      </c>
    </row>
    <row r="6" spans="1:14" x14ac:dyDescent="0.3">
      <c r="E6" s="16">
        <v>0.65</v>
      </c>
      <c r="F6" s="15">
        <f>+I6</f>
        <v>30000000</v>
      </c>
      <c r="H6" s="9" t="s">
        <v>8</v>
      </c>
      <c r="I6" s="15">
        <f>30*K1</f>
        <v>30000000</v>
      </c>
      <c r="J6" s="16">
        <v>0.08</v>
      </c>
      <c r="K6" s="16">
        <v>0.1</v>
      </c>
    </row>
    <row r="7" spans="1:14" x14ac:dyDescent="0.3">
      <c r="E7" s="16">
        <v>1</v>
      </c>
      <c r="F7" s="17">
        <f>F6/65*100</f>
        <v>46153846.15384616</v>
      </c>
      <c r="G7" s="18"/>
      <c r="I7" s="18"/>
    </row>
    <row r="8" spans="1:14" x14ac:dyDescent="0.3">
      <c r="B8" s="11"/>
      <c r="C8" s="11"/>
      <c r="I8" s="18"/>
    </row>
    <row r="9" spans="1:14" x14ac:dyDescent="0.3">
      <c r="B9" s="12" t="s">
        <v>46</v>
      </c>
      <c r="C9" s="12"/>
      <c r="D9" s="9"/>
      <c r="E9" s="9"/>
      <c r="F9" s="9"/>
      <c r="G9" s="9"/>
      <c r="H9" s="9"/>
      <c r="I9" s="15"/>
      <c r="J9" s="9"/>
      <c r="K9" s="9"/>
      <c r="L9" s="9"/>
      <c r="M9" s="9"/>
    </row>
    <row r="10" spans="1:14" s="11" customFormat="1" x14ac:dyDescent="0.3">
      <c r="B10" s="44" t="s">
        <v>6</v>
      </c>
      <c r="C10" s="44" t="s">
        <v>28</v>
      </c>
      <c r="D10" s="44">
        <v>1</v>
      </c>
      <c r="E10" s="44">
        <v>2</v>
      </c>
      <c r="F10" s="44">
        <v>3</v>
      </c>
      <c r="G10" s="44">
        <v>4</v>
      </c>
      <c r="H10" s="44">
        <v>5</v>
      </c>
      <c r="I10" s="44">
        <v>6</v>
      </c>
      <c r="J10" s="44">
        <v>7</v>
      </c>
      <c r="K10" s="44">
        <v>8</v>
      </c>
      <c r="L10" s="44">
        <v>9</v>
      </c>
      <c r="M10" s="44">
        <v>10</v>
      </c>
      <c r="N10" s="25" t="s">
        <v>24</v>
      </c>
    </row>
    <row r="11" spans="1:14" s="11" customFormat="1" x14ac:dyDescent="0.3">
      <c r="B11" s="9" t="s">
        <v>7</v>
      </c>
      <c r="C11" s="9"/>
      <c r="D11" s="47">
        <f>+I5</f>
        <v>45000000</v>
      </c>
      <c r="E11" s="47">
        <f t="shared" ref="E11:M11" si="0">D11+(D11*$K$5)</f>
        <v>47250000</v>
      </c>
      <c r="F11" s="47">
        <f t="shared" si="0"/>
        <v>49612500</v>
      </c>
      <c r="G11" s="47">
        <f t="shared" si="0"/>
        <v>52093125</v>
      </c>
      <c r="H11" s="47">
        <f t="shared" si="0"/>
        <v>54697781.25</v>
      </c>
      <c r="I11" s="47">
        <f t="shared" si="0"/>
        <v>57432670.3125</v>
      </c>
      <c r="J11" s="47">
        <f t="shared" si="0"/>
        <v>60304303.828125</v>
      </c>
      <c r="K11" s="47">
        <f t="shared" si="0"/>
        <v>63319519.01953125</v>
      </c>
      <c r="L11" s="47">
        <f t="shared" si="0"/>
        <v>66485494.970507815</v>
      </c>
      <c r="M11" s="47">
        <f t="shared" si="0"/>
        <v>69809769.719033211</v>
      </c>
    </row>
    <row r="12" spans="1:14" s="11" customFormat="1" x14ac:dyDescent="0.3">
      <c r="B12" s="9" t="s">
        <v>8</v>
      </c>
      <c r="C12" s="54"/>
      <c r="D12" s="55">
        <f>+I6</f>
        <v>30000000</v>
      </c>
      <c r="E12" s="47">
        <f t="shared" ref="E12:M12" si="1">D12+(D12*$K$6)</f>
        <v>33000000</v>
      </c>
      <c r="F12" s="47">
        <f t="shared" si="1"/>
        <v>36300000</v>
      </c>
      <c r="G12" s="47">
        <f t="shared" si="1"/>
        <v>39930000</v>
      </c>
      <c r="H12" s="47">
        <f t="shared" si="1"/>
        <v>43923000</v>
      </c>
      <c r="I12" s="47">
        <f t="shared" si="1"/>
        <v>48315300</v>
      </c>
      <c r="J12" s="47">
        <f t="shared" si="1"/>
        <v>53146830</v>
      </c>
      <c r="K12" s="47">
        <f t="shared" si="1"/>
        <v>58461513</v>
      </c>
      <c r="L12" s="47">
        <f t="shared" si="1"/>
        <v>64307664.299999997</v>
      </c>
      <c r="M12" s="47">
        <f t="shared" si="1"/>
        <v>70738430.729999989</v>
      </c>
    </row>
    <row r="13" spans="1:14" x14ac:dyDescent="0.3">
      <c r="B13" s="9" t="s">
        <v>16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4" x14ac:dyDescent="0.3">
      <c r="B14" s="9" t="s">
        <v>17</v>
      </c>
      <c r="C14" s="9"/>
      <c r="D14" s="15">
        <f>D11*36</f>
        <v>1620000000</v>
      </c>
      <c r="E14" s="15">
        <f t="shared" ref="E14:M14" si="2">E11*36*101.5%</f>
        <v>1726514999.9999998</v>
      </c>
      <c r="F14" s="15">
        <f t="shared" si="2"/>
        <v>1812840749.9999998</v>
      </c>
      <c r="G14" s="15">
        <f t="shared" si="2"/>
        <v>1903482787.4999998</v>
      </c>
      <c r="H14" s="15">
        <f t="shared" si="2"/>
        <v>1998656926.8749998</v>
      </c>
      <c r="I14" s="15">
        <f t="shared" si="2"/>
        <v>2098589773.2187498</v>
      </c>
      <c r="J14" s="15">
        <f t="shared" si="2"/>
        <v>2203519261.8796873</v>
      </c>
      <c r="K14" s="15">
        <f t="shared" si="2"/>
        <v>2313695224.9736714</v>
      </c>
      <c r="L14" s="15">
        <f t="shared" si="2"/>
        <v>2429379986.2223554</v>
      </c>
      <c r="M14" s="15">
        <f t="shared" si="2"/>
        <v>2550848985.5334735</v>
      </c>
    </row>
    <row r="15" spans="1:14" x14ac:dyDescent="0.3">
      <c r="B15" s="9" t="s">
        <v>18</v>
      </c>
      <c r="C15" s="9"/>
      <c r="D15" s="15">
        <f>D12*48</f>
        <v>1440000000</v>
      </c>
      <c r="E15" s="15">
        <f t="shared" ref="E15:M15" si="3">E12*48*101.5%</f>
        <v>1607759999.9999998</v>
      </c>
      <c r="F15" s="15">
        <f t="shared" si="3"/>
        <v>1768535999.9999998</v>
      </c>
      <c r="G15" s="15">
        <f t="shared" si="3"/>
        <v>1945389599.9999998</v>
      </c>
      <c r="H15" s="15">
        <f t="shared" si="3"/>
        <v>2139928559.9999998</v>
      </c>
      <c r="I15" s="15">
        <f t="shared" si="3"/>
        <v>2353921416</v>
      </c>
      <c r="J15" s="15">
        <f t="shared" si="3"/>
        <v>2589313557.5999999</v>
      </c>
      <c r="K15" s="15">
        <f t="shared" si="3"/>
        <v>2848244913.3599997</v>
      </c>
      <c r="L15" s="15">
        <f t="shared" si="3"/>
        <v>3133069404.6959991</v>
      </c>
      <c r="M15" s="15">
        <f t="shared" si="3"/>
        <v>3446376345.1655993</v>
      </c>
    </row>
    <row r="16" spans="1:14" x14ac:dyDescent="0.3">
      <c r="B16" s="9" t="s">
        <v>25</v>
      </c>
      <c r="C16" s="9"/>
      <c r="D16" s="9"/>
      <c r="E16" s="9"/>
      <c r="F16" s="9"/>
      <c r="G16" s="9"/>
      <c r="H16" s="9"/>
      <c r="I16" s="15">
        <f>600*K1*(1.5%*6)+(600*K1)</f>
        <v>654000000</v>
      </c>
      <c r="J16" s="9"/>
      <c r="K16" s="9"/>
      <c r="L16" s="9"/>
      <c r="M16" s="9"/>
    </row>
    <row r="17" spans="1:13" x14ac:dyDescent="0.3">
      <c r="B17" s="9" t="s">
        <v>27</v>
      </c>
      <c r="C17" s="9"/>
      <c r="D17" s="15">
        <f>400*K1</f>
        <v>400000000</v>
      </c>
      <c r="E17" s="15">
        <f>D17*110%</f>
        <v>440000000.00000006</v>
      </c>
      <c r="F17" s="15">
        <f t="shared" ref="F17:M17" si="4">E17*110%</f>
        <v>484000000.00000012</v>
      </c>
      <c r="G17" s="15">
        <f t="shared" si="4"/>
        <v>532400000.00000018</v>
      </c>
      <c r="H17" s="15">
        <f t="shared" si="4"/>
        <v>585640000.00000024</v>
      </c>
      <c r="I17" s="15">
        <f t="shared" si="4"/>
        <v>644204000.00000036</v>
      </c>
      <c r="J17" s="15">
        <f t="shared" si="4"/>
        <v>708624400.00000048</v>
      </c>
      <c r="K17" s="15">
        <f t="shared" si="4"/>
        <v>779486840.0000006</v>
      </c>
      <c r="L17" s="15">
        <f t="shared" si="4"/>
        <v>857435524.00000072</v>
      </c>
      <c r="M17" s="15">
        <f t="shared" si="4"/>
        <v>943179076.40000081</v>
      </c>
    </row>
    <row r="18" spans="1:13" x14ac:dyDescent="0.3">
      <c r="B18" s="9" t="s">
        <v>29</v>
      </c>
      <c r="C18" s="9"/>
      <c r="D18" s="15">
        <f>500*K1</f>
        <v>500000000</v>
      </c>
      <c r="E18" s="15">
        <f>(D18*105%)*105%</f>
        <v>551250000</v>
      </c>
      <c r="F18" s="15">
        <f t="shared" ref="F18:M18" si="5">(E18*105%)*105%</f>
        <v>607753125</v>
      </c>
      <c r="G18" s="15">
        <f t="shared" si="5"/>
        <v>670047820.3125</v>
      </c>
      <c r="H18" s="15">
        <f t="shared" si="5"/>
        <v>738727721.89453125</v>
      </c>
      <c r="I18" s="15">
        <f t="shared" si="5"/>
        <v>814447313.38872075</v>
      </c>
      <c r="J18" s="15">
        <f t="shared" si="5"/>
        <v>897928163.01106477</v>
      </c>
      <c r="K18" s="15">
        <f t="shared" si="5"/>
        <v>989965799.71969891</v>
      </c>
      <c r="L18" s="15">
        <f t="shared" si="5"/>
        <v>1091437294.1909683</v>
      </c>
      <c r="M18" s="15">
        <f t="shared" si="5"/>
        <v>1203309616.8455427</v>
      </c>
    </row>
    <row r="19" spans="1:13" x14ac:dyDescent="0.3">
      <c r="B19" s="9"/>
      <c r="C19" s="9"/>
      <c r="D19" s="9"/>
      <c r="E19" s="9"/>
      <c r="F19" s="9"/>
      <c r="G19" s="9"/>
      <c r="H19" s="9"/>
      <c r="I19" s="9"/>
      <c r="J19" s="15"/>
      <c r="K19" s="9"/>
      <c r="L19" s="9"/>
      <c r="M19" s="9"/>
    </row>
    <row r="20" spans="1:13" x14ac:dyDescent="0.3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13" s="19" customFormat="1" x14ac:dyDescent="0.3">
      <c r="B21" s="9" t="s">
        <v>13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3" s="11" customFormat="1" x14ac:dyDescent="0.3">
      <c r="B22" s="12" t="s">
        <v>14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55"/>
    </row>
    <row r="23" spans="1:13" s="11" customFormat="1" x14ac:dyDescent="0.3">
      <c r="B23" s="12" t="s">
        <v>15</v>
      </c>
      <c r="C23" s="12"/>
      <c r="D23" s="55">
        <f>SUM(D11:D12)*100</f>
        <v>7500000000</v>
      </c>
      <c r="E23" s="55">
        <f t="shared" ref="E23:M23" si="6">SUM(E11:E12)*100*101.5%</f>
        <v>8145374999.999999</v>
      </c>
      <c r="F23" s="55">
        <f t="shared" si="6"/>
        <v>8720118750</v>
      </c>
      <c r="G23" s="55">
        <f t="shared" si="6"/>
        <v>9340347187.5</v>
      </c>
      <c r="H23" s="55">
        <f t="shared" si="6"/>
        <v>10010009296.874998</v>
      </c>
      <c r="I23" s="55">
        <f t="shared" si="6"/>
        <v>10733418986.718748</v>
      </c>
      <c r="J23" s="55">
        <f t="shared" si="6"/>
        <v>11515290083.554686</v>
      </c>
      <c r="K23" s="55">
        <f t="shared" si="6"/>
        <v>12360774749.98242</v>
      </c>
      <c r="L23" s="55">
        <f t="shared" si="6"/>
        <v>13275505665.956541</v>
      </c>
      <c r="M23" s="55">
        <f t="shared" si="6"/>
        <v>14265642345.576868</v>
      </c>
    </row>
    <row r="24" spans="1:13" s="21" customFormat="1" x14ac:dyDescent="0.3">
      <c r="A24" s="11"/>
      <c r="B24" s="51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</row>
    <row r="25" spans="1:13" s="11" customFormat="1" ht="28.8" x14ac:dyDescent="0.3">
      <c r="B25" s="52" t="s">
        <v>47</v>
      </c>
      <c r="C25" s="55">
        <f t="shared" ref="C25:M25" si="7">SUM(C22:C23)-SUM(C13:C20)</f>
        <v>0</v>
      </c>
      <c r="D25" s="55">
        <f t="shared" si="7"/>
        <v>3540000000</v>
      </c>
      <c r="E25" s="55">
        <f t="shared" si="7"/>
        <v>3819849999.999999</v>
      </c>
      <c r="F25" s="55">
        <f t="shared" si="7"/>
        <v>4046988875</v>
      </c>
      <c r="G25" s="55">
        <f t="shared" si="7"/>
        <v>4289026979.6875</v>
      </c>
      <c r="H25" s="55">
        <f t="shared" si="7"/>
        <v>4547056088.1054668</v>
      </c>
      <c r="I25" s="55">
        <f t="shared" si="7"/>
        <v>4168256484.1112776</v>
      </c>
      <c r="J25" s="55">
        <f t="shared" si="7"/>
        <v>5115904701.0639343</v>
      </c>
      <c r="K25" s="55">
        <f t="shared" si="7"/>
        <v>5429381971.9290485</v>
      </c>
      <c r="L25" s="55">
        <f t="shared" si="7"/>
        <v>5764183456.8472176</v>
      </c>
      <c r="M25" s="55">
        <f t="shared" si="7"/>
        <v>6121928321.6322517</v>
      </c>
    </row>
    <row r="26" spans="1:13" s="10" customFormat="1" x14ac:dyDescent="0.3">
      <c r="A26" s="8"/>
      <c r="B26" s="9" t="s">
        <v>39</v>
      </c>
      <c r="C26" s="17"/>
      <c r="D26" s="17">
        <f t="shared" ref="D26:M26" si="8">D25*10%</f>
        <v>354000000</v>
      </c>
      <c r="E26" s="17">
        <f t="shared" si="8"/>
        <v>381984999.99999994</v>
      </c>
      <c r="F26" s="17">
        <f t="shared" si="8"/>
        <v>404698887.5</v>
      </c>
      <c r="G26" s="17">
        <f t="shared" si="8"/>
        <v>428902697.96875</v>
      </c>
      <c r="H26" s="17">
        <f t="shared" si="8"/>
        <v>454705608.8105467</v>
      </c>
      <c r="I26" s="17">
        <f t="shared" si="8"/>
        <v>416825648.41112781</v>
      </c>
      <c r="J26" s="17">
        <f t="shared" si="8"/>
        <v>511590470.10639346</v>
      </c>
      <c r="K26" s="17">
        <f t="shared" si="8"/>
        <v>542938197.19290483</v>
      </c>
      <c r="L26" s="17">
        <f t="shared" si="8"/>
        <v>576418345.68472183</v>
      </c>
      <c r="M26" s="17">
        <f t="shared" si="8"/>
        <v>612192832.16322517</v>
      </c>
    </row>
    <row r="27" spans="1:13" x14ac:dyDescent="0.3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3" s="11" customFormat="1" ht="28.8" x14ac:dyDescent="0.3">
      <c r="B28" s="52" t="s">
        <v>48</v>
      </c>
      <c r="C28" s="55">
        <f>C25</f>
        <v>0</v>
      </c>
      <c r="D28" s="55">
        <f>D25-D26</f>
        <v>3186000000</v>
      </c>
      <c r="E28" s="55">
        <f t="shared" ref="E28:M28" si="9">E25-E26</f>
        <v>3437864999.999999</v>
      </c>
      <c r="F28" s="55">
        <f t="shared" si="9"/>
        <v>3642289987.5</v>
      </c>
      <c r="G28" s="55">
        <f t="shared" si="9"/>
        <v>3860124281.71875</v>
      </c>
      <c r="H28" s="55">
        <f t="shared" si="9"/>
        <v>4092350479.29492</v>
      </c>
      <c r="I28" s="55">
        <f t="shared" si="9"/>
        <v>3751430835.7001495</v>
      </c>
      <c r="J28" s="55">
        <f t="shared" si="9"/>
        <v>4604314230.9575405</v>
      </c>
      <c r="K28" s="55">
        <f t="shared" si="9"/>
        <v>4886443774.7361441</v>
      </c>
      <c r="L28" s="55">
        <f t="shared" si="9"/>
        <v>5187765111.1624956</v>
      </c>
      <c r="M28" s="55">
        <f t="shared" si="9"/>
        <v>5509735489.4690266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Decision making</vt:lpstr>
      <vt:lpstr>Incremental CFs</vt:lpstr>
      <vt:lpstr>Incremental CFs (2)</vt:lpstr>
      <vt:lpstr>Incremental CFs (3)</vt:lpstr>
      <vt:lpstr>With</vt:lpstr>
      <vt:lpstr>Without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Nikita Talesara</dc:creator>
  <cp:lastModifiedBy>admin</cp:lastModifiedBy>
  <dcterms:created xsi:type="dcterms:W3CDTF">2022-02-17T18:03:32Z</dcterms:created>
  <dcterms:modified xsi:type="dcterms:W3CDTF">2022-02-20T15:45:50Z</dcterms:modified>
</cp:coreProperties>
</file>