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41cf36b443fd56/Documents/"/>
    </mc:Choice>
  </mc:AlternateContent>
  <xr:revisionPtr revIDLastSave="365" documentId="8_{4A04C25E-ACF5-4B2D-85E0-F1086A0D2F7B}" xr6:coauthVersionLast="47" xr6:coauthVersionMax="47" xr10:uidLastSave="{444C1C67-87D4-4009-9D60-24C04EAAE561}"/>
  <bookViews>
    <workbookView xWindow="-110" yWindow="-110" windowWidth="19420" windowHeight="10420" activeTab="3" xr2:uid="{766B4C1F-BDBC-4453-B558-055002D392B8}"/>
  </bookViews>
  <sheets>
    <sheet name="ICF (Q1)" sheetId="1" r:id="rId1"/>
    <sheet name="NPV,IRR (Q2)" sheetId="2" r:id="rId2"/>
    <sheet name="ALTERNIUM LIFE&gt;10YR (Q3)" sheetId="3" r:id="rId3"/>
    <sheet name="VALUES FOR (Q3)" sheetId="4" r:id="rId4"/>
  </sheets>
  <definedNames>
    <definedName name="INFLATION">'ICF (Q1)'!$C$37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2" l="1"/>
  <c r="D4" i="2"/>
  <c r="G5" i="2"/>
  <c r="G6" i="2"/>
  <c r="G7" i="2"/>
  <c r="G8" i="2"/>
  <c r="G9" i="2"/>
  <c r="G10" i="2"/>
  <c r="G11" i="2"/>
  <c r="G12" i="2"/>
  <c r="G13" i="2"/>
  <c r="G14" i="2"/>
  <c r="H4" i="2"/>
  <c r="H5" i="2"/>
  <c r="H6" i="2"/>
  <c r="H7" i="2"/>
  <c r="H8" i="2"/>
  <c r="H9" i="2"/>
  <c r="H10" i="2"/>
  <c r="H11" i="2"/>
  <c r="H12" i="2"/>
  <c r="H13" i="2"/>
  <c r="H14" i="2"/>
  <c r="J14" i="2"/>
  <c r="K14" i="2"/>
  <c r="L14" i="2"/>
  <c r="H18" i="2"/>
  <c r="G5" i="3"/>
  <c r="D4" i="3"/>
  <c r="G6" i="3"/>
  <c r="G7" i="3"/>
  <c r="G8" i="3"/>
  <c r="G9" i="3"/>
  <c r="G10" i="3"/>
  <c r="G11" i="3"/>
  <c r="G12" i="3"/>
  <c r="G13" i="3"/>
  <c r="G14" i="3"/>
  <c r="G15" i="3"/>
  <c r="G16" i="3"/>
  <c r="H16" i="3"/>
  <c r="O16" i="3"/>
  <c r="P16" i="3"/>
  <c r="L16" i="3"/>
  <c r="M16" i="3"/>
  <c r="N16" i="3"/>
  <c r="Q16" i="3"/>
  <c r="J4" i="2"/>
  <c r="K4" i="2"/>
  <c r="L4" i="2"/>
  <c r="M4" i="2"/>
  <c r="H21" i="1"/>
  <c r="I21" i="1"/>
  <c r="T21" i="1"/>
  <c r="Q3" i="1"/>
  <c r="V21" i="1"/>
  <c r="W21" i="1"/>
  <c r="X21" i="1"/>
  <c r="K34" i="1"/>
  <c r="L3" i="1"/>
  <c r="K3" i="1"/>
  <c r="M3" i="1"/>
  <c r="P3" i="1"/>
  <c r="S21" i="1"/>
  <c r="M21" i="1"/>
  <c r="O21" i="1"/>
  <c r="R21" i="1"/>
  <c r="Q21" i="1"/>
  <c r="P21" i="1"/>
  <c r="AA21" i="1"/>
  <c r="V22" i="1"/>
  <c r="V23" i="1"/>
  <c r="V24" i="1"/>
  <c r="J5" i="2"/>
  <c r="K5" i="2"/>
  <c r="L5" i="2"/>
  <c r="M5" i="2"/>
  <c r="J6" i="2"/>
  <c r="K6" i="2"/>
  <c r="L6" i="2"/>
  <c r="M6" i="2"/>
  <c r="J7" i="2"/>
  <c r="K7" i="2"/>
  <c r="L7" i="2"/>
  <c r="M7" i="2"/>
  <c r="J8" i="2"/>
  <c r="K8" i="2"/>
  <c r="L8" i="2"/>
  <c r="M8" i="2"/>
  <c r="J9" i="2"/>
  <c r="K9" i="2"/>
  <c r="L9" i="2"/>
  <c r="M9" i="2"/>
  <c r="J10" i="2"/>
  <c r="K10" i="2"/>
  <c r="L10" i="2"/>
  <c r="M10" i="2"/>
  <c r="J11" i="2"/>
  <c r="K11" i="2"/>
  <c r="L11" i="2"/>
  <c r="M11" i="2"/>
  <c r="J12" i="2"/>
  <c r="K12" i="2"/>
  <c r="L12" i="2"/>
  <c r="M12" i="2"/>
  <c r="J13" i="2"/>
  <c r="K13" i="2"/>
  <c r="L13" i="2"/>
  <c r="M13" i="2"/>
  <c r="M14" i="2"/>
  <c r="H70" i="3"/>
  <c r="O70" i="3"/>
  <c r="P70" i="3"/>
  <c r="L70" i="3"/>
  <c r="M70" i="3"/>
  <c r="N70" i="3"/>
  <c r="R70" i="3"/>
  <c r="Q70" i="3"/>
  <c r="H46" i="3"/>
  <c r="O46" i="3"/>
  <c r="P46" i="3"/>
  <c r="L46" i="3"/>
  <c r="M46" i="3"/>
  <c r="N46" i="3"/>
  <c r="Q46" i="3"/>
  <c r="H47" i="3"/>
  <c r="O47" i="3"/>
  <c r="P47" i="3"/>
  <c r="L47" i="3"/>
  <c r="M47" i="3"/>
  <c r="N47" i="3"/>
  <c r="Q47" i="3"/>
  <c r="H48" i="3"/>
  <c r="O48" i="3"/>
  <c r="P48" i="3"/>
  <c r="L48" i="3"/>
  <c r="M48" i="3"/>
  <c r="N48" i="3"/>
  <c r="Q48" i="3"/>
  <c r="H49" i="3"/>
  <c r="O49" i="3"/>
  <c r="P49" i="3"/>
  <c r="L49" i="3"/>
  <c r="M49" i="3"/>
  <c r="N49" i="3"/>
  <c r="Q49" i="3"/>
  <c r="H50" i="3"/>
  <c r="O50" i="3"/>
  <c r="P50" i="3"/>
  <c r="L50" i="3"/>
  <c r="M50" i="3"/>
  <c r="N50" i="3"/>
  <c r="Q50" i="3"/>
  <c r="H51" i="3"/>
  <c r="O51" i="3"/>
  <c r="P51" i="3"/>
  <c r="L51" i="3"/>
  <c r="M51" i="3"/>
  <c r="N51" i="3"/>
  <c r="Q51" i="3"/>
  <c r="H52" i="3"/>
  <c r="O52" i="3"/>
  <c r="P52" i="3"/>
  <c r="L52" i="3"/>
  <c r="M52" i="3"/>
  <c r="N52" i="3"/>
  <c r="Q52" i="3"/>
  <c r="H53" i="3"/>
  <c r="O53" i="3"/>
  <c r="P53" i="3"/>
  <c r="L53" i="3"/>
  <c r="M53" i="3"/>
  <c r="N53" i="3"/>
  <c r="Q53" i="3"/>
  <c r="H54" i="3"/>
  <c r="O54" i="3"/>
  <c r="P54" i="3"/>
  <c r="L54" i="3"/>
  <c r="M54" i="3"/>
  <c r="N54" i="3"/>
  <c r="Q54" i="3"/>
  <c r="H55" i="3"/>
  <c r="O55" i="3"/>
  <c r="P55" i="3"/>
  <c r="L55" i="3"/>
  <c r="M55" i="3"/>
  <c r="N55" i="3"/>
  <c r="Q55" i="3"/>
  <c r="H56" i="3"/>
  <c r="O56" i="3"/>
  <c r="P56" i="3"/>
  <c r="L56" i="3"/>
  <c r="M56" i="3"/>
  <c r="N56" i="3"/>
  <c r="Q56" i="3"/>
  <c r="H57" i="3"/>
  <c r="O57" i="3"/>
  <c r="P57" i="3"/>
  <c r="L57" i="3"/>
  <c r="M57" i="3"/>
  <c r="N57" i="3"/>
  <c r="Q57" i="3"/>
  <c r="H58" i="3"/>
  <c r="O58" i="3"/>
  <c r="P58" i="3"/>
  <c r="L58" i="3"/>
  <c r="M58" i="3"/>
  <c r="N58" i="3"/>
  <c r="Q58" i="3"/>
  <c r="H59" i="3"/>
  <c r="O59" i="3"/>
  <c r="P59" i="3"/>
  <c r="L59" i="3"/>
  <c r="M59" i="3"/>
  <c r="N59" i="3"/>
  <c r="Q59" i="3"/>
  <c r="H60" i="3"/>
  <c r="O60" i="3"/>
  <c r="P60" i="3"/>
  <c r="L60" i="3"/>
  <c r="M60" i="3"/>
  <c r="N60" i="3"/>
  <c r="Q60" i="3"/>
  <c r="H61" i="3"/>
  <c r="O61" i="3"/>
  <c r="P61" i="3"/>
  <c r="L61" i="3"/>
  <c r="M61" i="3"/>
  <c r="N61" i="3"/>
  <c r="Q61" i="3"/>
  <c r="H62" i="3"/>
  <c r="O62" i="3"/>
  <c r="P62" i="3"/>
  <c r="L62" i="3"/>
  <c r="M62" i="3"/>
  <c r="N62" i="3"/>
  <c r="Q62" i="3"/>
  <c r="H63" i="3"/>
  <c r="O63" i="3"/>
  <c r="P63" i="3"/>
  <c r="L63" i="3"/>
  <c r="M63" i="3"/>
  <c r="N63" i="3"/>
  <c r="Q63" i="3"/>
  <c r="H64" i="3"/>
  <c r="O64" i="3"/>
  <c r="P64" i="3"/>
  <c r="L64" i="3"/>
  <c r="M64" i="3"/>
  <c r="N64" i="3"/>
  <c r="Q64" i="3"/>
  <c r="H65" i="3"/>
  <c r="O65" i="3"/>
  <c r="P65" i="3"/>
  <c r="L65" i="3"/>
  <c r="M65" i="3"/>
  <c r="N65" i="3"/>
  <c r="Q65" i="3"/>
  <c r="H66" i="3"/>
  <c r="O66" i="3"/>
  <c r="P66" i="3"/>
  <c r="L66" i="3"/>
  <c r="M66" i="3"/>
  <c r="N66" i="3"/>
  <c r="Q66" i="3"/>
  <c r="H67" i="3"/>
  <c r="O67" i="3"/>
  <c r="P67" i="3"/>
  <c r="L67" i="3"/>
  <c r="M67" i="3"/>
  <c r="N67" i="3"/>
  <c r="Q67" i="3"/>
  <c r="H68" i="3"/>
  <c r="O68" i="3"/>
  <c r="P68" i="3"/>
  <c r="L68" i="3"/>
  <c r="M68" i="3"/>
  <c r="N68" i="3"/>
  <c r="Q68" i="3"/>
  <c r="H69" i="3"/>
  <c r="O69" i="3"/>
  <c r="P69" i="3"/>
  <c r="L69" i="3"/>
  <c r="M69" i="3"/>
  <c r="N69" i="3"/>
  <c r="Q69" i="3"/>
  <c r="O6" i="3"/>
  <c r="O7" i="3"/>
  <c r="O8" i="3"/>
  <c r="O9" i="3"/>
  <c r="O10" i="3"/>
  <c r="O11" i="3"/>
  <c r="O12" i="3"/>
  <c r="O13" i="3"/>
  <c r="P13" i="3"/>
  <c r="O14" i="3"/>
  <c r="O15" i="3"/>
  <c r="O17" i="3"/>
  <c r="P17" i="3"/>
  <c r="L17" i="3"/>
  <c r="O18" i="3"/>
  <c r="O19" i="3"/>
  <c r="O20" i="3"/>
  <c r="O21" i="3"/>
  <c r="P21" i="3"/>
  <c r="L21" i="3"/>
  <c r="O22" i="3"/>
  <c r="O23" i="3"/>
  <c r="O24" i="3"/>
  <c r="O25" i="3"/>
  <c r="P25" i="3"/>
  <c r="N25" i="3"/>
  <c r="O26" i="3"/>
  <c r="O27" i="3"/>
  <c r="O28" i="3"/>
  <c r="O29" i="3"/>
  <c r="P29" i="3"/>
  <c r="L29" i="3"/>
  <c r="O30" i="3"/>
  <c r="O31" i="3"/>
  <c r="O32" i="3"/>
  <c r="O33" i="3"/>
  <c r="P33" i="3"/>
  <c r="N33" i="3"/>
  <c r="O34" i="3"/>
  <c r="O35" i="3"/>
  <c r="O36" i="3"/>
  <c r="O37" i="3"/>
  <c r="P37" i="3"/>
  <c r="L37" i="3"/>
  <c r="O38" i="3"/>
  <c r="O39" i="3"/>
  <c r="O40" i="3"/>
  <c r="O41" i="3"/>
  <c r="P41" i="3"/>
  <c r="N41" i="3"/>
  <c r="O42" i="3"/>
  <c r="O43" i="3"/>
  <c r="O44" i="3"/>
  <c r="O45" i="3"/>
  <c r="P45" i="3"/>
  <c r="L45" i="3"/>
  <c r="O5" i="3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M62" i="4"/>
  <c r="O62" i="4"/>
  <c r="R62" i="4"/>
  <c r="N63" i="4"/>
  <c r="M63" i="4"/>
  <c r="O63" i="4"/>
  <c r="R63" i="4"/>
  <c r="N64" i="4"/>
  <c r="M64" i="4"/>
  <c r="O64" i="4"/>
  <c r="R64" i="4"/>
  <c r="N65" i="4"/>
  <c r="M65" i="4"/>
  <c r="O65" i="4"/>
  <c r="R65" i="4"/>
  <c r="N66" i="4"/>
  <c r="M66" i="4"/>
  <c r="O66" i="4"/>
  <c r="R66" i="4"/>
  <c r="N67" i="4"/>
  <c r="M67" i="4"/>
  <c r="O67" i="4"/>
  <c r="R67" i="4"/>
  <c r="N68" i="4"/>
  <c r="M68" i="4"/>
  <c r="O68" i="4"/>
  <c r="R68" i="4"/>
  <c r="N69" i="4"/>
  <c r="M69" i="4"/>
  <c r="O69" i="4"/>
  <c r="R69" i="4"/>
  <c r="N70" i="4"/>
  <c r="M70" i="4"/>
  <c r="O70" i="4"/>
  <c r="R70" i="4"/>
  <c r="N71" i="4"/>
  <c r="M71" i="4"/>
  <c r="O71" i="4"/>
  <c r="R71" i="4"/>
  <c r="N72" i="4"/>
  <c r="M72" i="4"/>
  <c r="O72" i="4"/>
  <c r="R72" i="4"/>
  <c r="N73" i="4"/>
  <c r="M73" i="4"/>
  <c r="O73" i="4"/>
  <c r="R73" i="4"/>
  <c r="N74" i="4"/>
  <c r="M74" i="4"/>
  <c r="O74" i="4"/>
  <c r="R74" i="4"/>
  <c r="N75" i="4"/>
  <c r="M75" i="4"/>
  <c r="O75" i="4"/>
  <c r="R75" i="4"/>
  <c r="N76" i="4"/>
  <c r="M76" i="4"/>
  <c r="O76" i="4"/>
  <c r="R76" i="4"/>
  <c r="N77" i="4"/>
  <c r="M77" i="4"/>
  <c r="O77" i="4"/>
  <c r="R77" i="4"/>
  <c r="N78" i="4"/>
  <c r="M78" i="4"/>
  <c r="O78" i="4"/>
  <c r="R78" i="4"/>
  <c r="N79" i="4"/>
  <c r="M79" i="4"/>
  <c r="O79" i="4"/>
  <c r="R79" i="4"/>
  <c r="N80" i="4"/>
  <c r="M80" i="4"/>
  <c r="O80" i="4"/>
  <c r="R80" i="4"/>
  <c r="N81" i="4"/>
  <c r="M81" i="4"/>
  <c r="O81" i="4"/>
  <c r="R81" i="4"/>
  <c r="N82" i="4"/>
  <c r="M82" i="4"/>
  <c r="O82" i="4"/>
  <c r="R82" i="4"/>
  <c r="N83" i="4"/>
  <c r="M83" i="4"/>
  <c r="O83" i="4"/>
  <c r="R83" i="4"/>
  <c r="N84" i="4"/>
  <c r="M84" i="4"/>
  <c r="O84" i="4"/>
  <c r="R84" i="4"/>
  <c r="N85" i="4"/>
  <c r="M85" i="4"/>
  <c r="O85" i="4"/>
  <c r="R85" i="4"/>
  <c r="N86" i="4"/>
  <c r="M86" i="4"/>
  <c r="O86" i="4"/>
  <c r="R86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L2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K21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62" i="4"/>
  <c r="K63" i="4"/>
  <c r="K64" i="4"/>
  <c r="K65" i="4"/>
  <c r="K66" i="4"/>
  <c r="G17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6" i="3"/>
  <c r="H7" i="3"/>
  <c r="H8" i="3"/>
  <c r="H9" i="3"/>
  <c r="H10" i="3"/>
  <c r="H11" i="3"/>
  <c r="H12" i="3"/>
  <c r="H13" i="3"/>
  <c r="H14" i="3"/>
  <c r="H15" i="3"/>
  <c r="L3" i="4"/>
  <c r="K3" i="4"/>
  <c r="M3" i="4"/>
  <c r="P3" i="4"/>
  <c r="S21" i="4"/>
  <c r="T21" i="4"/>
  <c r="U21" i="4"/>
  <c r="V21" i="4"/>
  <c r="Q3" i="4"/>
  <c r="W21" i="4"/>
  <c r="L4" i="4"/>
  <c r="K4" i="4"/>
  <c r="M4" i="4"/>
  <c r="P4" i="4"/>
  <c r="S22" i="4"/>
  <c r="U22" i="4"/>
  <c r="L5" i="4"/>
  <c r="K5" i="4"/>
  <c r="M5" i="4"/>
  <c r="P5" i="4"/>
  <c r="S23" i="4"/>
  <c r="T23" i="4"/>
  <c r="T24" i="4"/>
  <c r="T25" i="4"/>
  <c r="T26" i="4"/>
  <c r="T27" i="4"/>
  <c r="T28" i="4"/>
  <c r="T29" i="4"/>
  <c r="T30" i="4"/>
  <c r="T31" i="4"/>
  <c r="U23" i="4"/>
  <c r="U24" i="4"/>
  <c r="U25" i="4"/>
  <c r="U26" i="4"/>
  <c r="U27" i="4"/>
  <c r="U28" i="4"/>
  <c r="U29" i="4"/>
  <c r="U30" i="4"/>
  <c r="U31" i="4"/>
  <c r="L6" i="4"/>
  <c r="K6" i="4"/>
  <c r="M6" i="4"/>
  <c r="P6" i="4"/>
  <c r="S24" i="4"/>
  <c r="L7" i="4"/>
  <c r="K7" i="4"/>
  <c r="M7" i="4"/>
  <c r="P7" i="4"/>
  <c r="S25" i="4"/>
  <c r="L8" i="4"/>
  <c r="K8" i="4"/>
  <c r="M8" i="4"/>
  <c r="P8" i="4"/>
  <c r="S26" i="4"/>
  <c r="L9" i="4"/>
  <c r="K9" i="4"/>
  <c r="M9" i="4"/>
  <c r="P9" i="4"/>
  <c r="S27" i="4"/>
  <c r="L10" i="4"/>
  <c r="K10" i="4"/>
  <c r="M10" i="4"/>
  <c r="P10" i="4"/>
  <c r="S28" i="4"/>
  <c r="L11" i="4"/>
  <c r="K11" i="4"/>
  <c r="M11" i="4"/>
  <c r="P11" i="4"/>
  <c r="S29" i="4"/>
  <c r="L12" i="4"/>
  <c r="K12" i="4"/>
  <c r="M12" i="4"/>
  <c r="P12" i="4"/>
  <c r="S30" i="4"/>
  <c r="L13" i="4"/>
  <c r="K13" i="4"/>
  <c r="M13" i="4"/>
  <c r="P13" i="4"/>
  <c r="S31" i="4"/>
  <c r="P5" i="3"/>
  <c r="P6" i="3"/>
  <c r="L6" i="3"/>
  <c r="P7" i="3"/>
  <c r="P8" i="3"/>
  <c r="M8" i="3"/>
  <c r="P9" i="3"/>
  <c r="P10" i="3"/>
  <c r="N10" i="3"/>
  <c r="L10" i="3"/>
  <c r="P11" i="3"/>
  <c r="P12" i="3"/>
  <c r="M12" i="3"/>
  <c r="P18" i="3"/>
  <c r="P19" i="3"/>
  <c r="P20" i="3"/>
  <c r="M20" i="3"/>
  <c r="P22" i="3"/>
  <c r="P23" i="3"/>
  <c r="P24" i="3"/>
  <c r="M24" i="3"/>
  <c r="P26" i="3"/>
  <c r="P27" i="3"/>
  <c r="P28" i="3"/>
  <c r="M28" i="3"/>
  <c r="P30" i="3"/>
  <c r="P31" i="3"/>
  <c r="P32" i="3"/>
  <c r="M32" i="3"/>
  <c r="P34" i="3"/>
  <c r="P35" i="3"/>
  <c r="P36" i="3"/>
  <c r="M36" i="3"/>
  <c r="P38" i="3"/>
  <c r="P39" i="3"/>
  <c r="P40" i="3"/>
  <c r="M40" i="3"/>
  <c r="P42" i="3"/>
  <c r="P43" i="3"/>
  <c r="P44" i="3"/>
  <c r="M44" i="3"/>
  <c r="M32" i="4"/>
  <c r="O32" i="4"/>
  <c r="R32" i="4"/>
  <c r="Q32" i="4"/>
  <c r="P32" i="4"/>
  <c r="AA32" i="4"/>
  <c r="AB32" i="4"/>
  <c r="M33" i="4"/>
  <c r="O33" i="4"/>
  <c r="R33" i="4"/>
  <c r="Q33" i="4"/>
  <c r="P33" i="4"/>
  <c r="AA33" i="4"/>
  <c r="AB33" i="4"/>
  <c r="M34" i="4"/>
  <c r="O34" i="4"/>
  <c r="R34" i="4"/>
  <c r="Q34" i="4"/>
  <c r="P34" i="4"/>
  <c r="AA34" i="4"/>
  <c r="AB34" i="4"/>
  <c r="M35" i="4"/>
  <c r="O35" i="4"/>
  <c r="R35" i="4"/>
  <c r="Q35" i="4"/>
  <c r="P35" i="4"/>
  <c r="AA35" i="4"/>
  <c r="AB35" i="4"/>
  <c r="M36" i="4"/>
  <c r="O36" i="4"/>
  <c r="R36" i="4"/>
  <c r="Q36" i="4"/>
  <c r="P36" i="4"/>
  <c r="AA36" i="4"/>
  <c r="AB36" i="4"/>
  <c r="M37" i="4"/>
  <c r="O37" i="4"/>
  <c r="R37" i="4"/>
  <c r="Q37" i="4"/>
  <c r="P37" i="4"/>
  <c r="AA37" i="4"/>
  <c r="AB37" i="4"/>
  <c r="M38" i="4"/>
  <c r="O38" i="4"/>
  <c r="R38" i="4"/>
  <c r="Q38" i="4"/>
  <c r="P38" i="4"/>
  <c r="AA38" i="4"/>
  <c r="AB38" i="4"/>
  <c r="M39" i="4"/>
  <c r="O39" i="4"/>
  <c r="R39" i="4"/>
  <c r="Q39" i="4"/>
  <c r="P39" i="4"/>
  <c r="AA39" i="4"/>
  <c r="AB39" i="4"/>
  <c r="M40" i="4"/>
  <c r="O40" i="4"/>
  <c r="R40" i="4"/>
  <c r="Q40" i="4"/>
  <c r="P40" i="4"/>
  <c r="AA40" i="4"/>
  <c r="AB40" i="4"/>
  <c r="M41" i="4"/>
  <c r="O41" i="4"/>
  <c r="R41" i="4"/>
  <c r="Q41" i="4"/>
  <c r="P41" i="4"/>
  <c r="AA41" i="4"/>
  <c r="AB41" i="4"/>
  <c r="M42" i="4"/>
  <c r="O42" i="4"/>
  <c r="R42" i="4"/>
  <c r="Q42" i="4"/>
  <c r="P42" i="4"/>
  <c r="AA42" i="4"/>
  <c r="AB42" i="4"/>
  <c r="M43" i="4"/>
  <c r="O43" i="4"/>
  <c r="R43" i="4"/>
  <c r="Q43" i="4"/>
  <c r="P43" i="4"/>
  <c r="AA43" i="4"/>
  <c r="AB43" i="4"/>
  <c r="M44" i="4"/>
  <c r="O44" i="4"/>
  <c r="R44" i="4"/>
  <c r="Q44" i="4"/>
  <c r="P44" i="4"/>
  <c r="AA44" i="4"/>
  <c r="AB44" i="4"/>
  <c r="M45" i="4"/>
  <c r="O45" i="4"/>
  <c r="R45" i="4"/>
  <c r="Q45" i="4"/>
  <c r="P45" i="4"/>
  <c r="AA45" i="4"/>
  <c r="AB45" i="4"/>
  <c r="M46" i="4"/>
  <c r="O46" i="4"/>
  <c r="R46" i="4"/>
  <c r="Q46" i="4"/>
  <c r="P46" i="4"/>
  <c r="AA46" i="4"/>
  <c r="AB46" i="4"/>
  <c r="M47" i="4"/>
  <c r="O47" i="4"/>
  <c r="R47" i="4"/>
  <c r="Q47" i="4"/>
  <c r="P47" i="4"/>
  <c r="AA47" i="4"/>
  <c r="AB47" i="4"/>
  <c r="M48" i="4"/>
  <c r="O48" i="4"/>
  <c r="R48" i="4"/>
  <c r="Q48" i="4"/>
  <c r="P48" i="4"/>
  <c r="AA48" i="4"/>
  <c r="AB48" i="4"/>
  <c r="M49" i="4"/>
  <c r="O49" i="4"/>
  <c r="R49" i="4"/>
  <c r="Q49" i="4"/>
  <c r="P49" i="4"/>
  <c r="AA49" i="4"/>
  <c r="AB49" i="4"/>
  <c r="M50" i="4"/>
  <c r="O50" i="4"/>
  <c r="R50" i="4"/>
  <c r="Q50" i="4"/>
  <c r="P50" i="4"/>
  <c r="AA50" i="4"/>
  <c r="AB50" i="4"/>
  <c r="M51" i="4"/>
  <c r="O51" i="4"/>
  <c r="R51" i="4"/>
  <c r="Q51" i="4"/>
  <c r="P51" i="4"/>
  <c r="AA51" i="4"/>
  <c r="AB51" i="4"/>
  <c r="M52" i="4"/>
  <c r="O52" i="4"/>
  <c r="R52" i="4"/>
  <c r="Q52" i="4"/>
  <c r="P52" i="4"/>
  <c r="AA52" i="4"/>
  <c r="AB52" i="4"/>
  <c r="M53" i="4"/>
  <c r="O53" i="4"/>
  <c r="R53" i="4"/>
  <c r="Q53" i="4"/>
  <c r="P53" i="4"/>
  <c r="AA53" i="4"/>
  <c r="AB53" i="4"/>
  <c r="M54" i="4"/>
  <c r="O54" i="4"/>
  <c r="R54" i="4"/>
  <c r="Q54" i="4"/>
  <c r="P54" i="4"/>
  <c r="AA54" i="4"/>
  <c r="AB54" i="4"/>
  <c r="M55" i="4"/>
  <c r="O55" i="4"/>
  <c r="R55" i="4"/>
  <c r="Q55" i="4"/>
  <c r="P55" i="4"/>
  <c r="AA55" i="4"/>
  <c r="AB55" i="4"/>
  <c r="M56" i="4"/>
  <c r="O56" i="4"/>
  <c r="R56" i="4"/>
  <c r="Q56" i="4"/>
  <c r="P56" i="4"/>
  <c r="AA56" i="4"/>
  <c r="AB56" i="4"/>
  <c r="M57" i="4"/>
  <c r="O57" i="4"/>
  <c r="R57" i="4"/>
  <c r="Q57" i="4"/>
  <c r="P57" i="4"/>
  <c r="AA57" i="4"/>
  <c r="AB57" i="4"/>
  <c r="M58" i="4"/>
  <c r="O58" i="4"/>
  <c r="R58" i="4"/>
  <c r="Q58" i="4"/>
  <c r="P58" i="4"/>
  <c r="AA58" i="4"/>
  <c r="AB58" i="4"/>
  <c r="M59" i="4"/>
  <c r="O59" i="4"/>
  <c r="R59" i="4"/>
  <c r="Q59" i="4"/>
  <c r="P59" i="4"/>
  <c r="AA59" i="4"/>
  <c r="AB59" i="4"/>
  <c r="M60" i="4"/>
  <c r="O60" i="4"/>
  <c r="R60" i="4"/>
  <c r="Q60" i="4"/>
  <c r="P60" i="4"/>
  <c r="AA60" i="4"/>
  <c r="AB60" i="4"/>
  <c r="M61" i="4"/>
  <c r="O61" i="4"/>
  <c r="R61" i="4"/>
  <c r="Q61" i="4"/>
  <c r="P61" i="4"/>
  <c r="AA61" i="4"/>
  <c r="AB61" i="4"/>
  <c r="X21" i="4"/>
  <c r="X22" i="4"/>
  <c r="X23" i="4"/>
  <c r="X24" i="4"/>
  <c r="X25" i="4"/>
  <c r="X26" i="4"/>
  <c r="X27" i="4"/>
  <c r="X28" i="4"/>
  <c r="X29" i="4"/>
  <c r="X30" i="4"/>
  <c r="X31" i="4"/>
  <c r="X32" i="4"/>
  <c r="Y21" i="4"/>
  <c r="Y22" i="4"/>
  <c r="Y23" i="4"/>
  <c r="Y24" i="4"/>
  <c r="Y25" i="4"/>
  <c r="Y26" i="4"/>
  <c r="Y27" i="4"/>
  <c r="Y28" i="4"/>
  <c r="Y29" i="4"/>
  <c r="Y30" i="4"/>
  <c r="Y31" i="4"/>
  <c r="Y32" i="4"/>
  <c r="Z32" i="4"/>
  <c r="X33" i="4"/>
  <c r="Y33" i="4"/>
  <c r="Z33" i="4"/>
  <c r="X34" i="4"/>
  <c r="Y34" i="4"/>
  <c r="Z34" i="4"/>
  <c r="X35" i="4"/>
  <c r="Y35" i="4"/>
  <c r="Z35" i="4"/>
  <c r="X36" i="4"/>
  <c r="Y36" i="4"/>
  <c r="Z36" i="4"/>
  <c r="X37" i="4"/>
  <c r="Y37" i="4"/>
  <c r="Z37" i="4"/>
  <c r="X38" i="4"/>
  <c r="Y38" i="4"/>
  <c r="Z38" i="4"/>
  <c r="X39" i="4"/>
  <c r="Y39" i="4"/>
  <c r="Z39" i="4"/>
  <c r="X40" i="4"/>
  <c r="Y40" i="4"/>
  <c r="Z40" i="4"/>
  <c r="X41" i="4"/>
  <c r="Y41" i="4"/>
  <c r="Z41" i="4"/>
  <c r="X42" i="4"/>
  <c r="Y42" i="4"/>
  <c r="Z42" i="4"/>
  <c r="X43" i="4"/>
  <c r="Y43" i="4"/>
  <c r="Z43" i="4"/>
  <c r="X44" i="4"/>
  <c r="Y44" i="4"/>
  <c r="Z44" i="4"/>
  <c r="X45" i="4"/>
  <c r="Y45" i="4"/>
  <c r="Z45" i="4"/>
  <c r="X46" i="4"/>
  <c r="Y46" i="4"/>
  <c r="Z46" i="4"/>
  <c r="X47" i="4"/>
  <c r="Y47" i="4"/>
  <c r="Z47" i="4"/>
  <c r="X48" i="4"/>
  <c r="Y48" i="4"/>
  <c r="Z48" i="4"/>
  <c r="X49" i="4"/>
  <c r="Y49" i="4"/>
  <c r="Z49" i="4"/>
  <c r="X50" i="4"/>
  <c r="Y50" i="4"/>
  <c r="Z50" i="4"/>
  <c r="X51" i="4"/>
  <c r="Y51" i="4"/>
  <c r="Z51" i="4"/>
  <c r="X52" i="4"/>
  <c r="Y52" i="4"/>
  <c r="Z52" i="4"/>
  <c r="X53" i="4"/>
  <c r="Y53" i="4"/>
  <c r="Z53" i="4"/>
  <c r="X54" i="4"/>
  <c r="Y54" i="4"/>
  <c r="Z54" i="4"/>
  <c r="X55" i="4"/>
  <c r="Y55" i="4"/>
  <c r="Z55" i="4"/>
  <c r="X56" i="4"/>
  <c r="Y56" i="4"/>
  <c r="Z56" i="4"/>
  <c r="X57" i="4"/>
  <c r="Y57" i="4"/>
  <c r="Z57" i="4"/>
  <c r="X58" i="4"/>
  <c r="Y58" i="4"/>
  <c r="Z58" i="4"/>
  <c r="X59" i="4"/>
  <c r="Y59" i="4"/>
  <c r="Z59" i="4"/>
  <c r="X60" i="4"/>
  <c r="Y60" i="4"/>
  <c r="Z60" i="4"/>
  <c r="X61" i="4"/>
  <c r="Y61" i="4"/>
  <c r="Z6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M31" i="4"/>
  <c r="K31" i="4"/>
  <c r="M30" i="4"/>
  <c r="L30" i="4"/>
  <c r="K30" i="4"/>
  <c r="M29" i="4"/>
  <c r="K29" i="4"/>
  <c r="M28" i="4"/>
  <c r="K28" i="4"/>
  <c r="M27" i="4"/>
  <c r="L27" i="4"/>
  <c r="K27" i="4"/>
  <c r="M26" i="4"/>
  <c r="L26" i="4"/>
  <c r="K26" i="4"/>
  <c r="M25" i="4"/>
  <c r="K25" i="4"/>
  <c r="M24" i="4"/>
  <c r="K24" i="4"/>
  <c r="M23" i="4"/>
  <c r="L23" i="4"/>
  <c r="K23" i="4"/>
  <c r="M22" i="4"/>
  <c r="O22" i="4"/>
  <c r="K22" i="4"/>
  <c r="M21" i="4"/>
  <c r="O21" i="4"/>
  <c r="R21" i="4"/>
  <c r="Q21" i="4"/>
  <c r="P21" i="4"/>
  <c r="D20" i="4"/>
  <c r="S13" i="4"/>
  <c r="D13" i="4"/>
  <c r="S12" i="4"/>
  <c r="S11" i="4"/>
  <c r="S10" i="4"/>
  <c r="S9" i="4"/>
  <c r="S8" i="4"/>
  <c r="S7" i="4"/>
  <c r="S6" i="4"/>
  <c r="S5" i="4"/>
  <c r="S4" i="4"/>
  <c r="R3" i="4"/>
  <c r="R4" i="4"/>
  <c r="Q4" i="4"/>
  <c r="I3" i="4"/>
  <c r="J3" i="4"/>
  <c r="J4" i="4"/>
  <c r="J5" i="4"/>
  <c r="J6" i="4"/>
  <c r="J7" i="4"/>
  <c r="J8" i="4"/>
  <c r="J9" i="4"/>
  <c r="J10" i="4"/>
  <c r="J11" i="4"/>
  <c r="J12" i="4"/>
  <c r="J13" i="4"/>
  <c r="S3" i="4"/>
  <c r="T3" i="4"/>
  <c r="H3" i="4"/>
  <c r="K16" i="4"/>
  <c r="P14" i="3"/>
  <c r="L14" i="3"/>
  <c r="P15" i="3"/>
  <c r="M22" i="1"/>
  <c r="I19" i="2"/>
  <c r="L16" i="2"/>
  <c r="M31" i="1"/>
  <c r="M23" i="1"/>
  <c r="M24" i="1"/>
  <c r="M25" i="1"/>
  <c r="M26" i="1"/>
  <c r="M27" i="1"/>
  <c r="M28" i="1"/>
  <c r="M29" i="1"/>
  <c r="M30" i="1"/>
  <c r="L21" i="1"/>
  <c r="L29" i="1"/>
  <c r="L24" i="1"/>
  <c r="L30" i="1"/>
  <c r="K21" i="1"/>
  <c r="K25" i="1"/>
  <c r="K27" i="1"/>
  <c r="L4" i="1"/>
  <c r="K4" i="1"/>
  <c r="M4" i="1"/>
  <c r="K6" i="1"/>
  <c r="K5" i="1"/>
  <c r="L6" i="1"/>
  <c r="M6" i="1"/>
  <c r="K7" i="1"/>
  <c r="K8" i="1"/>
  <c r="K9" i="1"/>
  <c r="K10" i="1"/>
  <c r="K11" i="1"/>
  <c r="K12" i="1"/>
  <c r="K13" i="1"/>
  <c r="K16" i="2"/>
  <c r="J16" i="2"/>
  <c r="I16" i="2"/>
  <c r="S3" i="1"/>
  <c r="S4" i="1"/>
  <c r="S5" i="1"/>
  <c r="S6" i="1"/>
  <c r="S7" i="1"/>
  <c r="S8" i="1"/>
  <c r="S9" i="1"/>
  <c r="S10" i="1"/>
  <c r="S11" i="1"/>
  <c r="S12" i="1"/>
  <c r="S13" i="1"/>
  <c r="J21" i="1"/>
  <c r="D13" i="1"/>
  <c r="J22" i="1"/>
  <c r="J23" i="1"/>
  <c r="J24" i="1"/>
  <c r="J25" i="1"/>
  <c r="J26" i="1"/>
  <c r="J27" i="1"/>
  <c r="J28" i="1"/>
  <c r="J29" i="1"/>
  <c r="J30" i="1"/>
  <c r="J31" i="1"/>
  <c r="U21" i="1"/>
  <c r="U22" i="1"/>
  <c r="U23" i="1"/>
  <c r="U24" i="1"/>
  <c r="U25" i="1"/>
  <c r="U26" i="1"/>
  <c r="U27" i="1"/>
  <c r="U28" i="1"/>
  <c r="U29" i="1"/>
  <c r="U30" i="1"/>
  <c r="U31" i="1"/>
  <c r="I3" i="1"/>
  <c r="Y21" i="1"/>
  <c r="Y22" i="1"/>
  <c r="Y23" i="1"/>
  <c r="Y24" i="1"/>
  <c r="Y25" i="1"/>
  <c r="Y26" i="1"/>
  <c r="Y27" i="1"/>
  <c r="Y28" i="1"/>
  <c r="Y29" i="1"/>
  <c r="Y30" i="1"/>
  <c r="Y31" i="1"/>
  <c r="R3" i="1"/>
  <c r="R4" i="1"/>
  <c r="V25" i="1"/>
  <c r="V26" i="1"/>
  <c r="V27" i="1"/>
  <c r="V28" i="1"/>
  <c r="V29" i="1"/>
  <c r="V30" i="1"/>
  <c r="V31" i="1"/>
  <c r="Q4" i="1"/>
  <c r="H3" i="1"/>
  <c r="T23" i="1"/>
  <c r="T24" i="1"/>
  <c r="T25" i="1"/>
  <c r="T26" i="1"/>
  <c r="T27" i="1"/>
  <c r="T28" i="1"/>
  <c r="T29" i="1"/>
  <c r="T30" i="1"/>
  <c r="T31" i="1"/>
  <c r="N22" i="1"/>
  <c r="N23" i="1"/>
  <c r="D20" i="1"/>
  <c r="O22" i="1"/>
  <c r="R22" i="1"/>
  <c r="J3" i="1"/>
  <c r="J4" i="1"/>
  <c r="J5" i="1"/>
  <c r="J6" i="1"/>
  <c r="J7" i="1"/>
  <c r="J8" i="1"/>
  <c r="J9" i="1"/>
  <c r="J10" i="1"/>
  <c r="J11" i="1"/>
  <c r="J12" i="1"/>
  <c r="J13" i="1"/>
  <c r="Q22" i="1"/>
  <c r="P22" i="1"/>
  <c r="L28" i="1"/>
  <c r="K22" i="1"/>
  <c r="L8" i="1"/>
  <c r="M8" i="1"/>
  <c r="N8" i="1"/>
  <c r="K31" i="1"/>
  <c r="K26" i="1"/>
  <c r="K16" i="1"/>
  <c r="K30" i="1"/>
  <c r="K24" i="1"/>
  <c r="L9" i="1"/>
  <c r="M9" i="1"/>
  <c r="L7" i="1"/>
  <c r="M7" i="1"/>
  <c r="P7" i="1"/>
  <c r="S25" i="1"/>
  <c r="K28" i="1"/>
  <c r="K23" i="1"/>
  <c r="L25" i="1"/>
  <c r="P6" i="1"/>
  <c r="O6" i="1"/>
  <c r="P4" i="1"/>
  <c r="N4" i="1"/>
  <c r="P8" i="1"/>
  <c r="O8" i="1"/>
  <c r="O23" i="1"/>
  <c r="N24" i="1"/>
  <c r="Q5" i="1"/>
  <c r="W22" i="1"/>
  <c r="R5" i="1"/>
  <c r="T4" i="1"/>
  <c r="X22" i="1"/>
  <c r="Z21" i="1"/>
  <c r="N6" i="1"/>
  <c r="O4" i="1"/>
  <c r="N9" i="1"/>
  <c r="O9" i="1"/>
  <c r="P9" i="1"/>
  <c r="O7" i="1"/>
  <c r="O3" i="1"/>
  <c r="N3" i="1"/>
  <c r="U3" i="1"/>
  <c r="V3" i="1"/>
  <c r="L12" i="1"/>
  <c r="M12" i="1"/>
  <c r="L11" i="1"/>
  <c r="M11" i="1"/>
  <c r="L10" i="1"/>
  <c r="M10" i="1"/>
  <c r="L27" i="1"/>
  <c r="L23" i="1"/>
  <c r="L22" i="1"/>
  <c r="T3" i="1"/>
  <c r="L13" i="1"/>
  <c r="M13" i="1"/>
  <c r="L5" i="1"/>
  <c r="M5" i="1"/>
  <c r="K29" i="1"/>
  <c r="L31" i="1"/>
  <c r="L26" i="1"/>
  <c r="M17" i="3"/>
  <c r="N17" i="3"/>
  <c r="Q17" i="3"/>
  <c r="N6" i="3"/>
  <c r="V22" i="4"/>
  <c r="N11" i="3"/>
  <c r="L11" i="3"/>
  <c r="M11" i="3"/>
  <c r="L9" i="3"/>
  <c r="M9" i="3"/>
  <c r="N9" i="3"/>
  <c r="L13" i="3"/>
  <c r="M13" i="3"/>
  <c r="N13" i="3"/>
  <c r="N7" i="3"/>
  <c r="M7" i="3"/>
  <c r="L7" i="3"/>
  <c r="L5" i="3"/>
  <c r="M5" i="3"/>
  <c r="N5" i="3"/>
  <c r="M10" i="3"/>
  <c r="M6" i="3"/>
  <c r="N12" i="3"/>
  <c r="N8" i="3"/>
  <c r="L12" i="3"/>
  <c r="L8" i="3"/>
  <c r="L43" i="3"/>
  <c r="N43" i="3"/>
  <c r="M43" i="3"/>
  <c r="L35" i="3"/>
  <c r="N35" i="3"/>
  <c r="M35" i="3"/>
  <c r="L27" i="3"/>
  <c r="M27" i="3"/>
  <c r="N27" i="3"/>
  <c r="Q27" i="3"/>
  <c r="M23" i="3"/>
  <c r="L23" i="3"/>
  <c r="N23" i="3"/>
  <c r="Q23" i="3"/>
  <c r="L42" i="3"/>
  <c r="N42" i="3"/>
  <c r="M42" i="3"/>
  <c r="L38" i="3"/>
  <c r="N38" i="3"/>
  <c r="M38" i="3"/>
  <c r="L34" i="3"/>
  <c r="M34" i="3"/>
  <c r="N34" i="3"/>
  <c r="Q34" i="3"/>
  <c r="L30" i="3"/>
  <c r="N30" i="3"/>
  <c r="M30" i="3"/>
  <c r="L26" i="3"/>
  <c r="N26" i="3"/>
  <c r="M26" i="3"/>
  <c r="L22" i="3"/>
  <c r="N22" i="3"/>
  <c r="M22" i="3"/>
  <c r="L18" i="3"/>
  <c r="M18" i="3"/>
  <c r="N18" i="3"/>
  <c r="Q18" i="3"/>
  <c r="M39" i="3"/>
  <c r="L39" i="3"/>
  <c r="N39" i="3"/>
  <c r="Q39" i="3"/>
  <c r="M31" i="3"/>
  <c r="L31" i="3"/>
  <c r="N31" i="3"/>
  <c r="L19" i="3"/>
  <c r="M19" i="3"/>
  <c r="N19" i="3"/>
  <c r="Q19" i="3"/>
  <c r="N45" i="3"/>
  <c r="N37" i="3"/>
  <c r="N29" i="3"/>
  <c r="N21" i="3"/>
  <c r="L41" i="3"/>
  <c r="L33" i="3"/>
  <c r="L25" i="3"/>
  <c r="N40" i="3"/>
  <c r="N32" i="3"/>
  <c r="N24" i="3"/>
  <c r="N20" i="3"/>
  <c r="L40" i="3"/>
  <c r="Q40" i="3"/>
  <c r="L32" i="3"/>
  <c r="Q32" i="3"/>
  <c r="L24" i="3"/>
  <c r="Q24" i="3"/>
  <c r="M45" i="3"/>
  <c r="Q45" i="3"/>
  <c r="M41" i="3"/>
  <c r="M37" i="3"/>
  <c r="Q37" i="3"/>
  <c r="M33" i="3"/>
  <c r="M29" i="3"/>
  <c r="Q29" i="3"/>
  <c r="M25" i="3"/>
  <c r="M21" i="3"/>
  <c r="Q21" i="3"/>
  <c r="N44" i="3"/>
  <c r="N36" i="3"/>
  <c r="N28" i="3"/>
  <c r="L44" i="3"/>
  <c r="Q44" i="3"/>
  <c r="L36" i="3"/>
  <c r="Q36" i="3"/>
  <c r="L28" i="3"/>
  <c r="Q28" i="3"/>
  <c r="L20" i="3"/>
  <c r="Q20" i="3"/>
  <c r="L15" i="3"/>
  <c r="N15" i="3"/>
  <c r="M15" i="3"/>
  <c r="M14" i="3"/>
  <c r="N14" i="3"/>
  <c r="P22" i="4"/>
  <c r="R22" i="4"/>
  <c r="Q22" i="4"/>
  <c r="R5" i="4"/>
  <c r="T4" i="4"/>
  <c r="Q5" i="4"/>
  <c r="L22" i="4"/>
  <c r="L31" i="4"/>
  <c r="Z21" i="4"/>
  <c r="L24" i="4"/>
  <c r="L28" i="4"/>
  <c r="O23" i="4"/>
  <c r="L25" i="4"/>
  <c r="L29" i="4"/>
  <c r="W3" i="1"/>
  <c r="N7" i="1"/>
  <c r="U7" i="1"/>
  <c r="V7" i="1"/>
  <c r="O10" i="1"/>
  <c r="N10" i="1"/>
  <c r="P10" i="1"/>
  <c r="R6" i="1"/>
  <c r="T5" i="1"/>
  <c r="R23" i="1"/>
  <c r="P23" i="1"/>
  <c r="Q23" i="1"/>
  <c r="N5" i="1"/>
  <c r="P5" i="1"/>
  <c r="O5" i="1"/>
  <c r="O11" i="1"/>
  <c r="P11" i="1"/>
  <c r="N11" i="1"/>
  <c r="AB21" i="1"/>
  <c r="AC21" i="1"/>
  <c r="N13" i="1"/>
  <c r="O13" i="1"/>
  <c r="P13" i="1"/>
  <c r="P12" i="1"/>
  <c r="O12" i="1"/>
  <c r="N12" i="1"/>
  <c r="S27" i="1"/>
  <c r="U9" i="1"/>
  <c r="V9" i="1"/>
  <c r="X23" i="1"/>
  <c r="Z22" i="1"/>
  <c r="W23" i="1"/>
  <c r="Q6" i="1"/>
  <c r="O24" i="1"/>
  <c r="N25" i="1"/>
  <c r="U8" i="1"/>
  <c r="V8" i="1"/>
  <c r="S26" i="1"/>
  <c r="S22" i="1"/>
  <c r="AA22" i="1"/>
  <c r="AB22" i="1"/>
  <c r="AC22" i="1"/>
  <c r="U4" i="1"/>
  <c r="V4" i="1"/>
  <c r="W4" i="1"/>
  <c r="U6" i="1"/>
  <c r="V6" i="1"/>
  <c r="S24" i="1"/>
  <c r="Q25" i="3"/>
  <c r="Q31" i="3"/>
  <c r="Q30" i="3"/>
  <c r="Q33" i="3"/>
  <c r="Q26" i="3"/>
  <c r="Q42" i="3"/>
  <c r="Q43" i="3"/>
  <c r="Q41" i="3"/>
  <c r="Q22" i="3"/>
  <c r="Q38" i="3"/>
  <c r="Q35" i="3"/>
  <c r="W22" i="4"/>
  <c r="Z22" i="4"/>
  <c r="V23" i="4"/>
  <c r="O24" i="4"/>
  <c r="Q23" i="4"/>
  <c r="R23" i="4"/>
  <c r="P23" i="4"/>
  <c r="N7" i="4"/>
  <c r="O7" i="4"/>
  <c r="R6" i="4"/>
  <c r="T5" i="4"/>
  <c r="N4" i="4"/>
  <c r="O4" i="4"/>
  <c r="N12" i="4"/>
  <c r="O12" i="4"/>
  <c r="E34" i="4"/>
  <c r="N6" i="4"/>
  <c r="O6" i="4"/>
  <c r="N13" i="4"/>
  <c r="O13" i="4"/>
  <c r="Q6" i="4"/>
  <c r="N3" i="4"/>
  <c r="O3" i="4"/>
  <c r="N9" i="4"/>
  <c r="O9" i="4"/>
  <c r="N11" i="4"/>
  <c r="O11" i="4"/>
  <c r="O10" i="4"/>
  <c r="N10" i="4"/>
  <c r="S31" i="1"/>
  <c r="U13" i="1"/>
  <c r="V13" i="1"/>
  <c r="U5" i="1"/>
  <c r="V5" i="1"/>
  <c r="W5" i="1"/>
  <c r="S23" i="1"/>
  <c r="AA23" i="1"/>
  <c r="AB23" i="1"/>
  <c r="U10" i="1"/>
  <c r="V10" i="1"/>
  <c r="S28" i="1"/>
  <c r="N26" i="1"/>
  <c r="O25" i="1"/>
  <c r="U11" i="1"/>
  <c r="V11" i="1"/>
  <c r="S29" i="1"/>
  <c r="P24" i="1"/>
  <c r="Q24" i="1"/>
  <c r="R24" i="1"/>
  <c r="AA24" i="1"/>
  <c r="AB24" i="1"/>
  <c r="X24" i="1"/>
  <c r="Z23" i="1"/>
  <c r="W24" i="1"/>
  <c r="Q7" i="1"/>
  <c r="U12" i="1"/>
  <c r="V12" i="1"/>
  <c r="S30" i="1"/>
  <c r="R7" i="1"/>
  <c r="T6" i="1"/>
  <c r="W6" i="1"/>
  <c r="W23" i="4"/>
  <c r="Z23" i="4"/>
  <c r="V24" i="4"/>
  <c r="U7" i="4"/>
  <c r="V7" i="4"/>
  <c r="U10" i="4"/>
  <c r="V10" i="4"/>
  <c r="U9" i="4"/>
  <c r="V9" i="4"/>
  <c r="U6" i="4"/>
  <c r="V6" i="4"/>
  <c r="T6" i="4"/>
  <c r="W6" i="4"/>
  <c r="AA22" i="4"/>
  <c r="AB22" i="4"/>
  <c r="AC22" i="4"/>
  <c r="U4" i="4"/>
  <c r="V4" i="4"/>
  <c r="W4" i="4"/>
  <c r="Q7" i="4"/>
  <c r="U3" i="4"/>
  <c r="V3" i="4"/>
  <c r="W3" i="4"/>
  <c r="AA21" i="4"/>
  <c r="AB21" i="4"/>
  <c r="AC21" i="4"/>
  <c r="U12" i="4"/>
  <c r="V12" i="4"/>
  <c r="O25" i="4"/>
  <c r="N8" i="4"/>
  <c r="O8" i="4"/>
  <c r="U13" i="4"/>
  <c r="V13" i="4"/>
  <c r="N5" i="4"/>
  <c r="O5" i="4"/>
  <c r="U11" i="4"/>
  <c r="V11" i="4"/>
  <c r="R7" i="4"/>
  <c r="Q24" i="4"/>
  <c r="R24" i="4"/>
  <c r="P24" i="4"/>
  <c r="P25" i="1"/>
  <c r="Q25" i="1"/>
  <c r="R25" i="1"/>
  <c r="AC23" i="1"/>
  <c r="T7" i="1"/>
  <c r="W7" i="1"/>
  <c r="R8" i="1"/>
  <c r="Q8" i="1"/>
  <c r="W25" i="1"/>
  <c r="O26" i="1"/>
  <c r="N27" i="1"/>
  <c r="Z24" i="1"/>
  <c r="AC24" i="1"/>
  <c r="X25" i="1"/>
  <c r="W24" i="4"/>
  <c r="Z24" i="4"/>
  <c r="V25" i="4"/>
  <c r="Q8" i="4"/>
  <c r="U8" i="4"/>
  <c r="V8" i="4"/>
  <c r="AA24" i="4"/>
  <c r="AB24" i="4"/>
  <c r="O26" i="4"/>
  <c r="T7" i="4"/>
  <c r="W7" i="4"/>
  <c r="R8" i="4"/>
  <c r="U5" i="4"/>
  <c r="V5" i="4"/>
  <c r="W5" i="4"/>
  <c r="AA23" i="4"/>
  <c r="AB23" i="4"/>
  <c r="AC23" i="4"/>
  <c r="Q25" i="4"/>
  <c r="R25" i="4"/>
  <c r="P25" i="4"/>
  <c r="AA25" i="4"/>
  <c r="AB25" i="4"/>
  <c r="X26" i="1"/>
  <c r="Z25" i="1"/>
  <c r="W26" i="1"/>
  <c r="Q9" i="1"/>
  <c r="AA25" i="1"/>
  <c r="AB25" i="1"/>
  <c r="AC25" i="1"/>
  <c r="O27" i="1"/>
  <c r="N28" i="1"/>
  <c r="R9" i="1"/>
  <c r="T8" i="1"/>
  <c r="W8" i="1"/>
  <c r="P26" i="1"/>
  <c r="Q26" i="1"/>
  <c r="R26" i="1"/>
  <c r="AC24" i="4"/>
  <c r="W25" i="4"/>
  <c r="Z25" i="4"/>
  <c r="AC25" i="4"/>
  <c r="V26" i="4"/>
  <c r="Q9" i="4"/>
  <c r="Q26" i="4"/>
  <c r="R26" i="4"/>
  <c r="P26" i="4"/>
  <c r="AA26" i="4"/>
  <c r="AB26" i="4"/>
  <c r="R9" i="4"/>
  <c r="T8" i="4"/>
  <c r="W8" i="4"/>
  <c r="O27" i="4"/>
  <c r="AA26" i="1"/>
  <c r="AB26" i="1"/>
  <c r="Z26" i="1"/>
  <c r="AC26" i="1"/>
  <c r="R10" i="1"/>
  <c r="T9" i="1"/>
  <c r="W9" i="1"/>
  <c r="Q10" i="1"/>
  <c r="W27" i="1"/>
  <c r="P27" i="1"/>
  <c r="Q27" i="1"/>
  <c r="R27" i="1"/>
  <c r="O28" i="1"/>
  <c r="N29" i="1"/>
  <c r="X27" i="1"/>
  <c r="W26" i="4"/>
  <c r="Z26" i="4"/>
  <c r="V27" i="4"/>
  <c r="AC26" i="4"/>
  <c r="O28" i="4"/>
  <c r="T9" i="4"/>
  <c r="W9" i="4"/>
  <c r="R10" i="4"/>
  <c r="Q10" i="4"/>
  <c r="Q27" i="4"/>
  <c r="P27" i="4"/>
  <c r="R27" i="4"/>
  <c r="N30" i="1"/>
  <c r="O29" i="1"/>
  <c r="R11" i="1"/>
  <c r="T10" i="1"/>
  <c r="W10" i="1"/>
  <c r="AA27" i="1"/>
  <c r="AB27" i="1"/>
  <c r="Q11" i="1"/>
  <c r="W28" i="1"/>
  <c r="P28" i="1"/>
  <c r="Q28" i="1"/>
  <c r="R28" i="1"/>
  <c r="Z27" i="1"/>
  <c r="X28" i="1"/>
  <c r="W27" i="4"/>
  <c r="Z27" i="4"/>
  <c r="V28" i="4"/>
  <c r="AA27" i="4"/>
  <c r="AB27" i="4"/>
  <c r="AC27" i="4"/>
  <c r="Q28" i="4"/>
  <c r="R28" i="4"/>
  <c r="P28" i="4"/>
  <c r="O29" i="4"/>
  <c r="R11" i="4"/>
  <c r="T10" i="4"/>
  <c r="W10" i="4"/>
  <c r="Q11" i="4"/>
  <c r="AA28" i="1"/>
  <c r="AB28" i="1"/>
  <c r="AC27" i="1"/>
  <c r="Z28" i="1"/>
  <c r="AC28" i="1"/>
  <c r="X29" i="1"/>
  <c r="T11" i="1"/>
  <c r="W11" i="1"/>
  <c r="R12" i="1"/>
  <c r="Q12" i="1"/>
  <c r="W29" i="1"/>
  <c r="R29" i="1"/>
  <c r="P29" i="1"/>
  <c r="Q29" i="1"/>
  <c r="N31" i="1"/>
  <c r="O31" i="1"/>
  <c r="O30" i="1"/>
  <c r="W28" i="4"/>
  <c r="Z28" i="4"/>
  <c r="V29" i="4"/>
  <c r="O30" i="4"/>
  <c r="O31" i="4"/>
  <c r="Q29" i="4"/>
  <c r="R29" i="4"/>
  <c r="P29" i="4"/>
  <c r="AA29" i="4"/>
  <c r="AB29" i="4"/>
  <c r="Q12" i="4"/>
  <c r="T11" i="4"/>
  <c r="W11" i="4"/>
  <c r="R12" i="4"/>
  <c r="AA28" i="4"/>
  <c r="AB28" i="4"/>
  <c r="AC28" i="4"/>
  <c r="AA29" i="1"/>
  <c r="AB29" i="1"/>
  <c r="Z29" i="1"/>
  <c r="AC29" i="1"/>
  <c r="Q31" i="1"/>
  <c r="P31" i="1"/>
  <c r="R31" i="1"/>
  <c r="X30" i="1"/>
  <c r="W30" i="1"/>
  <c r="Q13" i="1"/>
  <c r="W31" i="1"/>
  <c r="R30" i="1"/>
  <c r="P30" i="1"/>
  <c r="Q30" i="1"/>
  <c r="R13" i="1"/>
  <c r="T13" i="1"/>
  <c r="W13" i="1"/>
  <c r="T12" i="1"/>
  <c r="W12" i="1"/>
  <c r="W29" i="4"/>
  <c r="Z29" i="4"/>
  <c r="V30" i="4"/>
  <c r="Q13" i="4"/>
  <c r="Q31" i="4"/>
  <c r="P31" i="4"/>
  <c r="R31" i="4"/>
  <c r="AA31" i="4"/>
  <c r="AB31" i="4"/>
  <c r="T12" i="4"/>
  <c r="W12" i="4"/>
  <c r="R13" i="4"/>
  <c r="Q30" i="4"/>
  <c r="R30" i="4"/>
  <c r="P30" i="4"/>
  <c r="AC29" i="4"/>
  <c r="X31" i="1"/>
  <c r="Z31" i="1"/>
  <c r="Z30" i="1"/>
  <c r="AA30" i="1"/>
  <c r="AB30" i="1"/>
  <c r="AC30" i="1"/>
  <c r="AA31" i="1"/>
  <c r="AB31" i="1"/>
  <c r="W30" i="4"/>
  <c r="Z30" i="4"/>
  <c r="V31" i="4"/>
  <c r="W31" i="4"/>
  <c r="Z31" i="4"/>
  <c r="AC31" i="4"/>
  <c r="AA30" i="4"/>
  <c r="AB30" i="4"/>
  <c r="AC30" i="4"/>
  <c r="T13" i="4"/>
  <c r="W13" i="4"/>
  <c r="AC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JATIN</author>
  </authors>
  <commentList>
    <comment ref="J2" authorId="0" shapeId="0" xr:uid="{746B906E-EB13-46A7-A1A6-54F82B6ED563}">
      <text>
        <r>
          <rPr>
            <b/>
            <sz val="9"/>
            <color indexed="81"/>
            <rFont val="Tahoma"/>
            <family val="2"/>
          </rPr>
          <t xml:space="preserve">from depreciating
</t>
        </r>
      </text>
    </comment>
    <comment ref="O2" authorId="0" shapeId="0" xr:uid="{D95F5494-18D8-4938-B154-4B6BC5440694}">
      <text>
        <r>
          <rPr>
            <b/>
            <sz val="9"/>
            <color indexed="81"/>
            <rFont val="Tahoma"/>
            <family val="2"/>
          </rPr>
          <t>COST OF SERVICING</t>
        </r>
      </text>
    </comment>
    <comment ref="B11" authorId="0" shapeId="0" xr:uid="{6FABB43C-ADDD-4E2F-A1C3-63773E129DFF}">
      <text>
        <r>
          <rPr>
            <b/>
            <sz val="9"/>
            <color indexed="81"/>
            <rFont val="Tahoma"/>
            <family val="2"/>
          </rPr>
          <t>None of that money can be recouped at this stage, if
Universal Swap decides not to go ahead with the content investment.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3" authorId="0" shapeId="0" xr:uid="{C73B638D-6C3C-451F-AD1D-97E7F440CEC1}">
      <text>
        <r>
          <rPr>
            <b/>
            <sz val="9"/>
            <color indexed="81"/>
            <rFont val="Tahoma"/>
            <charset val="1"/>
          </rPr>
          <t>If Universal Swap decides to go ahead with the pool</t>
        </r>
      </text>
    </comment>
    <comment ref="C13" authorId="0" shapeId="0" xr:uid="{515964A2-2DF3-4584-BB6A-E5559F164E7F}">
      <text>
        <r>
          <rPr>
            <b/>
            <sz val="9"/>
            <color indexed="81"/>
            <rFont val="Tahoma"/>
            <family val="2"/>
          </rPr>
          <t>The cost is depreciable over the next 10 yearsTO VALUE …,WITH STRAIGHT LINE DEPRECIATION</t>
        </r>
      </text>
    </comment>
    <comment ref="D13" authorId="0" shapeId="0" xr:uid="{26405247-5217-46FB-8287-74B76E2F9B3C}">
      <text>
        <r>
          <rPr>
            <b/>
            <sz val="9"/>
            <color indexed="81"/>
            <rFont val="Tahoma"/>
            <family val="2"/>
          </rPr>
          <t>DEPRECIABLE @ 8%</t>
        </r>
      </text>
    </comment>
    <comment ref="B15" authorId="0" shapeId="0" xr:uid="{D8011812-DCB3-40BC-9E19-DE17339148C4}">
      <text>
        <r>
          <rPr>
            <b/>
            <sz val="9"/>
            <color indexed="81"/>
            <rFont val="Tahoma"/>
            <family val="2"/>
          </rPr>
          <t>US AND RUSSIA PARTICIPANT</t>
        </r>
      </text>
    </comment>
    <comment ref="C15" authorId="0" shapeId="0" xr:uid="{EF0FE272-5301-432F-9825-174713154B8F}">
      <text>
        <r>
          <rPr>
            <b/>
            <sz val="9"/>
            <color indexed="81"/>
            <rFont val="Tahoma"/>
            <family val="2"/>
          </rPr>
          <t xml:space="preserve">INTERNATIONAL PARTICIPANT
</t>
        </r>
      </text>
    </comment>
    <comment ref="B17" authorId="0" shapeId="0" xr:uid="{8D35F55E-293C-4293-B50F-FC9DF1CD87C0}">
      <text>
        <r>
          <rPr>
            <b/>
            <sz val="9"/>
            <color indexed="81"/>
            <rFont val="Tahoma"/>
            <family val="2"/>
          </rPr>
          <t xml:space="preserve">EXCHANGE CHARGES
EXPECTS TO GROW AT INFLATION RATE EACH YEAR FOR NEXT 10 YRS
</t>
        </r>
      </text>
    </comment>
    <comment ref="B18" authorId="0" shapeId="0" xr:uid="{BE663E92-947D-410A-976F-65A1FDAE1544}">
      <text>
        <r>
          <rPr>
            <b/>
            <sz val="9"/>
            <color indexed="81"/>
            <rFont val="Tahoma"/>
            <family val="2"/>
          </rPr>
          <t>COST OF SERVICING FOR US AND RUSSIA,GROWS AS BY INFLATION</t>
        </r>
      </text>
    </comment>
    <comment ref="C18" authorId="0" shapeId="0" xr:uid="{B6EED04F-5FA4-477E-BEB8-0C35B4F66C8A}">
      <text>
        <r>
          <rPr>
            <b/>
            <sz val="9"/>
            <color indexed="81"/>
            <rFont val="Tahoma"/>
            <family val="2"/>
          </rPr>
          <t>COST OF SERVICING FOR INTERNATIONAL,GROWS AS BY INFLATION</t>
        </r>
      </text>
    </comment>
    <comment ref="B20" authorId="0" shapeId="0" xr:uid="{16581D33-38DB-48CE-8484-7FAFC7D752D5}">
      <text>
        <r>
          <rPr>
            <b/>
            <sz val="9"/>
            <color indexed="81"/>
            <rFont val="Tahoma"/>
            <family val="2"/>
          </rPr>
          <t>NEW 5M PARTICIPANTS IN
 YR 1</t>
        </r>
      </text>
    </comment>
    <comment ref="C20" authorId="0" shapeId="0" xr:uid="{2EDD8B87-5C31-490F-8F85-7A120094ABEC}">
      <text>
        <r>
          <rPr>
            <b/>
            <sz val="9"/>
            <color indexed="81"/>
            <rFont val="Tahoma"/>
            <family val="2"/>
          </rPr>
          <t>PARTICIPANTS GROWING @8% FOLLOWING 9 YRS</t>
        </r>
      </text>
    </comment>
    <comment ref="D20" authorId="0" shapeId="0" xr:uid="{0DE720DD-DEA4-4CA3-9010-22AC43EC070F}">
      <text>
        <r>
          <rPr>
            <b/>
            <sz val="9"/>
            <color indexed="81"/>
            <rFont val="Tahoma"/>
            <family val="2"/>
          </rPr>
          <t>COST OF SERVICING NEW INT PARTICIPANTS
(WILL INCREASE BY INFLATION)</t>
        </r>
      </text>
    </comment>
    <comment ref="J20" authorId="0" shapeId="0" xr:uid="{7CC41BB0-502C-44EC-A3D0-D475F93F498E}">
      <text>
        <r>
          <rPr>
            <b/>
            <sz val="9"/>
            <color indexed="81"/>
            <rFont val="Tahoma"/>
            <family val="2"/>
          </rPr>
          <t xml:space="preserve">from depreciating
</t>
        </r>
      </text>
    </comment>
    <comment ref="Q20" authorId="0" shapeId="0" xr:uid="{AC0DE42E-EF52-4EEF-8F5A-001383356A97}">
      <text>
        <r>
          <rPr>
            <b/>
            <sz val="9"/>
            <color indexed="81"/>
            <rFont val="Tahoma"/>
            <family val="2"/>
          </rPr>
          <t>COST OF SERVICING</t>
        </r>
      </text>
    </comment>
    <comment ref="B22" authorId="0" shapeId="0" xr:uid="{DE464A31-DD9E-475B-9061-41B5494808AA}">
      <text>
        <r>
          <rPr>
            <b/>
            <sz val="9"/>
            <color indexed="81"/>
            <rFont val="Tahoma"/>
            <family val="2"/>
          </rPr>
          <t>CURRENTLY USES ONLY 65% OF THE SERVER,IF CAPACITY LIMIT IS REACHED,WILL BUY NEW</t>
        </r>
      </text>
    </comment>
    <comment ref="C22" authorId="0" shapeId="0" xr:uid="{5558102F-8CC0-45DE-A13E-F77CFBFAA905}">
      <text>
        <r>
          <rPr>
            <b/>
            <sz val="9"/>
            <color indexed="81"/>
            <rFont val="Tahoma"/>
            <family val="2"/>
          </rPr>
          <t>COST OF BOUYING NEW SERVER,COST WILL GROW BY INFLATION</t>
        </r>
      </text>
    </comment>
    <comment ref="B24" authorId="0" shapeId="0" xr:uid="{5AAF7006-9D4D-4906-86A3-A72D62EDDFC5}">
      <text>
        <r>
          <rPr>
            <b/>
            <sz val="9"/>
            <color indexed="81"/>
            <rFont val="Tahoma"/>
            <family val="2"/>
          </rPr>
          <t>UNIVERSAL SWAP ALLOCATE 10% IN G&amp;A COST TO NEW POOL</t>
        </r>
      </text>
    </comment>
    <comment ref="C24" authorId="0" shapeId="0" xr:uid="{7463962B-378A-44D8-BB35-DBDBFABC110B}">
      <text>
        <r>
          <rPr>
            <b/>
            <sz val="9"/>
            <color indexed="81"/>
            <rFont val="Tahoma"/>
            <family val="2"/>
          </rPr>
          <t>EXPECTED TO GROW @5% FOR NEXT 10 YRS</t>
        </r>
      </text>
    </comment>
    <comment ref="D24" authorId="0" shapeId="0" xr:uid="{2FF8B03B-DE59-4DFC-A912-A1D905383B05}">
      <text>
        <r>
          <rPr>
            <b/>
            <sz val="9"/>
            <color indexed="81"/>
            <rFont val="Tahoma"/>
            <family val="2"/>
          </rPr>
          <t>INCREASE IN G&amp;A COSTS, GROUS @10% FOR NEXT 10 YRS</t>
        </r>
      </text>
    </comment>
    <comment ref="B26" authorId="0" shapeId="0" xr:uid="{DA77FE1D-6101-4446-8112-4FF848548FB2}">
      <text>
        <r>
          <rPr>
            <b/>
            <sz val="9"/>
            <color indexed="81"/>
            <rFont val="Tahoma"/>
            <family val="2"/>
          </rPr>
          <t>UNIVERSAL SWAP EXPENSE IN ADV</t>
        </r>
      </text>
    </comment>
    <comment ref="C26" authorId="0" shapeId="0" xr:uid="{2409A17A-12F2-4677-8573-535936D72297}">
      <text>
        <r>
          <rPr>
            <b/>
            <sz val="9"/>
            <color indexed="81"/>
            <rFont val="Tahoma"/>
            <family val="2"/>
          </rPr>
          <t>If it does not invest in
the new pool, it expects cost to increase @5% FOR next 10 years.</t>
        </r>
      </text>
    </comment>
    <comment ref="D26" authorId="0" shapeId="0" xr:uid="{4CC37FFF-17F6-4872-AB16-4AF2DB04E914}">
      <text>
        <r>
          <rPr>
            <b/>
            <sz val="9"/>
            <color indexed="81"/>
            <rFont val="Tahoma"/>
            <family val="2"/>
          </rPr>
          <t>If invested in new pool, adv cost will increase @15% for next 10 yrs</t>
        </r>
      </text>
    </comment>
    <comment ref="A28" authorId="0" shapeId="0" xr:uid="{CA133E90-76EE-4D19-A842-C482F02117EA}">
      <text>
        <r>
          <rPr>
            <b/>
            <sz val="9"/>
            <color indexed="81"/>
            <rFont val="Tahoma"/>
            <family val="2"/>
          </rPr>
          <t>all working captal expense need to be paid at beginning od each yr</t>
        </r>
      </text>
    </comment>
    <comment ref="B28" authorId="0" shapeId="0" xr:uid="{60D64655-435E-43D3-AB7B-E754C299BFAA}">
      <text>
        <r>
          <rPr>
            <b/>
            <sz val="9"/>
            <color indexed="81"/>
            <rFont val="Tahoma"/>
            <family val="2"/>
          </rPr>
          <t>new pool will create accounts receivable amounting to 5% of
revenues each year.</t>
        </r>
      </text>
    </comment>
    <comment ref="C28" authorId="0" shapeId="0" xr:uid="{BE4ED861-944F-4059-A45A-303C4F342E90}">
      <text>
        <r>
          <rPr>
            <b/>
            <sz val="9"/>
            <color indexed="81"/>
            <rFont val="Tahoma"/>
            <family val="2"/>
          </rPr>
          <t>Inventory will be approximately 10% of revenues each year.</t>
        </r>
      </text>
    </comment>
    <comment ref="D28" authorId="0" shapeId="0" xr:uid="{1897D018-294D-4200-9B09-18837FBCF794}">
      <text>
        <r>
          <rPr>
            <b/>
            <sz val="9"/>
            <color indexed="81"/>
            <rFont val="Tahoma"/>
            <family val="2"/>
          </rPr>
          <t>Accounts payable will be 6% of the revenues each year.</t>
        </r>
      </text>
    </comment>
    <comment ref="A30" authorId="0" shapeId="0" xr:uid="{F75914AD-AFFE-4EEE-8C45-8637E6AD3D35}">
      <text>
        <r>
          <rPr>
            <b/>
            <sz val="9"/>
            <color indexed="81"/>
            <rFont val="Tahoma"/>
            <family val="2"/>
          </rPr>
          <t>Universal Swap will be able to use The Alternium to cut costs of its
current pool by utilizing synergies in terms of platform costs.</t>
        </r>
      </text>
    </comment>
    <comment ref="C30" authorId="0" shapeId="0" xr:uid="{945409C5-E6BC-4DD6-81EA-7C6AD046FCC1}">
      <text>
        <r>
          <rPr>
            <b/>
            <sz val="9"/>
            <color indexed="81"/>
            <rFont val="Tahoma"/>
            <family val="2"/>
          </rPr>
          <t>EXPECT TO INCREASE @3% FOR NEXT 10 YRS</t>
        </r>
      </text>
    </comment>
    <comment ref="B32" authorId="0" shapeId="0" xr:uid="{FB5033E2-FFFE-4CD4-A3F9-78F72D1D8F2A}">
      <text>
        <r>
          <rPr>
            <b/>
            <sz val="9"/>
            <color indexed="81"/>
            <rFont val="Tahoma"/>
            <family val="2"/>
          </rPr>
          <t>CURRENT PRICE/SHARE</t>
        </r>
      </text>
    </comment>
    <comment ref="C32" authorId="0" shapeId="0" xr:uid="{D286A4AC-CC45-4C0E-AE96-17D78EFF88F1}">
      <text>
        <r>
          <rPr>
            <b/>
            <sz val="9"/>
            <color indexed="81"/>
            <rFont val="Tahoma"/>
            <family val="2"/>
          </rPr>
          <t>NO OF OUTSTANDING SHARES</t>
        </r>
      </text>
    </comment>
    <comment ref="B33" authorId="0" shapeId="0" xr:uid="{D07454D6-063D-4F6C-AE6A-52F64B3D8E19}">
      <text>
        <r>
          <rPr>
            <b/>
            <sz val="9"/>
            <color indexed="81"/>
            <rFont val="Tahoma"/>
            <family val="2"/>
          </rPr>
          <t>TOTAL DEBT</t>
        </r>
      </text>
    </comment>
    <comment ref="C33" authorId="0" shapeId="0" xr:uid="{C3914665-3FFF-4F8C-9DFD-9AC913737514}">
      <text>
        <r>
          <rPr>
            <b/>
            <sz val="9"/>
            <color indexed="81"/>
            <rFont val="Tahoma"/>
            <family val="2"/>
          </rPr>
          <t>DEBT INTEREST</t>
        </r>
      </text>
    </comment>
    <comment ref="B35" authorId="0" shapeId="0" xr:uid="{0B969A97-2673-4E71-A7DA-4E99D7DD7199}">
      <text>
        <r>
          <rPr>
            <b/>
            <sz val="9"/>
            <color indexed="81"/>
            <rFont val="Tahoma"/>
            <family val="2"/>
          </rPr>
          <t>Universal Swap’s marginal tax rate is roughly 10% of its revenue.</t>
        </r>
      </text>
    </comment>
    <comment ref="B37" authorId="0" shapeId="0" xr:uid="{41DECE47-A650-409C-AB11-3F760B476702}">
      <text>
        <r>
          <rPr>
            <b/>
            <sz val="9"/>
            <color indexed="81"/>
            <rFont val="Tahoma"/>
            <family val="2"/>
          </rPr>
          <t>current ten-year US Treasury bond rate</t>
        </r>
      </text>
    </comment>
    <comment ref="C37" authorId="0" shapeId="0" xr:uid="{91FC9167-923E-44E5-B9D3-2F64DC8051C7}">
      <text>
        <r>
          <rPr>
            <b/>
            <sz val="9"/>
            <color indexed="81"/>
            <rFont val="Tahoma"/>
            <family val="2"/>
          </rPr>
          <t>expected inflation rate</t>
        </r>
      </text>
    </comment>
    <comment ref="B39" authorId="0" shapeId="0" xr:uid="{22F93F4A-6CCF-43A6-909C-1B7C9EBBCC13}">
      <text>
        <r>
          <rPr>
            <b/>
            <sz val="9"/>
            <color indexed="81"/>
            <rFont val="Tahoma"/>
            <family val="2"/>
          </rPr>
          <t>cost of capital to be used for evaluating the particular project is assumed to be 11% p.a.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JATIN</author>
  </authors>
  <commentList>
    <comment ref="G3" authorId="0" shapeId="0" xr:uid="{EA1429D1-A876-4FD9-8695-CB8E5798FF05}">
      <text>
        <r>
          <rPr>
            <b/>
            <sz val="9"/>
            <color indexed="81"/>
            <rFont val="Tahoma"/>
            <family val="2"/>
          </rPr>
          <t xml:space="preserve">from depreciating
</t>
        </r>
      </text>
    </comment>
    <comment ref="I3" authorId="0" shapeId="0" xr:uid="{0B574BBE-C067-4D89-83AF-CE670652162D}">
      <text>
        <r>
          <rPr>
            <b/>
            <sz val="9"/>
            <color indexed="81"/>
            <rFont val="Tahoma"/>
            <family val="2"/>
          </rPr>
          <t xml:space="preserve">TAKEN FROM 1ST SHEET
</t>
        </r>
      </text>
    </comment>
    <comment ref="B4" authorId="0" shapeId="0" xr:uid="{BC81403B-6C3E-4EAB-98CE-06B5A0E63F92}">
      <text>
        <r>
          <rPr>
            <b/>
            <sz val="9"/>
            <color indexed="81"/>
            <rFont val="Tahoma"/>
            <charset val="1"/>
          </rPr>
          <t>If Universal Swap decides to go ahead with the pool</t>
        </r>
      </text>
    </comment>
    <comment ref="C4" authorId="0" shapeId="0" xr:uid="{FD794C7E-E3C9-4563-BEEA-9A45524BCCFF}">
      <text>
        <r>
          <rPr>
            <b/>
            <sz val="9"/>
            <color indexed="81"/>
            <rFont val="Tahoma"/>
            <family val="2"/>
          </rPr>
          <t>The cost is depreciable over the next 10 yearsTO VALUE …,WITH STRAIGHT LINE DEPRECIATION</t>
        </r>
      </text>
    </comment>
    <comment ref="D4" authorId="0" shapeId="0" xr:uid="{E3BE2FC9-2C5A-4167-9214-E39D70474BED}">
      <text>
        <r>
          <rPr>
            <b/>
            <sz val="9"/>
            <color indexed="81"/>
            <rFont val="Tahoma"/>
            <family val="2"/>
          </rPr>
          <t>DEPRECIABLE @ 8%</t>
        </r>
      </text>
    </comment>
    <comment ref="B6" authorId="0" shapeId="0" xr:uid="{537D5711-BFD5-45FB-8E6B-846AF8C22F3C}">
      <text>
        <r>
          <rPr>
            <b/>
            <sz val="9"/>
            <color indexed="81"/>
            <rFont val="Tahoma"/>
            <family val="2"/>
          </rPr>
          <t>CURRENTLY USES ONLY 65% OF THE SERVER,IF CAPACITY LIMIT IS REACHED,WILL BUY NEW</t>
        </r>
      </text>
    </comment>
    <comment ref="C6" authorId="0" shapeId="0" xr:uid="{E78A9FEC-43C9-4DC6-ACC8-A1FDAA2840BE}">
      <text>
        <r>
          <rPr>
            <b/>
            <sz val="9"/>
            <color indexed="81"/>
            <rFont val="Tahoma"/>
            <family val="2"/>
          </rPr>
          <t>COST OF BOUYING NEW SERVER,COST WILL GROW BY INFLATION</t>
        </r>
      </text>
    </comment>
    <comment ref="B8" authorId="0" shapeId="0" xr:uid="{0DC32F57-E9EA-4B79-A741-9DF3A0DC1B06}">
      <text>
        <r>
          <rPr>
            <b/>
            <sz val="9"/>
            <color indexed="81"/>
            <rFont val="Tahoma"/>
            <family val="2"/>
          </rPr>
          <t>5% OF REVENNUES EACH YEAR</t>
        </r>
      </text>
    </comment>
    <comment ref="B10" authorId="0" shapeId="0" xr:uid="{0666CF6C-3C82-414E-95FE-46BB3F9ED0D1}">
      <text>
        <r>
          <rPr>
            <b/>
            <sz val="9"/>
            <color indexed="81"/>
            <rFont val="Tahoma"/>
            <family val="2"/>
          </rPr>
          <t>10% OF REVENUE EACH YEAR</t>
        </r>
      </text>
    </comment>
    <comment ref="B12" authorId="0" shapeId="0" xr:uid="{FF6349D3-8324-46F3-A225-E2A9D7B10F6E}">
      <text>
        <r>
          <rPr>
            <b/>
            <sz val="9"/>
            <color indexed="81"/>
            <rFont val="Tahoma"/>
            <family val="2"/>
          </rPr>
          <t>6% OF REVENUE EACH YEAR</t>
        </r>
      </text>
    </comment>
    <comment ref="B14" authorId="0" shapeId="0" xr:uid="{14BBC36D-C65A-4B28-A298-5CDA43690CFF}">
      <text>
        <r>
          <rPr>
            <b/>
            <sz val="9"/>
            <color indexed="81"/>
            <rFont val="Tahoma"/>
            <family val="2"/>
          </rPr>
          <t>current ten-year US Treasury bond rate</t>
        </r>
      </text>
    </comment>
    <comment ref="C14" authorId="0" shapeId="0" xr:uid="{B6A8F6C4-6591-441F-81D2-4FAFE2E2D05A}">
      <text>
        <r>
          <rPr>
            <b/>
            <sz val="9"/>
            <color indexed="81"/>
            <rFont val="Tahoma"/>
            <family val="2"/>
          </rPr>
          <t>expected inflation rate</t>
        </r>
      </text>
    </comment>
    <comment ref="B16" authorId="0" shapeId="0" xr:uid="{913BA6CF-6DDE-4157-A1F7-68B209469D75}">
      <text>
        <r>
          <rPr>
            <b/>
            <sz val="9"/>
            <color indexed="81"/>
            <rFont val="Tahoma"/>
            <family val="2"/>
          </rPr>
          <t>cost of capital to be used for evaluating the particular project is assumed to be 11% p.a.</t>
        </r>
      </text>
    </comment>
    <comment ref="G19" authorId="0" shapeId="0" xr:uid="{432FA2C0-C09B-446E-9C0F-5E9B871A37F3}">
      <text>
        <r>
          <rPr>
            <b/>
            <sz val="9"/>
            <color indexed="81"/>
            <rFont val="Tahoma"/>
            <family val="2"/>
          </rPr>
          <t>i.e. 
10YR NPV TURNED TO 0 TO CALCULATE IRR</t>
        </r>
      </text>
    </comment>
    <comment ref="I19" authorId="0" shapeId="0" xr:uid="{13B15625-6B88-4D1C-B52C-BE3095A5867A}">
      <text>
        <r>
          <rPr>
            <b/>
            <sz val="9"/>
            <color indexed="81"/>
            <rFont val="Tahoma"/>
            <family val="2"/>
          </rPr>
          <t>NPV TURNED TO 0
TO CALCULATE IRR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JATIN</author>
  </authors>
  <commentList>
    <comment ref="B4" authorId="0" shapeId="0" xr:uid="{A58778E4-DB7F-4F47-8C0B-5ECD6F4A3025}">
      <text>
        <r>
          <rPr>
            <b/>
            <sz val="9"/>
            <color indexed="81"/>
            <rFont val="Tahoma"/>
            <charset val="1"/>
          </rPr>
          <t>If Universal Swap decides to go ahead with the pool</t>
        </r>
      </text>
    </comment>
    <comment ref="C4" authorId="0" shapeId="0" xr:uid="{311BB15E-2EC5-4BCF-A544-0026020A12D4}">
      <text>
        <r>
          <rPr>
            <b/>
            <sz val="9"/>
            <color indexed="81"/>
            <rFont val="Tahoma"/>
            <family val="2"/>
          </rPr>
          <t>The cost is depreciable over the next 10 yearsTO VALUE …,WITH STRAIGHT LINE DEPRECIATION</t>
        </r>
      </text>
    </comment>
    <comment ref="D4" authorId="0" shapeId="0" xr:uid="{C6AF0A35-E0CD-42CD-BBE6-7DFE75960E69}">
      <text>
        <r>
          <rPr>
            <b/>
            <sz val="9"/>
            <color indexed="81"/>
            <rFont val="Tahoma"/>
            <family val="2"/>
          </rPr>
          <t>DEPRECIABLE @ 8%</t>
        </r>
      </text>
    </comment>
    <comment ref="J4" authorId="0" shapeId="0" xr:uid="{012800EB-7CBF-41F3-AF8C-DB422423FF01}">
      <text>
        <r>
          <rPr>
            <b/>
            <sz val="9"/>
            <color indexed="81"/>
            <rFont val="Tahoma"/>
            <family val="2"/>
          </rPr>
          <t>COST OF SERVICING</t>
        </r>
      </text>
    </comment>
    <comment ref="B6" authorId="0" shapeId="0" xr:uid="{332F103F-9F05-427B-AAEF-CEDE243ED4E9}">
      <text>
        <r>
          <rPr>
            <b/>
            <sz val="9"/>
            <color indexed="81"/>
            <rFont val="Tahoma"/>
            <family val="2"/>
          </rPr>
          <t>CURRENTLY USES ONLY 65% OF THE SERVER,IF CAPACITY LIMIT IS REACHED,WILL BUY NEW</t>
        </r>
      </text>
    </comment>
    <comment ref="C6" authorId="0" shapeId="0" xr:uid="{83E514DC-2B30-4559-8F41-CB33746610FA}">
      <text>
        <r>
          <rPr>
            <b/>
            <sz val="9"/>
            <color indexed="81"/>
            <rFont val="Tahoma"/>
            <family val="2"/>
          </rPr>
          <t>COST OF BOUYING NEW SERVER,COST WILL GROW BY INFLATION</t>
        </r>
      </text>
    </comment>
    <comment ref="B8" authorId="0" shapeId="0" xr:uid="{FEB76622-ED92-449C-9EEE-14401E06BA14}">
      <text>
        <r>
          <rPr>
            <b/>
            <sz val="9"/>
            <color indexed="81"/>
            <rFont val="Tahoma"/>
            <family val="2"/>
          </rPr>
          <t>5% OF REVENNUES EACH YEAR</t>
        </r>
      </text>
    </comment>
    <comment ref="B10" authorId="0" shapeId="0" xr:uid="{68A95CE1-6873-4072-B5EB-EF67EF842444}">
      <text>
        <r>
          <rPr>
            <b/>
            <sz val="9"/>
            <color indexed="81"/>
            <rFont val="Tahoma"/>
            <family val="2"/>
          </rPr>
          <t>10% OF REVENUE EACH YEAR</t>
        </r>
      </text>
    </comment>
    <comment ref="B12" authorId="0" shapeId="0" xr:uid="{4C7F6ECC-D016-461B-B37E-5B726394ED86}">
      <text>
        <r>
          <rPr>
            <b/>
            <sz val="9"/>
            <color indexed="81"/>
            <rFont val="Tahoma"/>
            <family val="2"/>
          </rPr>
          <t>6% OF REVENUE EACH YEAR</t>
        </r>
      </text>
    </comment>
    <comment ref="B14" authorId="0" shapeId="0" xr:uid="{75DD0BA9-4D7E-4623-A1AE-4A6386699533}">
      <text>
        <r>
          <rPr>
            <b/>
            <sz val="9"/>
            <color indexed="81"/>
            <rFont val="Tahoma"/>
            <family val="2"/>
          </rPr>
          <t>current ten-year US Treasury bond rate</t>
        </r>
      </text>
    </comment>
    <comment ref="C14" authorId="0" shapeId="0" xr:uid="{6CEC5685-912B-4738-98F4-8E4FFA3554A5}">
      <text>
        <r>
          <rPr>
            <b/>
            <sz val="9"/>
            <color indexed="81"/>
            <rFont val="Tahoma"/>
            <family val="2"/>
          </rPr>
          <t>expected inflation rate</t>
        </r>
      </text>
    </comment>
    <comment ref="B16" authorId="0" shapeId="0" xr:uid="{634AAC96-2CEE-468A-9146-E03D387FA270}">
      <text>
        <r>
          <rPr>
            <b/>
            <sz val="9"/>
            <color indexed="81"/>
            <rFont val="Tahoma"/>
            <family val="2"/>
          </rPr>
          <t>cost of capital to be used for evaluating the particular project is assumed to be 11% p.a.</t>
        </r>
      </text>
    </comment>
    <comment ref="H16" authorId="0" shapeId="0" xr:uid="{BE3E8951-4184-4449-B3D2-BD13749F2C4F}">
      <text>
        <r>
          <rPr>
            <b/>
            <sz val="9"/>
            <color indexed="81"/>
            <rFont val="Tahoma"/>
            <charset val="1"/>
          </rPr>
          <t xml:space="preserve">AFTER 10 YRS,ALTERNIUM PLANNED TO UPDATE THEIR SERVER
</t>
        </r>
      </text>
    </comment>
    <comment ref="G17" authorId="0" shapeId="0" xr:uid="{2C127BC8-6772-4FC0-AD7C-532CB7130092}">
      <text>
        <r>
          <rPr>
            <b/>
            <sz val="9"/>
            <color indexed="81"/>
            <rFont val="Tahoma"/>
            <family val="2"/>
          </rPr>
          <t xml:space="preserve">THIS WILL ENDUP SOLDING INTRO PRODUCT </t>
        </r>
      </text>
    </comment>
    <comment ref="B18" authorId="0" shapeId="0" xr:uid="{F3351F7E-6E51-4D27-9E08-1C91054F2DD7}">
      <text>
        <r>
          <rPr>
            <b/>
            <sz val="9"/>
            <color indexed="81"/>
            <rFont val="Tahoma"/>
            <family val="2"/>
          </rPr>
          <t>Universal Swap’s marginal tax rate is roughly 10% of its revenue.</t>
        </r>
      </text>
    </comment>
    <comment ref="B20" authorId="0" shapeId="0" xr:uid="{CBEE03BF-56E6-43F0-A6EB-E1B2D0B44005}">
      <text>
        <r>
          <rPr>
            <b/>
            <sz val="9"/>
            <color indexed="81"/>
            <rFont val="Tahoma"/>
            <family val="2"/>
          </rPr>
          <t>current ten-year US Treasury bond rate</t>
        </r>
      </text>
    </comment>
    <comment ref="C20" authorId="0" shapeId="0" xr:uid="{B8BC35F2-6DA7-455F-B62C-F916F29D18BB}">
      <text>
        <r>
          <rPr>
            <b/>
            <sz val="9"/>
            <color indexed="81"/>
            <rFont val="Tahoma"/>
            <family val="2"/>
          </rPr>
          <t>expected inflation rate</t>
        </r>
      </text>
    </comment>
    <comment ref="B22" authorId="0" shapeId="0" xr:uid="{006EEE14-05B7-4443-86C0-8F35DE8F0783}">
      <text>
        <r>
          <rPr>
            <b/>
            <sz val="9"/>
            <color indexed="81"/>
            <rFont val="Tahoma"/>
            <family val="2"/>
          </rPr>
          <t>cost of capital to be used for evaluating the particular project is assumed to be 11% p.a.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JATIN</author>
  </authors>
  <commentList>
    <comment ref="J2" authorId="0" shapeId="0" xr:uid="{6ABBDA5A-19F5-45B6-83E8-C9266D24FA3D}">
      <text>
        <r>
          <rPr>
            <b/>
            <sz val="9"/>
            <color indexed="81"/>
            <rFont val="Tahoma"/>
            <family val="2"/>
          </rPr>
          <t xml:space="preserve">from depreciating
</t>
        </r>
      </text>
    </comment>
    <comment ref="O2" authorId="0" shapeId="0" xr:uid="{ACBA799C-8DEC-4FC2-8247-80097D5D0B8D}">
      <text>
        <r>
          <rPr>
            <b/>
            <sz val="9"/>
            <color indexed="81"/>
            <rFont val="Tahoma"/>
            <family val="2"/>
          </rPr>
          <t>COST OF SERVICING</t>
        </r>
      </text>
    </comment>
    <comment ref="B11" authorId="0" shapeId="0" xr:uid="{050B6AB9-35E1-4B2F-9233-C4F5823D1233}">
      <text>
        <r>
          <rPr>
            <b/>
            <sz val="9"/>
            <color indexed="81"/>
            <rFont val="Tahoma"/>
            <family val="2"/>
          </rPr>
          <t>None of that money can be recouped at this stage, if
Universal Swap decides not to go ahead with the content investment.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3" authorId="0" shapeId="0" xr:uid="{1ED76C61-A933-42D6-AE66-06EA9BFD021F}">
      <text>
        <r>
          <rPr>
            <b/>
            <sz val="9"/>
            <color indexed="81"/>
            <rFont val="Tahoma"/>
            <charset val="1"/>
          </rPr>
          <t>If Universal Swap decides to go ahead with the pool</t>
        </r>
      </text>
    </comment>
    <comment ref="C13" authorId="0" shapeId="0" xr:uid="{1B178786-006B-47FA-AC8F-902A06DE0EBB}">
      <text>
        <r>
          <rPr>
            <b/>
            <sz val="9"/>
            <color indexed="81"/>
            <rFont val="Tahoma"/>
            <family val="2"/>
          </rPr>
          <t>The cost is depreciable over the next 10 yearsTO VALUE …,WITH STRAIGHT LINE DEPRECIATION</t>
        </r>
      </text>
    </comment>
    <comment ref="D13" authorId="0" shapeId="0" xr:uid="{AAC06684-CD9E-45FA-97EC-9EA2AC89A3AB}">
      <text>
        <r>
          <rPr>
            <b/>
            <sz val="9"/>
            <color indexed="81"/>
            <rFont val="Tahoma"/>
            <family val="2"/>
          </rPr>
          <t>DEPRECIABLE @ 8%</t>
        </r>
      </text>
    </comment>
    <comment ref="B15" authorId="0" shapeId="0" xr:uid="{E0E20D59-F4EB-4A41-A9AB-953C95477140}">
      <text>
        <r>
          <rPr>
            <b/>
            <sz val="9"/>
            <color indexed="81"/>
            <rFont val="Tahoma"/>
            <family val="2"/>
          </rPr>
          <t>US AND RUSSIA PARTICIPANT</t>
        </r>
      </text>
    </comment>
    <comment ref="C15" authorId="0" shapeId="0" xr:uid="{07461D57-16FD-466A-97BE-DEFF1375E1B9}">
      <text>
        <r>
          <rPr>
            <b/>
            <sz val="9"/>
            <color indexed="81"/>
            <rFont val="Tahoma"/>
            <family val="2"/>
          </rPr>
          <t xml:space="preserve">INTERNATIONAL PARTICIPANT
</t>
        </r>
      </text>
    </comment>
    <comment ref="B17" authorId="0" shapeId="0" xr:uid="{434EA11A-354F-47BE-8C63-18B1774EBE30}">
      <text>
        <r>
          <rPr>
            <b/>
            <sz val="9"/>
            <color indexed="81"/>
            <rFont val="Tahoma"/>
            <family val="2"/>
          </rPr>
          <t xml:space="preserve">EXCHANGE CHARGES
EXPECTS TO GROW AT INFLATION RATE EACH YEAR FOR NEXT 10 YRS
</t>
        </r>
      </text>
    </comment>
    <comment ref="B18" authorId="0" shapeId="0" xr:uid="{2167FCC6-9227-4011-B66A-B555EB88EB96}">
      <text>
        <r>
          <rPr>
            <b/>
            <sz val="9"/>
            <color indexed="81"/>
            <rFont val="Tahoma"/>
            <family val="2"/>
          </rPr>
          <t>COST OF SERVICING FOR US AND RUSSIA,GROWS AS BY INFLATION</t>
        </r>
      </text>
    </comment>
    <comment ref="C18" authorId="0" shapeId="0" xr:uid="{F95EEFE4-4C1B-4F3A-AC11-DB7400A8D484}">
      <text>
        <r>
          <rPr>
            <b/>
            <sz val="9"/>
            <color indexed="81"/>
            <rFont val="Tahoma"/>
            <family val="2"/>
          </rPr>
          <t>COST OF SERVICING FOR INTERNATIONAL,GROWS AS BY INFLATION</t>
        </r>
      </text>
    </comment>
    <comment ref="B20" authorId="0" shapeId="0" xr:uid="{C02595A8-2E23-44CF-BE58-5BBF0CA63C75}">
      <text>
        <r>
          <rPr>
            <b/>
            <sz val="9"/>
            <color indexed="81"/>
            <rFont val="Tahoma"/>
            <family val="2"/>
          </rPr>
          <t>NEW 5M PARTICIPANTS IN
 YR 1</t>
        </r>
      </text>
    </comment>
    <comment ref="C20" authorId="0" shapeId="0" xr:uid="{B3535201-BBAC-466E-B9AE-B81976F589E9}">
      <text>
        <r>
          <rPr>
            <b/>
            <sz val="9"/>
            <color indexed="81"/>
            <rFont val="Tahoma"/>
            <family val="2"/>
          </rPr>
          <t>PARTICIPANTS GROWING @8% FOLLOWING 9 YRS</t>
        </r>
      </text>
    </comment>
    <comment ref="D20" authorId="0" shapeId="0" xr:uid="{1BF1488E-6F43-4A26-81C1-0B64DE2CB0E2}">
      <text>
        <r>
          <rPr>
            <b/>
            <sz val="9"/>
            <color indexed="81"/>
            <rFont val="Tahoma"/>
            <family val="2"/>
          </rPr>
          <t>COST OF SERVICING NEW INT PARTICIPANTS
(WILL INCREASE BY INFLATION)</t>
        </r>
      </text>
    </comment>
    <comment ref="J20" authorId="0" shapeId="0" xr:uid="{590D8E2B-2EE0-43C5-A417-2C0A826FFCAF}">
      <text>
        <r>
          <rPr>
            <b/>
            <sz val="9"/>
            <color indexed="81"/>
            <rFont val="Tahoma"/>
            <family val="2"/>
          </rPr>
          <t xml:space="preserve">from depreciating
</t>
        </r>
      </text>
    </comment>
    <comment ref="Q20" authorId="0" shapeId="0" xr:uid="{00DA65F4-B242-4955-9D9E-9C2E2589F397}">
      <text>
        <r>
          <rPr>
            <b/>
            <sz val="9"/>
            <color indexed="81"/>
            <rFont val="Tahoma"/>
            <family val="2"/>
          </rPr>
          <t>COST OF SERVICING</t>
        </r>
      </text>
    </comment>
    <comment ref="B22" authorId="0" shapeId="0" xr:uid="{3479B06D-EC2B-49A5-A9AF-E8B505FD9957}">
      <text>
        <r>
          <rPr>
            <b/>
            <sz val="9"/>
            <color indexed="81"/>
            <rFont val="Tahoma"/>
            <family val="2"/>
          </rPr>
          <t>CURRENTLY USES ONLY 65% OF THE SERVER,IF CAPACITY LIMIT IS REACHED,WILL BUY NEW</t>
        </r>
      </text>
    </comment>
    <comment ref="C22" authorId="0" shapeId="0" xr:uid="{7137D1E8-066C-4BEF-8DB1-A6547D9D19A5}">
      <text>
        <r>
          <rPr>
            <b/>
            <sz val="9"/>
            <color indexed="81"/>
            <rFont val="Tahoma"/>
            <family val="2"/>
          </rPr>
          <t>COST OF BOUYING NEW SERVER,COST WILL GROW BY INFLATION</t>
        </r>
      </text>
    </comment>
    <comment ref="B24" authorId="0" shapeId="0" xr:uid="{D4576468-2B75-4B6E-BE51-D729FB8FE1AB}">
      <text>
        <r>
          <rPr>
            <b/>
            <sz val="9"/>
            <color indexed="81"/>
            <rFont val="Tahoma"/>
            <family val="2"/>
          </rPr>
          <t>UNIVERSAL SWAP ALLOCATE 10% IN G&amp;A COST TO NEW POOL</t>
        </r>
      </text>
    </comment>
    <comment ref="C24" authorId="0" shapeId="0" xr:uid="{C888A841-AC09-420E-8FA4-BB566CD7BA02}">
      <text>
        <r>
          <rPr>
            <b/>
            <sz val="9"/>
            <color indexed="81"/>
            <rFont val="Tahoma"/>
            <family val="2"/>
          </rPr>
          <t>EXPECTED TO GROW @5% FOR NEXT 10 YRS</t>
        </r>
      </text>
    </comment>
    <comment ref="D24" authorId="0" shapeId="0" xr:uid="{78050ED6-E108-4816-8791-7D3A12D0B037}">
      <text>
        <r>
          <rPr>
            <b/>
            <sz val="9"/>
            <color indexed="81"/>
            <rFont val="Tahoma"/>
            <family val="2"/>
          </rPr>
          <t>INCREASE IN G&amp;A COSTS, GROUS @10% FOR NEXT 10 YRS</t>
        </r>
      </text>
    </comment>
    <comment ref="B26" authorId="0" shapeId="0" xr:uid="{BD873A59-8DE3-4002-9E76-195A307416DF}">
      <text>
        <r>
          <rPr>
            <b/>
            <sz val="9"/>
            <color indexed="81"/>
            <rFont val="Tahoma"/>
            <family val="2"/>
          </rPr>
          <t>UNIVERSAL SWAP EXPENSE IN ADV</t>
        </r>
      </text>
    </comment>
    <comment ref="C26" authorId="0" shapeId="0" xr:uid="{6BBDB424-46B0-47C5-92C0-BB040ADE02F3}">
      <text>
        <r>
          <rPr>
            <b/>
            <sz val="9"/>
            <color indexed="81"/>
            <rFont val="Tahoma"/>
            <family val="2"/>
          </rPr>
          <t>If it does not invest in
the new pool, it expects cost to increase @5% FOR next 10 years.</t>
        </r>
      </text>
    </comment>
    <comment ref="D26" authorId="0" shapeId="0" xr:uid="{CA21F951-DC41-4C53-A030-3015A96CE9AF}">
      <text>
        <r>
          <rPr>
            <b/>
            <sz val="9"/>
            <color indexed="81"/>
            <rFont val="Tahoma"/>
            <family val="2"/>
          </rPr>
          <t>If invested in new pool, adv cost will increase @15% for next 10 yrs</t>
        </r>
      </text>
    </comment>
    <comment ref="A28" authorId="0" shapeId="0" xr:uid="{1F30E2AD-CC4B-4C0F-8180-CD23037459C2}">
      <text>
        <r>
          <rPr>
            <b/>
            <sz val="9"/>
            <color indexed="81"/>
            <rFont val="Tahoma"/>
            <family val="2"/>
          </rPr>
          <t>all working captal expense need to be paid at beginning od each yr</t>
        </r>
      </text>
    </comment>
    <comment ref="B28" authorId="0" shapeId="0" xr:uid="{22E3B80F-59F7-419C-A9B6-6979B5BAD2D3}">
      <text>
        <r>
          <rPr>
            <b/>
            <sz val="9"/>
            <color indexed="81"/>
            <rFont val="Tahoma"/>
            <family val="2"/>
          </rPr>
          <t>new pool will create accounts receivable amounting to 5% of
revenues each year.</t>
        </r>
      </text>
    </comment>
    <comment ref="C28" authorId="0" shapeId="0" xr:uid="{A13E13A3-ACB8-40BA-9ED6-A966DA341EB7}">
      <text>
        <r>
          <rPr>
            <b/>
            <sz val="9"/>
            <color indexed="81"/>
            <rFont val="Tahoma"/>
            <family val="2"/>
          </rPr>
          <t>Inventory will be approximately 10% of revenues each year.</t>
        </r>
      </text>
    </comment>
    <comment ref="D28" authorId="0" shapeId="0" xr:uid="{643D0AA6-D51A-403C-862A-412ACA3A4F86}">
      <text>
        <r>
          <rPr>
            <b/>
            <sz val="9"/>
            <color indexed="81"/>
            <rFont val="Tahoma"/>
            <family val="2"/>
          </rPr>
          <t>Accounts payable will be 6% of the revenues each year.</t>
        </r>
      </text>
    </comment>
    <comment ref="A30" authorId="0" shapeId="0" xr:uid="{E095A61F-AFC0-4F26-987A-4B57991B25BD}">
      <text>
        <r>
          <rPr>
            <b/>
            <sz val="9"/>
            <color indexed="81"/>
            <rFont val="Tahoma"/>
            <family val="2"/>
          </rPr>
          <t>Universal Swap will be able to use The Alternium to cut costs of its
current pool by utilizing synergies in terms of platform costs.</t>
        </r>
      </text>
    </comment>
    <comment ref="C30" authorId="0" shapeId="0" xr:uid="{8F1F0E41-EEA7-42BC-AC62-049BE57B4EA5}">
      <text>
        <r>
          <rPr>
            <b/>
            <sz val="9"/>
            <color indexed="81"/>
            <rFont val="Tahoma"/>
            <family val="2"/>
          </rPr>
          <t>EXPECT TO INCREASE @3% FOR NEXT 10 YRS</t>
        </r>
      </text>
    </comment>
    <comment ref="B32" authorId="0" shapeId="0" xr:uid="{436F40BE-7CDF-4A16-A405-2D994285A9E0}">
      <text>
        <r>
          <rPr>
            <b/>
            <sz val="9"/>
            <color indexed="81"/>
            <rFont val="Tahoma"/>
            <family val="2"/>
          </rPr>
          <t>CURRENT PRICE/SHARE</t>
        </r>
      </text>
    </comment>
    <comment ref="C32" authorId="0" shapeId="0" xr:uid="{633F121E-1FDF-465A-889F-99B3F1B54993}">
      <text>
        <r>
          <rPr>
            <b/>
            <sz val="9"/>
            <color indexed="81"/>
            <rFont val="Tahoma"/>
            <family val="2"/>
          </rPr>
          <t>NO OF OUTSTANDING SHARES</t>
        </r>
      </text>
    </comment>
    <comment ref="B33" authorId="0" shapeId="0" xr:uid="{D5CC8603-DCCA-419F-B3B5-8037E8A99445}">
      <text>
        <r>
          <rPr>
            <b/>
            <sz val="9"/>
            <color indexed="81"/>
            <rFont val="Tahoma"/>
            <family val="2"/>
          </rPr>
          <t>TOTAL DEBT</t>
        </r>
      </text>
    </comment>
    <comment ref="C33" authorId="0" shapeId="0" xr:uid="{A8B6EE49-E2BC-4974-A176-258B57412089}">
      <text>
        <r>
          <rPr>
            <b/>
            <sz val="9"/>
            <color indexed="81"/>
            <rFont val="Tahoma"/>
            <family val="2"/>
          </rPr>
          <t>DEBT INTEREST</t>
        </r>
      </text>
    </comment>
    <comment ref="B35" authorId="0" shapeId="0" xr:uid="{8E2902E5-2CB3-484A-9754-775E0F6B1E4E}">
      <text>
        <r>
          <rPr>
            <b/>
            <sz val="9"/>
            <color indexed="81"/>
            <rFont val="Tahoma"/>
            <family val="2"/>
          </rPr>
          <t>Universal Swap’s marginal tax rate is roughly 10% of its revenue.</t>
        </r>
      </text>
    </comment>
    <comment ref="B37" authorId="0" shapeId="0" xr:uid="{9C19570C-51BF-4CE9-9F10-80CFD5035356}">
      <text>
        <r>
          <rPr>
            <b/>
            <sz val="9"/>
            <color indexed="81"/>
            <rFont val="Tahoma"/>
            <family val="2"/>
          </rPr>
          <t>current ten-year US Treasury bond rate</t>
        </r>
      </text>
    </comment>
    <comment ref="C37" authorId="0" shapeId="0" xr:uid="{42FF6330-3B52-423B-9D63-7BE95DC4FBBD}">
      <text>
        <r>
          <rPr>
            <b/>
            <sz val="9"/>
            <color indexed="81"/>
            <rFont val="Tahoma"/>
            <family val="2"/>
          </rPr>
          <t>expected inflation rate</t>
        </r>
      </text>
    </comment>
    <comment ref="B39" authorId="0" shapeId="0" xr:uid="{913BC7DF-6C44-40E7-9D5E-8D1E1AE3C362}">
      <text>
        <r>
          <rPr>
            <b/>
            <sz val="9"/>
            <color indexed="81"/>
            <rFont val="Tahoma"/>
            <family val="2"/>
          </rPr>
          <t>cost of capital to be used for evaluating the particular project is assumed to be 11% p.a.</t>
        </r>
      </text>
    </comment>
  </commentList>
</comments>
</file>

<file path=xl/sharedStrings.xml><?xml version="1.0" encoding="utf-8"?>
<sst xmlns="http://schemas.openxmlformats.org/spreadsheetml/2006/main" count="181" uniqueCount="68">
  <si>
    <t>Investment Analysis Case study</t>
  </si>
  <si>
    <t>Universal Swap - Liquidity pools</t>
  </si>
  <si>
    <t>FEE</t>
  </si>
  <si>
    <t>COMPANY OFFER 3 COINS</t>
  </si>
  <si>
    <t>ETH,BTC,USDC</t>
  </si>
  <si>
    <t>M-CAP(2019)</t>
  </si>
  <si>
    <t>M-CAP(2022)</t>
  </si>
  <si>
    <t>NEW LIQUIDITY POOL</t>
  </si>
  <si>
    <t>THE ALTERNIUM</t>
  </si>
  <si>
    <t>R&amp;D EXPENSES</t>
  </si>
  <si>
    <t>INTRODUCTORY COST</t>
  </si>
  <si>
    <t>MARKET POTENTIAL AND SHARE</t>
  </si>
  <si>
    <t>PRICING AND UNIT COSTS</t>
  </si>
  <si>
    <t>NEW PARTICIPANTS ON ALTERIUM</t>
  </si>
  <si>
    <t>SERVER FACILITY AND COSTS</t>
  </si>
  <si>
    <t>G&amp;A EXPENSES</t>
  </si>
  <si>
    <t>ADVERTISING EXPENSES</t>
  </si>
  <si>
    <t>WORKING CAPITAL</t>
  </si>
  <si>
    <t>SIDE BENEFITS</t>
  </si>
  <si>
    <t>EQUITY AND DEBT</t>
  </si>
  <si>
    <t>TAXES</t>
  </si>
  <si>
    <t>MACRO DATA</t>
  </si>
  <si>
    <t>COST OF CAPITAL</t>
  </si>
  <si>
    <t>TIME</t>
  </si>
  <si>
    <t>EXCHANGE CHARGES</t>
  </si>
  <si>
    <t>COS(DOMESTIC)</t>
  </si>
  <si>
    <t>COS(INT.)</t>
  </si>
  <si>
    <t>NEW PARTICIPANT</t>
  </si>
  <si>
    <t>COS (NEW PART.)</t>
  </si>
  <si>
    <t>NEW SERVER COST</t>
  </si>
  <si>
    <t>R&amp;D EXPENSE</t>
  </si>
  <si>
    <t>G&amp;A EXPENSE</t>
  </si>
  <si>
    <t>COST DECIDED</t>
  </si>
  <si>
    <t>INCREASED COST</t>
  </si>
  <si>
    <t>TOTAL COST</t>
  </si>
  <si>
    <t>INTRODUCTORY PROD. VALUE</t>
  </si>
  <si>
    <t>NO OF PART. WITHOUT ALTERNIUM</t>
  </si>
  <si>
    <t>NO OF PART. WITH ALTERNIUM</t>
  </si>
  <si>
    <t>ADVERTISEMENT COST</t>
  </si>
  <si>
    <t>INITIAL COST WITHOUT ALTERNIUM</t>
  </si>
  <si>
    <t>EXPENSES</t>
  </si>
  <si>
    <t>REVENUES</t>
  </si>
  <si>
    <t>ICF</t>
  </si>
  <si>
    <t>TOTAL PART.</t>
  </si>
  <si>
    <t>INITIAL COST WITH ALTERNIUM</t>
  </si>
  <si>
    <t>REVENUE AFTER TAX</t>
  </si>
  <si>
    <t>DEBT INTEREST PAYMENT</t>
  </si>
  <si>
    <t>UNIVERSAL SWAP WITHOUT ALTERNIUM</t>
  </si>
  <si>
    <t>UNIVERSAL SWAP WITH ALTERNIUM</t>
  </si>
  <si>
    <t>PROJECT TERMINATED AT THE END OF 10TH YEAR</t>
  </si>
  <si>
    <t>TERMINATION</t>
  </si>
  <si>
    <t>10TH YR</t>
  </si>
  <si>
    <t>REVENUE</t>
  </si>
  <si>
    <t>ACCOUNT RECEIVABLES</t>
  </si>
  <si>
    <t>INVENTORY</t>
  </si>
  <si>
    <t>ACCOUNT PAYABLES</t>
  </si>
  <si>
    <t>IRR</t>
  </si>
  <si>
    <t>TOTAL</t>
  </si>
  <si>
    <t>INTERNATIONAL PART.</t>
  </si>
  <si>
    <t>US AND RUSSIA PART.</t>
  </si>
  <si>
    <t>NPV(AT TIME 0 OF ALL CASHFLOW OF 10TH YR)</t>
  </si>
  <si>
    <t>ALTERNIUM LIFE LONGER THAN 10 YEARS</t>
  </si>
  <si>
    <t>NPV</t>
  </si>
  <si>
    <t>INTRODUCTORY PRODUCT VALUE</t>
  </si>
  <si>
    <t>NPV(TURNED TO 0)</t>
  </si>
  <si>
    <t>IRR(65TH)</t>
  </si>
  <si>
    <t>NPV(65TH)</t>
  </si>
  <si>
    <t>IRR(OF 10 YR)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</si>
</sst>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10" fontId="0" fillId="0" borderId="0" xfId="0" applyNumberFormat="1"/>
    <xf numFmtId="10" fontId="0" fillId="0" borderId="0" xfId="1" applyNumberFormat="1" applyFont="1"/>
    <xf numFmtId="9" fontId="0" fillId="0" borderId="0" xfId="0" applyNumberFormat="1"/>
    <xf numFmtId="2" fontId="0" fillId="0" borderId="0" xfId="0" applyNumberFormat="1"/>
    <xf numFmtId="1" fontId="0" fillId="0" borderId="0" xfId="0" applyNumberFormat="1"/>
    <xf numFmtId="0" fontId="2" fillId="0" borderId="0" xfId="0" applyFont="1"/>
    <xf numFmtId="0" fontId="2" fillId="0" borderId="0" xfId="0" applyFont="1" applyBorder="1" applyAlignment="1"/>
    <xf numFmtId="0" fontId="0" fillId="0" borderId="0" xfId="0" applyBorder="1"/>
    <xf numFmtId="0" fontId="0" fillId="0" borderId="2" xfId="0" applyBorder="1"/>
    <xf numFmtId="164" fontId="0" fillId="0" borderId="2" xfId="2" applyNumberFormat="1" applyFont="1" applyBorder="1"/>
    <xf numFmtId="164" fontId="0" fillId="3" borderId="2" xfId="2" applyNumberFormat="1" applyFont="1" applyFill="1" applyBorder="1"/>
    <xf numFmtId="164" fontId="0" fillId="0" borderId="2" xfId="2" applyFont="1" applyBorder="1"/>
    <xf numFmtId="164" fontId="0" fillId="3" borderId="2" xfId="2" applyFont="1" applyFill="1" applyBorder="1"/>
    <xf numFmtId="0" fontId="2" fillId="4" borderId="0" xfId="0" applyFont="1" applyFill="1"/>
    <xf numFmtId="164" fontId="0" fillId="4" borderId="0" xfId="2" applyFont="1" applyFill="1"/>
    <xf numFmtId="0" fontId="2" fillId="0" borderId="2" xfId="0" applyFont="1" applyBorder="1"/>
    <xf numFmtId="0" fontId="6" fillId="0" borderId="2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/>
    <xf numFmtId="0" fontId="9" fillId="2" borderId="2" xfId="0" applyFont="1" applyFill="1" applyBorder="1" applyAlignment="1">
      <alignment horizontal="center" wrapText="1"/>
    </xf>
    <xf numFmtId="1" fontId="0" fillId="0" borderId="2" xfId="0" applyNumberFormat="1" applyBorder="1"/>
    <xf numFmtId="0" fontId="2" fillId="0" borderId="2" xfId="0" applyFont="1" applyFill="1" applyBorder="1"/>
    <xf numFmtId="0" fontId="2" fillId="3" borderId="2" xfId="0" applyFont="1" applyFill="1" applyBorder="1"/>
    <xf numFmtId="0" fontId="2" fillId="0" borderId="2" xfId="0" applyFont="1" applyBorder="1" applyAlignment="1"/>
    <xf numFmtId="2" fontId="2" fillId="0" borderId="2" xfId="0" applyNumberFormat="1" applyFont="1" applyBorder="1"/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/>
    </xf>
    <xf numFmtId="164" fontId="0" fillId="0" borderId="0" xfId="0" applyNumberFormat="1"/>
    <xf numFmtId="0" fontId="2" fillId="0" borderId="3" xfId="0" applyFont="1" applyBorder="1"/>
    <xf numFmtId="164" fontId="0" fillId="0" borderId="2" xfId="0" applyNumberFormat="1" applyBorder="1"/>
    <xf numFmtId="164" fontId="0" fillId="0" borderId="0" xfId="0" applyNumberFormat="1" applyBorder="1"/>
    <xf numFmtId="164" fontId="0" fillId="0" borderId="3" xfId="2" applyNumberFormat="1" applyFont="1" applyBorder="1"/>
    <xf numFmtId="0" fontId="2" fillId="0" borderId="4" xfId="0" applyFont="1" applyBorder="1"/>
    <xf numFmtId="164" fontId="0" fillId="0" borderId="4" xfId="2" applyNumberFormat="1" applyFont="1" applyBorder="1"/>
    <xf numFmtId="0" fontId="0" fillId="3" borderId="0" xfId="0" applyFill="1"/>
    <xf numFmtId="164" fontId="0" fillId="7" borderId="0" xfId="0" applyNumberFormat="1" applyFill="1" applyBorder="1"/>
    <xf numFmtId="9" fontId="0" fillId="7" borderId="0" xfId="0" applyNumberFormat="1" applyFill="1" applyBorder="1"/>
    <xf numFmtId="164" fontId="0" fillId="0" borderId="0" xfId="2" applyFont="1"/>
    <xf numFmtId="0" fontId="6" fillId="8" borderId="2" xfId="0" applyFont="1" applyFill="1" applyBorder="1"/>
    <xf numFmtId="0" fontId="2" fillId="8" borderId="2" xfId="0" applyFont="1" applyFill="1" applyBorder="1"/>
    <xf numFmtId="0" fontId="2" fillId="7" borderId="2" xfId="0" applyFont="1" applyFill="1" applyBorder="1"/>
    <xf numFmtId="164" fontId="0" fillId="7" borderId="2" xfId="0" applyNumberFormat="1" applyFill="1" applyBorder="1"/>
    <xf numFmtId="164" fontId="0" fillId="7" borderId="2" xfId="2" applyFont="1" applyFill="1" applyBorder="1"/>
    <xf numFmtId="9" fontId="0" fillId="7" borderId="2" xfId="0" applyNumberFormat="1" applyFill="1" applyBorder="1"/>
    <xf numFmtId="0" fontId="0" fillId="7" borderId="2" xfId="0" applyFill="1" applyBorder="1"/>
    <xf numFmtId="0" fontId="0" fillId="0" borderId="6" xfId="0" applyBorder="1"/>
    <xf numFmtId="9" fontId="0" fillId="0" borderId="0" xfId="0" applyNumberFormat="1" applyBorder="1"/>
    <xf numFmtId="0" fontId="8" fillId="5" borderId="1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10" fillId="9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ICF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TIME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'ICF (Q1)'!$G$3:$G$13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4-440E-A6CF-DB71070B9CC1}"/>
            </c:ext>
          </c:extLst>
        </c:ser>
        <c:ser>
          <c:idx val="1"/>
          <c:order val="1"/>
          <c:tx>
            <c:v>ICF WITHOUT ALTERNIUM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'ICF (Q1)'!$W$3:$W$13</c:f>
              <c:numCache>
                <c:formatCode>_(* #,##0.00_);_(* \(#,##0.00\);_(* "-"??_);_(@_)</c:formatCode>
                <c:ptCount val="11"/>
                <c:pt idx="0">
                  <c:v>9178160000</c:v>
                </c:pt>
                <c:pt idx="1">
                  <c:v>9903200000</c:v>
                </c:pt>
                <c:pt idx="2">
                  <c:v>10625990000</c:v>
                </c:pt>
                <c:pt idx="3">
                  <c:v>11346417500</c:v>
                </c:pt>
                <c:pt idx="4">
                  <c:v>12064364375</c:v>
                </c:pt>
                <c:pt idx="5">
                  <c:v>12779706593.75</c:v>
                </c:pt>
                <c:pt idx="6">
                  <c:v>13492313923.4375</c:v>
                </c:pt>
                <c:pt idx="7">
                  <c:v>14202049619.609375</c:v>
                </c:pt>
                <c:pt idx="8">
                  <c:v>14908770100.589844</c:v>
                </c:pt>
                <c:pt idx="9">
                  <c:v>15612324605.619335</c:v>
                </c:pt>
                <c:pt idx="10">
                  <c:v>16312554835.900303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4-440E-A6CF-DB71070B9CC1}"/>
            </c:ext>
          </c:extLst>
        </c:ser>
        <c:ser>
          <c:idx val="2"/>
          <c:order val="2"/>
          <c:tx>
            <c:v>ICF WITH ALTERNIUM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'ICF (Q1)'!$AC$21:$AC$31</c:f>
              <c:numCache>
                <c:formatCode>_(* #,##0.00_);_(* \(#,##0.00\);_(* "-"??_);_(@_)</c:formatCode>
                <c:ptCount val="11"/>
                <c:pt idx="0">
                  <c:v>10764000000</c:v>
                </c:pt>
                <c:pt idx="1">
                  <c:v>12483828000</c:v>
                </c:pt>
                <c:pt idx="2">
                  <c:v>13429273000</c:v>
                </c:pt>
                <c:pt idx="3">
                  <c:v>14365617510</c:v>
                </c:pt>
                <c:pt idx="4">
                  <c:v>15291249175.299999</c:v>
                </c:pt>
                <c:pt idx="5">
                  <c:v>16204291462.358997</c:v>
                </c:pt>
                <c:pt idx="6">
                  <c:v>17102562137.423767</c:v>
                </c:pt>
                <c:pt idx="7">
                  <c:v>17983525362.063503</c:v>
                </c:pt>
                <c:pt idx="8">
                  <c:v>18844236435.80592</c:v>
                </c:pt>
                <c:pt idx="9">
                  <c:v>19681278069.636909</c:v>
                </c:pt>
                <c:pt idx="10">
                  <c:v>20490686905.653862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4-440E-A6CF-DB71070B9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2809584"/>
        <c:axId val="1922805424"/>
      </c:lineChart>
      <c:catAx>
        <c:axId val="1922809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805424"/>
        <c:crosses val="autoZero"/>
        <c:auto val="1"/>
        <c:lblAlgn val="ctr"/>
        <c:lblOffset val="100"/>
        <c:noMultiLvlLbl val="0"/>
      </c:catAx>
      <c:valAx>
        <c:axId val="192280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ICF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280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NPV</a:t>
            </a:r>
            <a:r>
              <a:rPr lang="en-US" baseline="0"/>
              <a:t>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TIME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45"/>
              <c:pt idx="0">
                <c:v>11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18</c:v>
              </c:pt>
              <c:pt idx="8">
                <c:v>19</c:v>
              </c:pt>
              <c:pt idx="9">
                <c:v>20</c:v>
              </c:pt>
              <c:pt idx="10">
                <c:v>21</c:v>
              </c:pt>
              <c:pt idx="11">
                <c:v>22</c:v>
              </c:pt>
              <c:pt idx="12">
                <c:v>23</c:v>
              </c:pt>
              <c:pt idx="13">
                <c:v>24</c:v>
              </c:pt>
              <c:pt idx="14">
                <c:v>25</c:v>
              </c:pt>
              <c:pt idx="15">
                <c:v>26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  <c:pt idx="20">
                <c:v>31</c:v>
              </c:pt>
              <c:pt idx="21">
                <c:v>32</c:v>
              </c:pt>
              <c:pt idx="22">
                <c:v>33</c:v>
              </c:pt>
              <c:pt idx="23">
                <c:v>34</c:v>
              </c:pt>
              <c:pt idx="24">
                <c:v>35</c:v>
              </c:pt>
              <c:pt idx="25">
                <c:v>36</c:v>
              </c:pt>
              <c:pt idx="26">
                <c:v>37</c:v>
              </c:pt>
              <c:pt idx="27">
                <c:v>38</c:v>
              </c:pt>
              <c:pt idx="28">
                <c:v>39</c:v>
              </c:pt>
              <c:pt idx="29">
                <c:v>40</c:v>
              </c:pt>
              <c:pt idx="30">
                <c:v>41</c:v>
              </c:pt>
              <c:pt idx="31">
                <c:v>42</c:v>
              </c:pt>
              <c:pt idx="32">
                <c:v>43</c:v>
              </c:pt>
              <c:pt idx="33">
                <c:v>44</c:v>
              </c:pt>
              <c:pt idx="34">
                <c:v>45</c:v>
              </c:pt>
              <c:pt idx="35">
                <c:v>46</c:v>
              </c:pt>
              <c:pt idx="36">
                <c:v>47</c:v>
              </c:pt>
              <c:pt idx="37">
                <c:v>48</c:v>
              </c:pt>
              <c:pt idx="38">
                <c:v>49</c:v>
              </c:pt>
              <c:pt idx="39">
                <c:v>50</c:v>
              </c:pt>
              <c:pt idx="40">
                <c:v>51</c:v>
              </c:pt>
              <c:pt idx="41">
                <c:v>52</c:v>
              </c:pt>
              <c:pt idx="42">
                <c:v>53</c:v>
              </c:pt>
              <c:pt idx="43">
                <c:v>54</c:v>
              </c:pt>
              <c:pt idx="44">
                <c:v>55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'ALTERNIUM LIFE&gt;10YR (Q3)'!$F$16:$F$70</c15:sqref>
                  </c15:fullRef>
                </c:ext>
              </c:extLst>
              <c:f>'ALTERNIUM LIFE&gt;10YR (Q3)'!$F$26:$F$70</c:f>
              <c:numCache>
                <c:formatCode>General</c:formatCode>
                <c:ptCount val="45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A-4005-8DA5-DDDA24270533}"/>
            </c:ext>
          </c:extLst>
        </c:ser>
        <c:ser>
          <c:idx val="1"/>
          <c:order val="1"/>
          <c:tx>
            <c:v>NPV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45"/>
              <c:pt idx="0">
                <c:v>11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15</c:v>
              </c:pt>
              <c:pt idx="5">
                <c:v>16</c:v>
              </c:pt>
              <c:pt idx="6">
                <c:v>17</c:v>
              </c:pt>
              <c:pt idx="7">
                <c:v>18</c:v>
              </c:pt>
              <c:pt idx="8">
                <c:v>19</c:v>
              </c:pt>
              <c:pt idx="9">
                <c:v>20</c:v>
              </c:pt>
              <c:pt idx="10">
                <c:v>21</c:v>
              </c:pt>
              <c:pt idx="11">
                <c:v>22</c:v>
              </c:pt>
              <c:pt idx="12">
                <c:v>23</c:v>
              </c:pt>
              <c:pt idx="13">
                <c:v>24</c:v>
              </c:pt>
              <c:pt idx="14">
                <c:v>25</c:v>
              </c:pt>
              <c:pt idx="15">
                <c:v>26</c:v>
              </c:pt>
              <c:pt idx="16">
                <c:v>27</c:v>
              </c:pt>
              <c:pt idx="17">
                <c:v>28</c:v>
              </c:pt>
              <c:pt idx="18">
                <c:v>29</c:v>
              </c:pt>
              <c:pt idx="19">
                <c:v>30</c:v>
              </c:pt>
              <c:pt idx="20">
                <c:v>31</c:v>
              </c:pt>
              <c:pt idx="21">
                <c:v>32</c:v>
              </c:pt>
              <c:pt idx="22">
                <c:v>33</c:v>
              </c:pt>
              <c:pt idx="23">
                <c:v>34</c:v>
              </c:pt>
              <c:pt idx="24">
                <c:v>35</c:v>
              </c:pt>
              <c:pt idx="25">
                <c:v>36</c:v>
              </c:pt>
              <c:pt idx="26">
                <c:v>37</c:v>
              </c:pt>
              <c:pt idx="27">
                <c:v>38</c:v>
              </c:pt>
              <c:pt idx="28">
                <c:v>39</c:v>
              </c:pt>
              <c:pt idx="29">
                <c:v>40</c:v>
              </c:pt>
              <c:pt idx="30">
                <c:v>41</c:v>
              </c:pt>
              <c:pt idx="31">
                <c:v>42</c:v>
              </c:pt>
              <c:pt idx="32">
                <c:v>43</c:v>
              </c:pt>
              <c:pt idx="33">
                <c:v>44</c:v>
              </c:pt>
              <c:pt idx="34">
                <c:v>45</c:v>
              </c:pt>
              <c:pt idx="35">
                <c:v>46</c:v>
              </c:pt>
              <c:pt idx="36">
                <c:v>47</c:v>
              </c:pt>
              <c:pt idx="37">
                <c:v>48</c:v>
              </c:pt>
              <c:pt idx="38">
                <c:v>49</c:v>
              </c:pt>
              <c:pt idx="39">
                <c:v>50</c:v>
              </c:pt>
              <c:pt idx="40">
                <c:v>51</c:v>
              </c:pt>
              <c:pt idx="41">
                <c:v>52</c:v>
              </c:pt>
              <c:pt idx="42">
                <c:v>53</c:v>
              </c:pt>
              <c:pt idx="43">
                <c:v>54</c:v>
              </c:pt>
              <c:pt idx="44">
                <c:v>55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'ALTERNIUM LIFE&gt;10YR (Q3)'!$Q$16:$Q$70</c15:sqref>
                  </c15:fullRef>
                </c:ext>
              </c:extLst>
              <c:f>'ALTERNIUM LIFE&gt;10YR (Q3)'!$Q$26:$Q$70</c:f>
              <c:numCache>
                <c:formatCode>_(* #,##0.00_);_(* \(#,##0.00\);_(* "-"??_);_(@_)</c:formatCode>
                <c:ptCount val="45"/>
                <c:pt idx="0">
                  <c:v>438983399.22457826</c:v>
                </c:pt>
                <c:pt idx="1">
                  <c:v>407393299.74825972</c:v>
                </c:pt>
                <c:pt idx="2">
                  <c:v>377971548.58270127</c:v>
                </c:pt>
                <c:pt idx="3">
                  <c:v>350591736.46977663</c:v>
                </c:pt>
                <c:pt idx="4">
                  <c:v>325131483.55357361</c:v>
                </c:pt>
                <c:pt idx="5">
                  <c:v>301472867.70590228</c:v>
                </c:pt>
                <c:pt idx="6">
                  <c:v>279502729.39279675</c:v>
                </c:pt>
                <c:pt idx="7">
                  <c:v>259112873.26516446</c:v>
                </c:pt>
                <c:pt idx="8">
                  <c:v>240200183.87558275</c:v>
                </c:pt>
                <c:pt idx="9">
                  <c:v>222666670.49451736</c:v>
                </c:pt>
                <c:pt idx="10">
                  <c:v>206419453.88047606</c:v>
                </c:pt>
                <c:pt idx="11">
                  <c:v>191370706.01225591</c:v>
                </c:pt>
                <c:pt idx="12">
                  <c:v>177437552.18436664</c:v>
                </c:pt>
                <c:pt idx="13">
                  <c:v>164541943.46964967</c:v>
                </c:pt>
                <c:pt idx="14">
                  <c:v>152610506.3402591</c:v>
                </c:pt>
                <c:pt idx="15">
                  <c:v>141574375.1867696</c:v>
                </c:pt>
                <c:pt idx="16">
                  <c:v>131369012.56516191</c:v>
                </c:pt>
                <c:pt idx="17">
                  <c:v>121934021.21514195</c:v>
                </c:pt>
                <c:pt idx="18">
                  <c:v>113212951.21511194</c:v>
                </c:pt>
                <c:pt idx="19">
                  <c:v>105153105.05543934</c:v>
                </c:pt>
                <c:pt idx="20">
                  <c:v>97705342.910418689</c:v>
                </c:pt>
                <c:pt idx="21">
                  <c:v>90823889.959903866</c:v>
                </c:pt>
                <c:pt idx="22">
                  <c:v>84466147.244712114</c:v>
                </c:pt>
                <c:pt idx="23">
                  <c:v>78592507.22739467</c:v>
                </c:pt>
                <c:pt idx="24">
                  <c:v>73166174.964681387</c:v>
                </c:pt>
                <c:pt idx="25">
                  <c:v>68152995.573553473</c:v>
                </c:pt>
                <c:pt idx="26">
                  <c:v>63521288.483989671</c:v>
                </c:pt>
                <c:pt idx="27">
                  <c:v>59241688.813150592</c:v>
                </c:pt>
                <c:pt idx="28">
                  <c:v>55286996.063911945</c:v>
                </c:pt>
                <c:pt idx="29">
                  <c:v>51632030.241552144</c:v>
                </c:pt>
                <c:pt idx="30">
                  <c:v>48253495.392840132</c:v>
                </c:pt>
                <c:pt idx="31">
                  <c:v>45129850.498958841</c:v>
                </c:pt>
                <c:pt idx="32">
                  <c:v>42241187.595205665</c:v>
                </c:pt>
                <c:pt idx="33">
                  <c:v>39569116.944116041</c:v>
                </c:pt>
                <c:pt idx="34">
                  <c:v>37096659.052725717</c:v>
                </c:pt>
                <c:pt idx="35">
                  <c:v>34808143.297520861</c:v>
                </c:pt>
                <c:pt idx="36">
                  <c:v>32689112.900851477</c:v>
                </c:pt>
                <c:pt idx="37">
                  <c:v>30726235.988999598</c:v>
                </c:pt>
                <c:pt idx="38">
                  <c:v>28907222.453679509</c:v>
                </c:pt>
                <c:pt idx="39">
                  <c:v>27220746.334607776</c:v>
                </c:pt>
                <c:pt idx="40">
                  <c:v>25656373.440160137</c:v>
                </c:pt>
                <c:pt idx="41">
                  <c:v>24204493.925373711</c:v>
                </c:pt>
                <c:pt idx="42">
                  <c:v>22856259.551098853</c:v>
                </c:pt>
                <c:pt idx="43">
                  <c:v>21603525.354479846</c:v>
                </c:pt>
                <c:pt idx="44">
                  <c:v>20438795.468741424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A-4005-8DA5-DDDA24270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708400"/>
        <c:axId val="1973719216"/>
      </c:lineChart>
      <c:catAx>
        <c:axId val="1973708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719216"/>
        <c:crosses val="autoZero"/>
        <c:auto val="1"/>
        <c:lblAlgn val="ctr"/>
        <c:lblOffset val="100"/>
        <c:noMultiLvlLbl val="0"/>
      </c:catAx>
      <c:valAx>
        <c:axId val="197371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NPV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70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168275</xdr:colOff>
      <xdr:row>1</xdr:row>
      <xdr:rowOff>9525</xdr:rowOff>
    </xdr:from>
    <xdr:to>
      <xdr:col>26</xdr:col>
      <xdr:colOff>746125</xdr:colOff>
      <xdr:row>15</xdr:row>
      <xdr:rowOff>41275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A576D7-E48B-4CA1-9D7C-B4FCC2381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69850</xdr:colOff>
      <xdr:row>3</xdr:row>
      <xdr:rowOff>3175</xdr:rowOff>
    </xdr:from>
    <xdr:to>
      <xdr:col>20</xdr:col>
      <xdr:colOff>942974</xdr:colOff>
      <xdr:row>18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005729-DDC2-4D1C-83C2-28ACA2CD3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Relationship Id="rId4" Type="http://schemas.openxmlformats.org/officeDocument/2006/relationships/comments" Target="../comments1.xml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 /><Relationship Id="rId2" Type="http://schemas.openxmlformats.org/officeDocument/2006/relationships/vmlDrawing" Target="../drawings/vmlDrawing2.v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 /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3.bin" /><Relationship Id="rId4" Type="http://schemas.openxmlformats.org/officeDocument/2006/relationships/comments" Target="../comments3.xml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 /><Relationship Id="rId1" Type="http://schemas.openxmlformats.org/officeDocument/2006/relationships/vmlDrawing" Target="../drawings/vmlDrawing4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BAB4-5D16-4354-B68F-FCA7A1C4C3BB}">
  <dimension ref="A1:AC39"/>
  <sheetViews>
    <sheetView topLeftCell="I20" zoomScaleNormal="100" workbookViewId="0">
      <selection activeCell="L35" sqref="L35"/>
    </sheetView>
  </sheetViews>
  <sheetFormatPr defaultRowHeight="15" x14ac:dyDescent="0.2"/>
  <cols>
    <col min="1" max="1" width="29.86328125" bestFit="1" customWidth="1"/>
    <col min="2" max="2" width="14.52734375" bestFit="1" customWidth="1"/>
    <col min="3" max="3" width="10.4921875" bestFit="1" customWidth="1"/>
    <col min="7" max="7" width="10.76171875" bestFit="1" customWidth="1"/>
    <col min="8" max="8" width="15.87109375" bestFit="1" customWidth="1"/>
    <col min="9" max="9" width="19.50390625" bestFit="1" customWidth="1"/>
    <col min="10" max="10" width="31.87890625" bestFit="1" customWidth="1"/>
    <col min="11" max="11" width="32.1484375" bestFit="1" customWidth="1"/>
    <col min="12" max="12" width="28.11328125" customWidth="1"/>
    <col min="13" max="13" width="31.07421875" bestFit="1" customWidth="1"/>
    <col min="14" max="14" width="18.4296875" bestFit="1" customWidth="1"/>
    <col min="15" max="15" width="17.21875" bestFit="1" customWidth="1"/>
    <col min="16" max="16" width="20.58203125" bestFit="1" customWidth="1"/>
    <col min="17" max="17" width="22.46484375" bestFit="1" customWidth="1"/>
    <col min="18" max="18" width="18.5625" bestFit="1" customWidth="1"/>
    <col min="19" max="19" width="20.71484375" bestFit="1" customWidth="1"/>
    <col min="20" max="20" width="18.5625" bestFit="1" customWidth="1"/>
    <col min="21" max="21" width="18.4296875" bestFit="1" customWidth="1"/>
    <col min="22" max="22" width="20.58203125" bestFit="1" customWidth="1"/>
    <col min="23" max="23" width="17.21875" bestFit="1" customWidth="1"/>
    <col min="24" max="24" width="20.04296875" bestFit="1" customWidth="1"/>
    <col min="25" max="25" width="18.4296875" bestFit="1" customWidth="1"/>
    <col min="26" max="26" width="18.6953125" bestFit="1" customWidth="1"/>
    <col min="27" max="27" width="18.4296875" bestFit="1" customWidth="1"/>
    <col min="28" max="28" width="18.16015625" bestFit="1" customWidth="1"/>
    <col min="29" max="29" width="17.21875" bestFit="1" customWidth="1"/>
  </cols>
  <sheetData>
    <row r="1" spans="1:23" ht="21.75" thickBot="1" x14ac:dyDescent="0.35">
      <c r="A1" s="20" t="s">
        <v>0</v>
      </c>
      <c r="J1" s="48" t="s">
        <v>47</v>
      </c>
      <c r="K1" s="49"/>
      <c r="L1" s="49"/>
    </row>
    <row r="2" spans="1:23" ht="19.5" customHeight="1" thickBot="1" x14ac:dyDescent="0.25">
      <c r="A2" s="20" t="s">
        <v>1</v>
      </c>
      <c r="G2" s="16" t="s">
        <v>23</v>
      </c>
      <c r="H2" s="16" t="s">
        <v>30</v>
      </c>
      <c r="I2" s="16" t="s">
        <v>10</v>
      </c>
      <c r="J2" s="29" t="s">
        <v>35</v>
      </c>
      <c r="K2" s="22" t="s">
        <v>59</v>
      </c>
      <c r="L2" s="22" t="s">
        <v>58</v>
      </c>
      <c r="M2" s="33" t="s">
        <v>36</v>
      </c>
      <c r="N2" s="17" t="s">
        <v>24</v>
      </c>
      <c r="O2" s="16" t="s">
        <v>25</v>
      </c>
      <c r="P2" s="16" t="s">
        <v>26</v>
      </c>
      <c r="Q2" s="16" t="s">
        <v>31</v>
      </c>
      <c r="R2" s="22" t="s">
        <v>38</v>
      </c>
      <c r="S2" s="22" t="s">
        <v>46</v>
      </c>
      <c r="T2" s="22" t="s">
        <v>40</v>
      </c>
      <c r="U2" s="22" t="s">
        <v>41</v>
      </c>
      <c r="V2" s="22" t="s">
        <v>45</v>
      </c>
      <c r="W2" s="23" t="s">
        <v>42</v>
      </c>
    </row>
    <row r="3" spans="1:23" ht="15.75" thickBot="1" x14ac:dyDescent="0.25">
      <c r="G3" s="9">
        <v>0</v>
      </c>
      <c r="H3" s="10">
        <f>B11</f>
        <v>150000000</v>
      </c>
      <c r="I3" s="10">
        <f>B13</f>
        <v>1000000000</v>
      </c>
      <c r="J3" s="32">
        <f>I3</f>
        <v>1000000000</v>
      </c>
      <c r="K3" s="9">
        <f>B15</f>
        <v>45000000</v>
      </c>
      <c r="L3" s="9">
        <f>C15</f>
        <v>30000000</v>
      </c>
      <c r="M3" s="34">
        <f>L3+K3</f>
        <v>75000000</v>
      </c>
      <c r="N3" s="10">
        <f t="shared" ref="N3:N13" si="0">$M3*$B$17</f>
        <v>7500000000</v>
      </c>
      <c r="O3" s="10">
        <f t="shared" ref="O3:O13" si="1">$M3*$B$18</f>
        <v>2700000000</v>
      </c>
      <c r="P3" s="10">
        <f t="shared" ref="P3:P13" si="2">$M3*$C$18</f>
        <v>3600000000</v>
      </c>
      <c r="Q3" s="10">
        <f>C24</f>
        <v>400000000</v>
      </c>
      <c r="R3" s="10">
        <f>B26</f>
        <v>500000000</v>
      </c>
      <c r="S3" s="10">
        <f>$B$33*$C$33</f>
        <v>291840000</v>
      </c>
      <c r="T3" s="10">
        <f t="shared" ref="T3:T13" si="3">R3+Q3+S3</f>
        <v>1191840000</v>
      </c>
      <c r="U3" s="10">
        <f t="shared" ref="U3:U13" si="4">P3+O3+N3</f>
        <v>13800000000</v>
      </c>
      <c r="V3" s="10">
        <f t="shared" ref="V3:V13" si="5">U3-U3*10%</f>
        <v>12420000000</v>
      </c>
      <c r="W3" s="11">
        <f t="shared" ref="W3:W13" si="6">$V3-$T3-$K$16</f>
        <v>9178160000</v>
      </c>
    </row>
    <row r="4" spans="1:23" ht="15.75" thickBot="1" x14ac:dyDescent="0.25">
      <c r="A4" t="s">
        <v>3</v>
      </c>
      <c r="B4" t="s">
        <v>4</v>
      </c>
      <c r="G4" s="9">
        <v>1</v>
      </c>
      <c r="H4" s="10">
        <v>0</v>
      </c>
      <c r="I4" s="10">
        <v>0</v>
      </c>
      <c r="J4" s="32">
        <f t="shared" ref="J4:J13" si="7">$J3-$B$13*$D$13</f>
        <v>920000000</v>
      </c>
      <c r="K4" s="9">
        <f>($K$3*(1+(G4*5%)))</f>
        <v>47250000</v>
      </c>
      <c r="L4" s="9">
        <f>($L$3*(1+(G4*8%)))</f>
        <v>32400000.000000004</v>
      </c>
      <c r="M4" s="34">
        <f t="shared" ref="M4:M13" si="8">L4+K4</f>
        <v>79650000</v>
      </c>
      <c r="N4" s="10">
        <f t="shared" si="0"/>
        <v>7965000000</v>
      </c>
      <c r="O4" s="10">
        <f t="shared" si="1"/>
        <v>2867400000</v>
      </c>
      <c r="P4" s="10">
        <f t="shared" si="2"/>
        <v>3823200000</v>
      </c>
      <c r="Q4" s="10">
        <f t="shared" ref="Q4:Q13" si="9">($Q3*(1+5%))</f>
        <v>420000000</v>
      </c>
      <c r="R4" s="10">
        <f t="shared" ref="R4:R13" si="10">$R3*(1+5%)</f>
        <v>525000000</v>
      </c>
      <c r="S4" s="10">
        <f t="shared" ref="S4:S13" si="11">$B$33*$C$33</f>
        <v>291840000</v>
      </c>
      <c r="T4" s="10">
        <f t="shared" si="3"/>
        <v>1236840000</v>
      </c>
      <c r="U4" s="10">
        <f t="shared" si="4"/>
        <v>14655600000</v>
      </c>
      <c r="V4" s="10">
        <f t="shared" si="5"/>
        <v>13190040000</v>
      </c>
      <c r="W4" s="11">
        <f t="shared" si="6"/>
        <v>9903200000</v>
      </c>
    </row>
    <row r="5" spans="1:23" ht="15.75" thickBot="1" x14ac:dyDescent="0.25">
      <c r="A5" t="s">
        <v>7</v>
      </c>
      <c r="B5" t="s">
        <v>8</v>
      </c>
      <c r="G5" s="9">
        <v>2</v>
      </c>
      <c r="H5" s="10">
        <v>0</v>
      </c>
      <c r="I5" s="10">
        <v>0</v>
      </c>
      <c r="J5" s="32">
        <f t="shared" si="7"/>
        <v>840000000</v>
      </c>
      <c r="K5" s="9">
        <f t="shared" ref="K5:K13" si="12">($K$3*(1+(G5*5%)))</f>
        <v>49500000.000000007</v>
      </c>
      <c r="L5" s="9">
        <f t="shared" ref="L5:L13" si="13">($L$3*(1+(G5*8%)))</f>
        <v>34800000</v>
      </c>
      <c r="M5" s="34">
        <f t="shared" si="8"/>
        <v>84300000</v>
      </c>
      <c r="N5" s="10">
        <f t="shared" si="0"/>
        <v>8430000000</v>
      </c>
      <c r="O5" s="10">
        <f t="shared" si="1"/>
        <v>3034800000</v>
      </c>
      <c r="P5" s="10">
        <f t="shared" si="2"/>
        <v>4046400000</v>
      </c>
      <c r="Q5" s="10">
        <f t="shared" si="9"/>
        <v>441000000</v>
      </c>
      <c r="R5" s="10">
        <f t="shared" si="10"/>
        <v>551250000</v>
      </c>
      <c r="S5" s="10">
        <f t="shared" si="11"/>
        <v>291840000</v>
      </c>
      <c r="T5" s="10">
        <f t="shared" si="3"/>
        <v>1284090000</v>
      </c>
      <c r="U5" s="10">
        <f t="shared" si="4"/>
        <v>15511200000</v>
      </c>
      <c r="V5" s="10">
        <f t="shared" si="5"/>
        <v>13960080000</v>
      </c>
      <c r="W5" s="11">
        <f t="shared" si="6"/>
        <v>10625990000</v>
      </c>
    </row>
    <row r="6" spans="1:23" ht="15.75" thickBot="1" x14ac:dyDescent="0.25">
      <c r="G6" s="9">
        <v>3</v>
      </c>
      <c r="H6" s="10">
        <v>0</v>
      </c>
      <c r="I6" s="10">
        <v>0</v>
      </c>
      <c r="J6" s="32">
        <f t="shared" si="7"/>
        <v>760000000</v>
      </c>
      <c r="K6" s="9">
        <f t="shared" si="12"/>
        <v>51749999.999999993</v>
      </c>
      <c r="L6" s="9">
        <f t="shared" si="13"/>
        <v>37200000</v>
      </c>
      <c r="M6" s="34">
        <f t="shared" si="8"/>
        <v>88950000</v>
      </c>
      <c r="N6" s="10">
        <f t="shared" si="0"/>
        <v>8895000000</v>
      </c>
      <c r="O6" s="10">
        <f t="shared" si="1"/>
        <v>3202200000</v>
      </c>
      <c r="P6" s="10">
        <f t="shared" si="2"/>
        <v>4269600000</v>
      </c>
      <c r="Q6" s="10">
        <f t="shared" si="9"/>
        <v>463050000</v>
      </c>
      <c r="R6" s="10">
        <f t="shared" si="10"/>
        <v>578812500</v>
      </c>
      <c r="S6" s="10">
        <f t="shared" si="11"/>
        <v>291840000</v>
      </c>
      <c r="T6" s="10">
        <f t="shared" si="3"/>
        <v>1333702500</v>
      </c>
      <c r="U6" s="10">
        <f t="shared" si="4"/>
        <v>16366800000</v>
      </c>
      <c r="V6" s="10">
        <f t="shared" si="5"/>
        <v>14730120000</v>
      </c>
      <c r="W6" s="11">
        <f t="shared" si="6"/>
        <v>11346417500</v>
      </c>
    </row>
    <row r="7" spans="1:23" ht="15.75" thickBot="1" x14ac:dyDescent="0.25">
      <c r="A7" t="s">
        <v>2</v>
      </c>
      <c r="B7" s="1">
        <v>3.0000000000000001E-3</v>
      </c>
      <c r="G7" s="9">
        <v>4</v>
      </c>
      <c r="H7" s="10">
        <v>0</v>
      </c>
      <c r="I7" s="10">
        <v>0</v>
      </c>
      <c r="J7" s="32">
        <f t="shared" si="7"/>
        <v>680000000</v>
      </c>
      <c r="K7" s="9">
        <f t="shared" si="12"/>
        <v>54000000</v>
      </c>
      <c r="L7" s="9">
        <f t="shared" si="13"/>
        <v>39600000</v>
      </c>
      <c r="M7" s="34">
        <f t="shared" si="8"/>
        <v>93600000</v>
      </c>
      <c r="N7" s="10">
        <f t="shared" si="0"/>
        <v>9360000000</v>
      </c>
      <c r="O7" s="10">
        <f t="shared" si="1"/>
        <v>3369600000</v>
      </c>
      <c r="P7" s="10">
        <f t="shared" si="2"/>
        <v>4492800000</v>
      </c>
      <c r="Q7" s="10">
        <f t="shared" si="9"/>
        <v>486202500</v>
      </c>
      <c r="R7" s="10">
        <f t="shared" si="10"/>
        <v>607753125</v>
      </c>
      <c r="S7" s="10">
        <f t="shared" si="11"/>
        <v>291840000</v>
      </c>
      <c r="T7" s="10">
        <f t="shared" si="3"/>
        <v>1385795625</v>
      </c>
      <c r="U7" s="10">
        <f t="shared" si="4"/>
        <v>17222400000</v>
      </c>
      <c r="V7" s="10">
        <f t="shared" si="5"/>
        <v>15500160000</v>
      </c>
      <c r="W7" s="11">
        <f t="shared" si="6"/>
        <v>12064364375</v>
      </c>
    </row>
    <row r="8" spans="1:23" ht="15.75" thickBot="1" x14ac:dyDescent="0.25">
      <c r="A8" t="s">
        <v>5</v>
      </c>
      <c r="B8">
        <v>650000000</v>
      </c>
      <c r="G8" s="9">
        <v>5</v>
      </c>
      <c r="H8" s="10">
        <v>0</v>
      </c>
      <c r="I8" s="10">
        <v>0</v>
      </c>
      <c r="J8" s="32">
        <f t="shared" si="7"/>
        <v>600000000</v>
      </c>
      <c r="K8" s="9">
        <f t="shared" si="12"/>
        <v>56250000</v>
      </c>
      <c r="L8" s="9">
        <f t="shared" si="13"/>
        <v>42000000</v>
      </c>
      <c r="M8" s="34">
        <f t="shared" si="8"/>
        <v>98250000</v>
      </c>
      <c r="N8" s="10">
        <f t="shared" si="0"/>
        <v>9825000000</v>
      </c>
      <c r="O8" s="10">
        <f t="shared" si="1"/>
        <v>3537000000</v>
      </c>
      <c r="P8" s="10">
        <f t="shared" si="2"/>
        <v>4716000000</v>
      </c>
      <c r="Q8" s="10">
        <f t="shared" si="9"/>
        <v>510512625</v>
      </c>
      <c r="R8" s="10">
        <f t="shared" si="10"/>
        <v>638140781.25</v>
      </c>
      <c r="S8" s="10">
        <f t="shared" si="11"/>
        <v>291840000</v>
      </c>
      <c r="T8" s="10">
        <f t="shared" si="3"/>
        <v>1440493406.25</v>
      </c>
      <c r="U8" s="10">
        <f t="shared" si="4"/>
        <v>18078000000</v>
      </c>
      <c r="V8" s="10">
        <f t="shared" si="5"/>
        <v>16270200000</v>
      </c>
      <c r="W8" s="11">
        <f t="shared" si="6"/>
        <v>12779706593.75</v>
      </c>
    </row>
    <row r="9" spans="1:23" ht="15.75" thickBot="1" x14ac:dyDescent="0.25">
      <c r="A9" t="s">
        <v>6</v>
      </c>
      <c r="B9">
        <v>22000000000</v>
      </c>
      <c r="G9" s="9">
        <v>6</v>
      </c>
      <c r="H9" s="10">
        <v>0</v>
      </c>
      <c r="I9" s="10">
        <v>0</v>
      </c>
      <c r="J9" s="32">
        <f t="shared" si="7"/>
        <v>520000000</v>
      </c>
      <c r="K9" s="9">
        <f t="shared" si="12"/>
        <v>58500000</v>
      </c>
      <c r="L9" s="9">
        <f t="shared" si="13"/>
        <v>44400000</v>
      </c>
      <c r="M9" s="34">
        <f t="shared" si="8"/>
        <v>102900000</v>
      </c>
      <c r="N9" s="10">
        <f t="shared" si="0"/>
        <v>10290000000</v>
      </c>
      <c r="O9" s="10">
        <f t="shared" si="1"/>
        <v>3704400000</v>
      </c>
      <c r="P9" s="10">
        <f t="shared" si="2"/>
        <v>4939200000</v>
      </c>
      <c r="Q9" s="10">
        <f t="shared" si="9"/>
        <v>536038256.25</v>
      </c>
      <c r="R9" s="10">
        <f t="shared" si="10"/>
        <v>670047820.3125</v>
      </c>
      <c r="S9" s="10">
        <f t="shared" si="11"/>
        <v>291840000</v>
      </c>
      <c r="T9" s="10">
        <f t="shared" si="3"/>
        <v>1497926076.5625</v>
      </c>
      <c r="U9" s="10">
        <f t="shared" si="4"/>
        <v>18933600000</v>
      </c>
      <c r="V9" s="10">
        <f t="shared" si="5"/>
        <v>17040240000</v>
      </c>
      <c r="W9" s="11">
        <f t="shared" si="6"/>
        <v>13492313923.4375</v>
      </c>
    </row>
    <row r="10" spans="1:23" ht="15.75" thickBot="1" x14ac:dyDescent="0.25">
      <c r="G10" s="9">
        <v>7</v>
      </c>
      <c r="H10" s="10">
        <v>0</v>
      </c>
      <c r="I10" s="10">
        <v>0</v>
      </c>
      <c r="J10" s="32">
        <f t="shared" si="7"/>
        <v>440000000</v>
      </c>
      <c r="K10" s="9">
        <f t="shared" si="12"/>
        <v>60750000.000000007</v>
      </c>
      <c r="L10" s="9">
        <f>($L$3*(1+(G10*8%)))</f>
        <v>46800000</v>
      </c>
      <c r="M10" s="34">
        <f t="shared" si="8"/>
        <v>107550000</v>
      </c>
      <c r="N10" s="10">
        <f t="shared" si="0"/>
        <v>10755000000</v>
      </c>
      <c r="O10" s="10">
        <f t="shared" si="1"/>
        <v>3871800000</v>
      </c>
      <c r="P10" s="10">
        <f t="shared" si="2"/>
        <v>5162400000</v>
      </c>
      <c r="Q10" s="10">
        <f t="shared" si="9"/>
        <v>562840169.0625</v>
      </c>
      <c r="R10" s="10">
        <f t="shared" si="10"/>
        <v>703550211.328125</v>
      </c>
      <c r="S10" s="10">
        <f t="shared" si="11"/>
        <v>291840000</v>
      </c>
      <c r="T10" s="10">
        <f t="shared" si="3"/>
        <v>1558230380.390625</v>
      </c>
      <c r="U10" s="10">
        <f t="shared" si="4"/>
        <v>19789200000</v>
      </c>
      <c r="V10" s="10">
        <f t="shared" si="5"/>
        <v>17810280000</v>
      </c>
      <c r="W10" s="11">
        <f t="shared" si="6"/>
        <v>14202049619.609375</v>
      </c>
    </row>
    <row r="11" spans="1:23" ht="15.75" thickBot="1" x14ac:dyDescent="0.25">
      <c r="A11" t="s">
        <v>9</v>
      </c>
      <c r="B11">
        <v>150000000</v>
      </c>
      <c r="G11" s="9">
        <v>8</v>
      </c>
      <c r="H11" s="10">
        <v>0</v>
      </c>
      <c r="I11" s="10">
        <v>0</v>
      </c>
      <c r="J11" s="32">
        <f t="shared" si="7"/>
        <v>360000000</v>
      </c>
      <c r="K11" s="9">
        <f t="shared" si="12"/>
        <v>62999999.999999993</v>
      </c>
      <c r="L11" s="9">
        <f t="shared" si="13"/>
        <v>49200000.000000007</v>
      </c>
      <c r="M11" s="34">
        <f t="shared" si="8"/>
        <v>112200000</v>
      </c>
      <c r="N11" s="10">
        <f t="shared" si="0"/>
        <v>11220000000</v>
      </c>
      <c r="O11" s="10">
        <f t="shared" si="1"/>
        <v>4039200000</v>
      </c>
      <c r="P11" s="10">
        <f t="shared" si="2"/>
        <v>5385600000</v>
      </c>
      <c r="Q11" s="10">
        <f t="shared" si="9"/>
        <v>590982177.515625</v>
      </c>
      <c r="R11" s="10">
        <f t="shared" si="10"/>
        <v>738727721.89453125</v>
      </c>
      <c r="S11" s="10">
        <f t="shared" si="11"/>
        <v>291840000</v>
      </c>
      <c r="T11" s="10">
        <f t="shared" si="3"/>
        <v>1621549899.4101562</v>
      </c>
      <c r="U11" s="10">
        <f t="shared" si="4"/>
        <v>20644800000</v>
      </c>
      <c r="V11" s="10">
        <f t="shared" si="5"/>
        <v>18580320000</v>
      </c>
      <c r="W11" s="11">
        <f t="shared" si="6"/>
        <v>14908770100.589844</v>
      </c>
    </row>
    <row r="12" spans="1:23" ht="15.75" thickBot="1" x14ac:dyDescent="0.25">
      <c r="G12" s="9">
        <v>9</v>
      </c>
      <c r="H12" s="10">
        <v>0</v>
      </c>
      <c r="I12" s="10">
        <v>0</v>
      </c>
      <c r="J12" s="32">
        <f t="shared" si="7"/>
        <v>280000000</v>
      </c>
      <c r="K12" s="9">
        <f t="shared" si="12"/>
        <v>65250000</v>
      </c>
      <c r="L12" s="9">
        <f t="shared" si="13"/>
        <v>51600000</v>
      </c>
      <c r="M12" s="34">
        <f t="shared" si="8"/>
        <v>116850000</v>
      </c>
      <c r="N12" s="10">
        <f t="shared" si="0"/>
        <v>11685000000</v>
      </c>
      <c r="O12" s="10">
        <f t="shared" si="1"/>
        <v>4206600000</v>
      </c>
      <c r="P12" s="10">
        <f t="shared" si="2"/>
        <v>5608800000</v>
      </c>
      <c r="Q12" s="10">
        <f t="shared" si="9"/>
        <v>620531286.3914063</v>
      </c>
      <c r="R12" s="10">
        <f t="shared" si="10"/>
        <v>775664107.98925781</v>
      </c>
      <c r="S12" s="10">
        <f t="shared" si="11"/>
        <v>291840000</v>
      </c>
      <c r="T12" s="10">
        <f t="shared" si="3"/>
        <v>1688035394.3806641</v>
      </c>
      <c r="U12" s="10">
        <f t="shared" si="4"/>
        <v>21500400000</v>
      </c>
      <c r="V12" s="10">
        <f t="shared" si="5"/>
        <v>19350360000</v>
      </c>
      <c r="W12" s="11">
        <f t="shared" si="6"/>
        <v>15612324605.619335</v>
      </c>
    </row>
    <row r="13" spans="1:23" ht="15.75" thickBot="1" x14ac:dyDescent="0.25">
      <c r="A13" t="s">
        <v>10</v>
      </c>
      <c r="B13">
        <v>1000000000</v>
      </c>
      <c r="C13">
        <v>200000000</v>
      </c>
      <c r="D13" s="2">
        <f>(1-(C13/(B13)))/10</f>
        <v>0.08</v>
      </c>
      <c r="G13" s="9">
        <v>10</v>
      </c>
      <c r="H13" s="10">
        <v>0</v>
      </c>
      <c r="I13" s="10">
        <v>0</v>
      </c>
      <c r="J13" s="32">
        <f t="shared" si="7"/>
        <v>200000000</v>
      </c>
      <c r="K13" s="9">
        <f t="shared" si="12"/>
        <v>67500000</v>
      </c>
      <c r="L13" s="9">
        <f t="shared" si="13"/>
        <v>54000000</v>
      </c>
      <c r="M13" s="34">
        <f t="shared" si="8"/>
        <v>121500000</v>
      </c>
      <c r="N13" s="10">
        <f t="shared" si="0"/>
        <v>12150000000</v>
      </c>
      <c r="O13" s="10">
        <f t="shared" si="1"/>
        <v>4374000000</v>
      </c>
      <c r="P13" s="10">
        <f t="shared" si="2"/>
        <v>5832000000</v>
      </c>
      <c r="Q13" s="10">
        <f t="shared" si="9"/>
        <v>651557850.7109766</v>
      </c>
      <c r="R13" s="10">
        <f t="shared" si="10"/>
        <v>814447313.38872075</v>
      </c>
      <c r="S13" s="10">
        <f t="shared" si="11"/>
        <v>291840000</v>
      </c>
      <c r="T13" s="10">
        <f t="shared" si="3"/>
        <v>1757845164.0996974</v>
      </c>
      <c r="U13" s="10">
        <f t="shared" si="4"/>
        <v>22356000000</v>
      </c>
      <c r="V13" s="10">
        <f t="shared" si="5"/>
        <v>20120400000</v>
      </c>
      <c r="W13" s="11">
        <f t="shared" si="6"/>
        <v>16312554835.900303</v>
      </c>
    </row>
    <row r="15" spans="1:23" x14ac:dyDescent="0.2">
      <c r="A15" t="s">
        <v>11</v>
      </c>
      <c r="B15">
        <v>45000000</v>
      </c>
      <c r="C15">
        <v>30000000</v>
      </c>
    </row>
    <row r="16" spans="1:23" x14ac:dyDescent="0.2">
      <c r="J16" s="14" t="s">
        <v>39</v>
      </c>
      <c r="K16" s="15">
        <f>H3+I3+Q3+R3</f>
        <v>2050000000</v>
      </c>
      <c r="S16" s="8"/>
    </row>
    <row r="17" spans="1:29" x14ac:dyDescent="0.2">
      <c r="A17" t="s">
        <v>12</v>
      </c>
      <c r="B17">
        <v>100</v>
      </c>
    </row>
    <row r="18" spans="1:29" ht="15.75" thickBot="1" x14ac:dyDescent="0.25">
      <c r="B18">
        <v>36</v>
      </c>
      <c r="C18">
        <v>48</v>
      </c>
      <c r="P18" s="8"/>
      <c r="Q18" s="8"/>
      <c r="R18" s="8"/>
      <c r="S18" s="8"/>
    </row>
    <row r="19" spans="1:29" ht="21.75" thickBot="1" x14ac:dyDescent="0.35">
      <c r="J19" s="48" t="s">
        <v>48</v>
      </c>
      <c r="K19" s="48"/>
      <c r="L19" s="48"/>
      <c r="R19" s="8"/>
      <c r="U19" s="50" t="s">
        <v>31</v>
      </c>
      <c r="V19" s="51"/>
      <c r="W19" s="52"/>
    </row>
    <row r="20" spans="1:29" ht="15.75" thickBot="1" x14ac:dyDescent="0.25">
      <c r="A20" t="s">
        <v>13</v>
      </c>
      <c r="B20">
        <v>5000000</v>
      </c>
      <c r="C20" s="3">
        <v>0.08</v>
      </c>
      <c r="D20">
        <f>48*60%</f>
        <v>28.799999999999997</v>
      </c>
      <c r="G20" s="16" t="s">
        <v>23</v>
      </c>
      <c r="H20" s="16" t="s">
        <v>30</v>
      </c>
      <c r="I20" s="16" t="s">
        <v>10</v>
      </c>
      <c r="J20" s="16" t="s">
        <v>35</v>
      </c>
      <c r="K20" s="22" t="s">
        <v>59</v>
      </c>
      <c r="L20" s="22" t="s">
        <v>58</v>
      </c>
      <c r="M20" s="16" t="s">
        <v>37</v>
      </c>
      <c r="N20" s="16" t="s">
        <v>27</v>
      </c>
      <c r="O20" s="16" t="s">
        <v>43</v>
      </c>
      <c r="P20" s="17" t="s">
        <v>24</v>
      </c>
      <c r="Q20" s="16" t="s">
        <v>25</v>
      </c>
      <c r="R20" s="16" t="s">
        <v>26</v>
      </c>
      <c r="S20" s="16" t="s">
        <v>28</v>
      </c>
      <c r="T20" s="16" t="s">
        <v>29</v>
      </c>
      <c r="U20" s="16" t="s">
        <v>32</v>
      </c>
      <c r="V20" s="16" t="s">
        <v>33</v>
      </c>
      <c r="W20" s="16" t="s">
        <v>34</v>
      </c>
      <c r="X20" s="24" t="s">
        <v>38</v>
      </c>
      <c r="Y20" s="22" t="s">
        <v>18</v>
      </c>
      <c r="Z20" s="22" t="s">
        <v>40</v>
      </c>
      <c r="AA20" s="22" t="s">
        <v>41</v>
      </c>
      <c r="AB20" s="22" t="s">
        <v>45</v>
      </c>
      <c r="AC20" s="23" t="s">
        <v>42</v>
      </c>
    </row>
    <row r="21" spans="1:29" ht="15.75" thickBot="1" x14ac:dyDescent="0.25">
      <c r="G21" s="9">
        <v>0</v>
      </c>
      <c r="H21" s="12">
        <f>B11</f>
        <v>150000000</v>
      </c>
      <c r="I21" s="12">
        <f>B13</f>
        <v>1000000000</v>
      </c>
      <c r="J21" s="12">
        <f>I21</f>
        <v>1000000000</v>
      </c>
      <c r="K21" s="9">
        <f>B15</f>
        <v>45000000</v>
      </c>
      <c r="L21" s="9">
        <f>C15</f>
        <v>30000000</v>
      </c>
      <c r="M21" s="12">
        <f>B15+C15</f>
        <v>75000000</v>
      </c>
      <c r="N21" s="12">
        <v>0</v>
      </c>
      <c r="O21" s="12">
        <f>N21+M21</f>
        <v>75000000</v>
      </c>
      <c r="P21" s="12">
        <f t="shared" ref="P21:P31" si="14">$O21*$B$17</f>
        <v>7500000000</v>
      </c>
      <c r="Q21" s="12">
        <f t="shared" ref="Q21:Q31" si="15">$O21*$B$18</f>
        <v>2700000000</v>
      </c>
      <c r="R21" s="12">
        <f t="shared" ref="R21:R31" si="16">$O21*$C$18</f>
        <v>3600000000</v>
      </c>
      <c r="S21" s="12">
        <f t="shared" ref="S21:S31" si="17">P3*60%</f>
        <v>2160000000</v>
      </c>
      <c r="T21" s="12">
        <f>C22</f>
        <v>600000000</v>
      </c>
      <c r="U21" s="12">
        <f>C24</f>
        <v>400000000</v>
      </c>
      <c r="V21" s="12">
        <f>$D$24</f>
        <v>40000000</v>
      </c>
      <c r="W21" s="12">
        <f>Q3+V21</f>
        <v>440000000</v>
      </c>
      <c r="X21" s="12">
        <f>B26</f>
        <v>500000000</v>
      </c>
      <c r="Y21" s="12">
        <f>B30</f>
        <v>30000000</v>
      </c>
      <c r="Z21" s="12">
        <f>X21+W21-Y21</f>
        <v>910000000</v>
      </c>
      <c r="AA21" s="12">
        <f>S21+R21+Q21+P21</f>
        <v>15960000000</v>
      </c>
      <c r="AB21" s="12">
        <f>AA21-AA21*10%</f>
        <v>14364000000</v>
      </c>
      <c r="AC21" s="13">
        <f t="shared" ref="AC21:AC31" si="18">$AB21-$Z21-$K$34</f>
        <v>10764000000</v>
      </c>
    </row>
    <row r="22" spans="1:29" ht="15.75" thickBot="1" x14ac:dyDescent="0.25">
      <c r="A22" t="s">
        <v>14</v>
      </c>
      <c r="B22" s="3">
        <v>0.65</v>
      </c>
      <c r="C22">
        <v>600000000</v>
      </c>
      <c r="G22" s="9">
        <v>1</v>
      </c>
      <c r="H22" s="12">
        <v>0</v>
      </c>
      <c r="I22" s="12">
        <v>0</v>
      </c>
      <c r="J22" s="12">
        <f t="shared" ref="J22:J31" si="19">$J21-$B$13*$D$13</f>
        <v>920000000</v>
      </c>
      <c r="K22" s="9">
        <f>($K$21*(1+$G22*5%))</f>
        <v>47250000</v>
      </c>
      <c r="L22" s="9">
        <f>($L$21*(1+$G22*10%))</f>
        <v>33000000.000000004</v>
      </c>
      <c r="M22" s="12">
        <f>($B$15*(1+G22*5%))+($C$15*(1+G22*10%))</f>
        <v>80250000</v>
      </c>
      <c r="N22" s="12">
        <f>B20</f>
        <v>5000000</v>
      </c>
      <c r="O22" s="12">
        <f t="shared" ref="O22:O31" si="20">N22+M22</f>
        <v>85250000</v>
      </c>
      <c r="P22" s="12">
        <f t="shared" si="14"/>
        <v>8525000000</v>
      </c>
      <c r="Q22" s="12">
        <f t="shared" si="15"/>
        <v>3069000000</v>
      </c>
      <c r="R22" s="12">
        <f t="shared" si="16"/>
        <v>4092000000</v>
      </c>
      <c r="S22" s="12">
        <f t="shared" si="17"/>
        <v>2293920000</v>
      </c>
      <c r="T22" s="12">
        <v>0</v>
      </c>
      <c r="U22" s="12">
        <f t="shared" ref="U22:U31" si="21">$U21*(1+5%)</f>
        <v>420000000</v>
      </c>
      <c r="V22" s="12">
        <f t="shared" ref="V22:V31" si="22">$V21*(1+10%)</f>
        <v>44000000</v>
      </c>
      <c r="W22" s="12">
        <f t="shared" ref="W21:W31" si="23">Q4+V22</f>
        <v>464000000</v>
      </c>
      <c r="X22" s="12">
        <f t="shared" ref="X22:X31" si="24">$X21*(1+15%)</f>
        <v>575000000</v>
      </c>
      <c r="Y22" s="12">
        <f t="shared" ref="Y22:Y31" si="25">$Y21*(1+3%)</f>
        <v>30900000</v>
      </c>
      <c r="Z22" s="12">
        <f>X22+W22-Y22</f>
        <v>1008100000</v>
      </c>
      <c r="AA22" s="12">
        <f t="shared" ref="AA21:AA31" si="26">S22+R22+Q22+P22</f>
        <v>17979920000</v>
      </c>
      <c r="AB22" s="12">
        <f>AA22-AA22*10%</f>
        <v>16181928000</v>
      </c>
      <c r="AC22" s="13">
        <f t="shared" si="18"/>
        <v>12483828000</v>
      </c>
    </row>
    <row r="23" spans="1:29" ht="15.75" thickBot="1" x14ac:dyDescent="0.25">
      <c r="G23" s="9">
        <v>2</v>
      </c>
      <c r="H23" s="12">
        <v>0</v>
      </c>
      <c r="I23" s="12">
        <v>0</v>
      </c>
      <c r="J23" s="12">
        <f t="shared" si="19"/>
        <v>840000000</v>
      </c>
      <c r="K23" s="9">
        <f t="shared" ref="K23:K31" si="27">($K$21*(1+$G23*5%))</f>
        <v>49500000.000000007</v>
      </c>
      <c r="L23" s="9">
        <f t="shared" ref="L23:L31" si="28">($L$21*(1+$G23*10%))</f>
        <v>36000000</v>
      </c>
      <c r="M23" s="12">
        <f t="shared" ref="M23:M31" si="29">($B$15*(1+G23*5%))+($C$15*(1+G23*10%))</f>
        <v>85500000</v>
      </c>
      <c r="N23" s="12">
        <f>$N22*(1+$C$20)</f>
        <v>5400000</v>
      </c>
      <c r="O23" s="12">
        <f t="shared" si="20"/>
        <v>90900000</v>
      </c>
      <c r="P23" s="12">
        <f t="shared" si="14"/>
        <v>9090000000</v>
      </c>
      <c r="Q23" s="12">
        <f t="shared" si="15"/>
        <v>3272400000</v>
      </c>
      <c r="R23" s="12">
        <f t="shared" si="16"/>
        <v>4363200000</v>
      </c>
      <c r="S23" s="12">
        <f t="shared" si="17"/>
        <v>2427840000</v>
      </c>
      <c r="T23" s="12">
        <f t="shared" ref="T23:T31" si="30">$T22*(1+INFLATION)</f>
        <v>0</v>
      </c>
      <c r="U23" s="12">
        <f t="shared" si="21"/>
        <v>441000000</v>
      </c>
      <c r="V23" s="12">
        <f t="shared" si="22"/>
        <v>48400000.000000007</v>
      </c>
      <c r="W23" s="12">
        <f t="shared" si="23"/>
        <v>489400000</v>
      </c>
      <c r="X23" s="12">
        <f t="shared" si="24"/>
        <v>661250000</v>
      </c>
      <c r="Y23" s="12">
        <f t="shared" si="25"/>
        <v>31827000</v>
      </c>
      <c r="Z23" s="12">
        <f t="shared" ref="Z23:Z31" si="31">X23+W23-Y23</f>
        <v>1118823000</v>
      </c>
      <c r="AA23" s="12">
        <f t="shared" si="26"/>
        <v>19153440000</v>
      </c>
      <c r="AB23" s="12">
        <f t="shared" ref="AB23:AB31" si="32">AA23-AA23*10%</f>
        <v>17238096000</v>
      </c>
      <c r="AC23" s="13">
        <f t="shared" si="18"/>
        <v>13429273000</v>
      </c>
    </row>
    <row r="24" spans="1:29" ht="15.75" thickBot="1" x14ac:dyDescent="0.25">
      <c r="A24" t="s">
        <v>15</v>
      </c>
      <c r="B24" s="3">
        <v>0.1</v>
      </c>
      <c r="C24" s="5">
        <v>400000000</v>
      </c>
      <c r="D24">
        <v>40000000</v>
      </c>
      <c r="G24" s="9">
        <v>3</v>
      </c>
      <c r="H24" s="12">
        <v>0</v>
      </c>
      <c r="I24" s="12">
        <v>0</v>
      </c>
      <c r="J24" s="12">
        <f t="shared" si="19"/>
        <v>760000000</v>
      </c>
      <c r="K24" s="9">
        <f t="shared" si="27"/>
        <v>51749999.999999993</v>
      </c>
      <c r="L24" s="9">
        <f t="shared" si="28"/>
        <v>39000000</v>
      </c>
      <c r="M24" s="12">
        <f t="shared" si="29"/>
        <v>90750000</v>
      </c>
      <c r="N24" s="12">
        <f t="shared" ref="N24:N31" si="33">$N23*(1+$C$20)</f>
        <v>5832000</v>
      </c>
      <c r="O24" s="12">
        <f t="shared" si="20"/>
        <v>96582000</v>
      </c>
      <c r="P24" s="12">
        <f t="shared" si="14"/>
        <v>9658200000</v>
      </c>
      <c r="Q24" s="12">
        <f t="shared" si="15"/>
        <v>3476952000</v>
      </c>
      <c r="R24" s="12">
        <f t="shared" si="16"/>
        <v>4635936000</v>
      </c>
      <c r="S24" s="12">
        <f t="shared" si="17"/>
        <v>2561760000</v>
      </c>
      <c r="T24" s="12">
        <f t="shared" si="30"/>
        <v>0</v>
      </c>
      <c r="U24" s="12">
        <f t="shared" si="21"/>
        <v>463050000</v>
      </c>
      <c r="V24" s="12">
        <f>$V23*(1+10%)</f>
        <v>53240000.000000015</v>
      </c>
      <c r="W24" s="12">
        <f t="shared" si="23"/>
        <v>516290000</v>
      </c>
      <c r="X24" s="12">
        <f t="shared" si="24"/>
        <v>760437500</v>
      </c>
      <c r="Y24" s="12">
        <f t="shared" si="25"/>
        <v>32781810</v>
      </c>
      <c r="Z24" s="12">
        <f t="shared" si="31"/>
        <v>1243945690</v>
      </c>
      <c r="AA24" s="12">
        <f t="shared" si="26"/>
        <v>20332848000</v>
      </c>
      <c r="AB24" s="12">
        <f t="shared" si="32"/>
        <v>18299563200</v>
      </c>
      <c r="AC24" s="13">
        <f t="shared" si="18"/>
        <v>14365617510</v>
      </c>
    </row>
    <row r="25" spans="1:29" ht="15.75" thickBot="1" x14ac:dyDescent="0.25">
      <c r="G25" s="9">
        <v>4</v>
      </c>
      <c r="H25" s="12">
        <v>0</v>
      </c>
      <c r="I25" s="12">
        <v>0</v>
      </c>
      <c r="J25" s="12">
        <f t="shared" si="19"/>
        <v>680000000</v>
      </c>
      <c r="K25" s="9">
        <f t="shared" si="27"/>
        <v>54000000</v>
      </c>
      <c r="L25" s="9">
        <f t="shared" si="28"/>
        <v>42000000</v>
      </c>
      <c r="M25" s="12">
        <f t="shared" si="29"/>
        <v>96000000</v>
      </c>
      <c r="N25" s="12">
        <f t="shared" si="33"/>
        <v>6298560</v>
      </c>
      <c r="O25" s="12">
        <f t="shared" si="20"/>
        <v>102298560</v>
      </c>
      <c r="P25" s="12">
        <f t="shared" si="14"/>
        <v>10229856000</v>
      </c>
      <c r="Q25" s="12">
        <f t="shared" si="15"/>
        <v>3682748160</v>
      </c>
      <c r="R25" s="12">
        <f t="shared" si="16"/>
        <v>4910330880</v>
      </c>
      <c r="S25" s="12">
        <f t="shared" si="17"/>
        <v>2695680000</v>
      </c>
      <c r="T25" s="12">
        <f t="shared" si="30"/>
        <v>0</v>
      </c>
      <c r="U25" s="12">
        <f t="shared" si="21"/>
        <v>486202500</v>
      </c>
      <c r="V25" s="12">
        <f t="shared" si="22"/>
        <v>58564000.000000022</v>
      </c>
      <c r="W25" s="12">
        <f t="shared" si="23"/>
        <v>544766500</v>
      </c>
      <c r="X25" s="12">
        <f t="shared" si="24"/>
        <v>874503124.99999988</v>
      </c>
      <c r="Y25" s="12">
        <f t="shared" si="25"/>
        <v>33765264.300000004</v>
      </c>
      <c r="Z25" s="12">
        <f t="shared" si="31"/>
        <v>1385504360.7</v>
      </c>
      <c r="AA25" s="12">
        <f t="shared" si="26"/>
        <v>21518615040</v>
      </c>
      <c r="AB25" s="12">
        <f t="shared" si="32"/>
        <v>19366753536</v>
      </c>
      <c r="AC25" s="13">
        <f t="shared" si="18"/>
        <v>15291249175.299999</v>
      </c>
    </row>
    <row r="26" spans="1:29" ht="15.75" thickBot="1" x14ac:dyDescent="0.25">
      <c r="A26" t="s">
        <v>16</v>
      </c>
      <c r="B26">
        <v>500000000</v>
      </c>
      <c r="C26" s="3">
        <v>0.05</v>
      </c>
      <c r="D26" s="3">
        <v>0.15</v>
      </c>
      <c r="G26" s="9">
        <v>5</v>
      </c>
      <c r="H26" s="12">
        <v>0</v>
      </c>
      <c r="I26" s="12">
        <v>0</v>
      </c>
      <c r="J26" s="12">
        <f t="shared" si="19"/>
        <v>600000000</v>
      </c>
      <c r="K26" s="9">
        <f t="shared" si="27"/>
        <v>56250000</v>
      </c>
      <c r="L26" s="9">
        <f t="shared" si="28"/>
        <v>45000000</v>
      </c>
      <c r="M26" s="12">
        <f t="shared" si="29"/>
        <v>101250000</v>
      </c>
      <c r="N26" s="12">
        <f t="shared" si="33"/>
        <v>6802444.8000000007</v>
      </c>
      <c r="O26" s="12">
        <f t="shared" si="20"/>
        <v>108052444.8</v>
      </c>
      <c r="P26" s="12">
        <f t="shared" si="14"/>
        <v>10805244480</v>
      </c>
      <c r="Q26" s="12">
        <f t="shared" si="15"/>
        <v>3889888012.7999997</v>
      </c>
      <c r="R26" s="12">
        <f t="shared" si="16"/>
        <v>5186517350.3999996</v>
      </c>
      <c r="S26" s="12">
        <f t="shared" si="17"/>
        <v>2829600000</v>
      </c>
      <c r="T26" s="12">
        <f t="shared" si="30"/>
        <v>0</v>
      </c>
      <c r="U26" s="12">
        <f t="shared" si="21"/>
        <v>510512625</v>
      </c>
      <c r="V26" s="12">
        <f t="shared" si="22"/>
        <v>64420400.00000003</v>
      </c>
      <c r="W26" s="12">
        <f t="shared" si="23"/>
        <v>574933025</v>
      </c>
      <c r="X26" s="12">
        <f t="shared" si="24"/>
        <v>1005678593.7499998</v>
      </c>
      <c r="Y26" s="12">
        <f t="shared" si="25"/>
        <v>34778222.229000002</v>
      </c>
      <c r="Z26" s="12">
        <f t="shared" si="31"/>
        <v>1545833396.5209997</v>
      </c>
      <c r="AA26" s="12">
        <f t="shared" si="26"/>
        <v>22711249843.199997</v>
      </c>
      <c r="AB26" s="12">
        <f t="shared" si="32"/>
        <v>20440124858.879997</v>
      </c>
      <c r="AC26" s="13">
        <f t="shared" si="18"/>
        <v>16204291462.358997</v>
      </c>
    </row>
    <row r="27" spans="1:29" ht="15.75" thickBot="1" x14ac:dyDescent="0.25">
      <c r="G27" s="9">
        <v>6</v>
      </c>
      <c r="H27" s="12">
        <v>0</v>
      </c>
      <c r="I27" s="12">
        <v>0</v>
      </c>
      <c r="J27" s="12">
        <f t="shared" si="19"/>
        <v>520000000</v>
      </c>
      <c r="K27" s="9">
        <f t="shared" si="27"/>
        <v>58500000</v>
      </c>
      <c r="L27" s="9">
        <f t="shared" si="28"/>
        <v>48000000</v>
      </c>
      <c r="M27" s="12">
        <f t="shared" si="29"/>
        <v>106500000</v>
      </c>
      <c r="N27" s="12">
        <f t="shared" si="33"/>
        <v>7346640.3840000015</v>
      </c>
      <c r="O27" s="12">
        <f t="shared" si="20"/>
        <v>113846640.384</v>
      </c>
      <c r="P27" s="12">
        <f t="shared" si="14"/>
        <v>11384664038.4</v>
      </c>
      <c r="Q27" s="12">
        <f t="shared" si="15"/>
        <v>4098479053.8240004</v>
      </c>
      <c r="R27" s="12">
        <f t="shared" si="16"/>
        <v>5464638738.4320002</v>
      </c>
      <c r="S27" s="12">
        <f t="shared" si="17"/>
        <v>2963520000</v>
      </c>
      <c r="T27" s="12">
        <f t="shared" si="30"/>
        <v>0</v>
      </c>
      <c r="U27" s="12">
        <f t="shared" si="21"/>
        <v>536038256.25</v>
      </c>
      <c r="V27" s="12">
        <f t="shared" si="22"/>
        <v>70862440.000000045</v>
      </c>
      <c r="W27" s="12">
        <f t="shared" si="23"/>
        <v>606900696.25</v>
      </c>
      <c r="X27" s="12">
        <f t="shared" si="24"/>
        <v>1156530382.8124995</v>
      </c>
      <c r="Y27" s="12">
        <f t="shared" si="25"/>
        <v>35821568.89587</v>
      </c>
      <c r="Z27" s="12">
        <f t="shared" si="31"/>
        <v>1727609510.1666296</v>
      </c>
      <c r="AA27" s="12">
        <f t="shared" si="26"/>
        <v>23911301830.655998</v>
      </c>
      <c r="AB27" s="12">
        <f t="shared" si="32"/>
        <v>21520171647.590397</v>
      </c>
      <c r="AC27" s="13">
        <f t="shared" si="18"/>
        <v>17102562137.423767</v>
      </c>
    </row>
    <row r="28" spans="1:29" ht="15.75" thickBot="1" x14ac:dyDescent="0.25">
      <c r="A28" t="s">
        <v>17</v>
      </c>
      <c r="B28" s="3">
        <v>0.05</v>
      </c>
      <c r="C28" s="3">
        <v>0.1</v>
      </c>
      <c r="D28" s="3">
        <v>0.06</v>
      </c>
      <c r="G28" s="9">
        <v>7</v>
      </c>
      <c r="H28" s="12">
        <v>0</v>
      </c>
      <c r="I28" s="12">
        <v>0</v>
      </c>
      <c r="J28" s="12">
        <f t="shared" si="19"/>
        <v>440000000</v>
      </c>
      <c r="K28" s="9">
        <f t="shared" si="27"/>
        <v>60750000.000000007</v>
      </c>
      <c r="L28" s="9">
        <f t="shared" si="28"/>
        <v>51000000.000000007</v>
      </c>
      <c r="M28" s="12">
        <f t="shared" si="29"/>
        <v>111750000.00000001</v>
      </c>
      <c r="N28" s="12">
        <f t="shared" si="33"/>
        <v>7934371.6147200018</v>
      </c>
      <c r="O28" s="12">
        <f t="shared" si="20"/>
        <v>119684371.61472002</v>
      </c>
      <c r="P28" s="12">
        <f t="shared" si="14"/>
        <v>11968437161.472002</v>
      </c>
      <c r="Q28" s="12">
        <f t="shared" si="15"/>
        <v>4308637378.129921</v>
      </c>
      <c r="R28" s="12">
        <f t="shared" si="16"/>
        <v>5744849837.5065613</v>
      </c>
      <c r="S28" s="12">
        <f t="shared" si="17"/>
        <v>3097440000</v>
      </c>
      <c r="T28" s="12">
        <f t="shared" si="30"/>
        <v>0</v>
      </c>
      <c r="U28" s="12">
        <f t="shared" si="21"/>
        <v>562840169.0625</v>
      </c>
      <c r="V28" s="12">
        <f t="shared" si="22"/>
        <v>77948684.00000006</v>
      </c>
      <c r="W28" s="12">
        <f t="shared" si="23"/>
        <v>640788853.0625</v>
      </c>
      <c r="X28" s="12">
        <f t="shared" si="24"/>
        <v>1330009940.2343743</v>
      </c>
      <c r="Y28" s="12">
        <f t="shared" si="25"/>
        <v>36896215.962746099</v>
      </c>
      <c r="Z28" s="12">
        <f t="shared" si="31"/>
        <v>1933902577.3341281</v>
      </c>
      <c r="AA28" s="12">
        <f t="shared" si="26"/>
        <v>25119364377.108482</v>
      </c>
      <c r="AB28" s="12">
        <f t="shared" si="32"/>
        <v>22607427939.397633</v>
      </c>
      <c r="AC28" s="13">
        <f t="shared" si="18"/>
        <v>17983525362.063503</v>
      </c>
    </row>
    <row r="29" spans="1:29" ht="15.75" thickBot="1" x14ac:dyDescent="0.25">
      <c r="G29" s="9">
        <v>8</v>
      </c>
      <c r="H29" s="12">
        <v>0</v>
      </c>
      <c r="I29" s="12">
        <v>0</v>
      </c>
      <c r="J29" s="12">
        <f t="shared" si="19"/>
        <v>360000000</v>
      </c>
      <c r="K29" s="9">
        <f t="shared" si="27"/>
        <v>62999999.999999993</v>
      </c>
      <c r="L29" s="9">
        <f>($L$21*(1+$G29*10%))</f>
        <v>54000000</v>
      </c>
      <c r="M29" s="12">
        <f t="shared" si="29"/>
        <v>117000000</v>
      </c>
      <c r="N29" s="12">
        <f t="shared" si="33"/>
        <v>8569121.3438976035</v>
      </c>
      <c r="O29" s="12">
        <f t="shared" si="20"/>
        <v>125569121.34389761</v>
      </c>
      <c r="P29" s="12">
        <f t="shared" si="14"/>
        <v>12556912134.389761</v>
      </c>
      <c r="Q29" s="12">
        <f t="shared" si="15"/>
        <v>4520488368.3803139</v>
      </c>
      <c r="R29" s="12">
        <f t="shared" si="16"/>
        <v>6027317824.5070858</v>
      </c>
      <c r="S29" s="12">
        <f t="shared" si="17"/>
        <v>3231360000</v>
      </c>
      <c r="T29" s="12">
        <f t="shared" si="30"/>
        <v>0</v>
      </c>
      <c r="U29" s="12">
        <f t="shared" si="21"/>
        <v>590982177.515625</v>
      </c>
      <c r="V29" s="12">
        <f t="shared" si="22"/>
        <v>85743552.400000066</v>
      </c>
      <c r="W29" s="12">
        <f t="shared" si="23"/>
        <v>676725729.9156251</v>
      </c>
      <c r="X29" s="12">
        <f t="shared" si="24"/>
        <v>1529511431.2695303</v>
      </c>
      <c r="Y29" s="12">
        <f t="shared" si="25"/>
        <v>38003102.441628486</v>
      </c>
      <c r="Z29" s="12">
        <f t="shared" si="31"/>
        <v>2168234058.7435269</v>
      </c>
      <c r="AA29" s="12">
        <f t="shared" si="26"/>
        <v>26336078327.277161</v>
      </c>
      <c r="AB29" s="12">
        <f t="shared" si="32"/>
        <v>23702470494.549446</v>
      </c>
      <c r="AC29" s="13">
        <f t="shared" si="18"/>
        <v>18844236435.80592</v>
      </c>
    </row>
    <row r="30" spans="1:29" ht="15.75" thickBot="1" x14ac:dyDescent="0.25">
      <c r="A30" t="s">
        <v>18</v>
      </c>
      <c r="B30">
        <v>30000000</v>
      </c>
      <c r="C30" s="3">
        <v>0.03</v>
      </c>
      <c r="G30" s="9">
        <v>9</v>
      </c>
      <c r="H30" s="12">
        <v>0</v>
      </c>
      <c r="I30" s="12">
        <v>0</v>
      </c>
      <c r="J30" s="12">
        <f t="shared" si="19"/>
        <v>280000000</v>
      </c>
      <c r="K30" s="9">
        <f t="shared" si="27"/>
        <v>65250000</v>
      </c>
      <c r="L30" s="9">
        <f t="shared" si="28"/>
        <v>57000000</v>
      </c>
      <c r="M30" s="12">
        <f t="shared" si="29"/>
        <v>122250000</v>
      </c>
      <c r="N30" s="12">
        <f t="shared" si="33"/>
        <v>9254651.0514094122</v>
      </c>
      <c r="O30" s="12">
        <f t="shared" si="20"/>
        <v>131504651.05140941</v>
      </c>
      <c r="P30" s="12">
        <f t="shared" si="14"/>
        <v>13150465105.140942</v>
      </c>
      <c r="Q30" s="12">
        <f t="shared" si="15"/>
        <v>4734167437.8507385</v>
      </c>
      <c r="R30" s="12">
        <f t="shared" si="16"/>
        <v>6312223250.4676514</v>
      </c>
      <c r="S30" s="12">
        <f t="shared" si="17"/>
        <v>3365280000</v>
      </c>
      <c r="T30" s="12">
        <f t="shared" si="30"/>
        <v>0</v>
      </c>
      <c r="U30" s="12">
        <f t="shared" si="21"/>
        <v>620531286.3914063</v>
      </c>
      <c r="V30" s="12">
        <f t="shared" si="22"/>
        <v>94317907.640000075</v>
      </c>
      <c r="W30" s="12">
        <f t="shared" si="23"/>
        <v>714849194.0314064</v>
      </c>
      <c r="X30" s="12">
        <f t="shared" si="24"/>
        <v>1758938145.9599597</v>
      </c>
      <c r="Y30" s="12">
        <f t="shared" si="25"/>
        <v>39143195.514877342</v>
      </c>
      <c r="Z30" s="12">
        <f t="shared" si="31"/>
        <v>2434644144.4764891</v>
      </c>
      <c r="AA30" s="12">
        <f t="shared" si="26"/>
        <v>27562135793.459332</v>
      </c>
      <c r="AB30" s="12">
        <f t="shared" si="32"/>
        <v>24805922214.1134</v>
      </c>
      <c r="AC30" s="13">
        <f t="shared" si="18"/>
        <v>19681278069.636909</v>
      </c>
    </row>
    <row r="31" spans="1:29" ht="15.75" thickBot="1" x14ac:dyDescent="0.25">
      <c r="G31" s="9">
        <v>10</v>
      </c>
      <c r="H31" s="12">
        <v>0</v>
      </c>
      <c r="I31" s="12">
        <v>0</v>
      </c>
      <c r="J31" s="12">
        <f t="shared" si="19"/>
        <v>200000000</v>
      </c>
      <c r="K31" s="9">
        <f t="shared" si="27"/>
        <v>67500000</v>
      </c>
      <c r="L31" s="9">
        <f t="shared" si="28"/>
        <v>60000000</v>
      </c>
      <c r="M31" s="12">
        <f t="shared" si="29"/>
        <v>127500000</v>
      </c>
      <c r="N31" s="12">
        <f t="shared" si="33"/>
        <v>9995023.1355221663</v>
      </c>
      <c r="O31" s="12">
        <f t="shared" si="20"/>
        <v>137495023.13552216</v>
      </c>
      <c r="P31" s="12">
        <f t="shared" si="14"/>
        <v>13749502313.552216</v>
      </c>
      <c r="Q31" s="12">
        <f t="shared" si="15"/>
        <v>4949820832.8787975</v>
      </c>
      <c r="R31" s="12">
        <f t="shared" si="16"/>
        <v>6599761110.505064</v>
      </c>
      <c r="S31" s="12">
        <f t="shared" si="17"/>
        <v>3499200000</v>
      </c>
      <c r="T31" s="12">
        <f t="shared" si="30"/>
        <v>0</v>
      </c>
      <c r="U31" s="12">
        <f t="shared" si="21"/>
        <v>651557850.7109766</v>
      </c>
      <c r="V31" s="12">
        <f t="shared" si="22"/>
        <v>103749698.40400009</v>
      </c>
      <c r="W31" s="12">
        <f t="shared" si="23"/>
        <v>755307549.11497664</v>
      </c>
      <c r="X31" s="12">
        <f t="shared" si="24"/>
        <v>2022778867.8539536</v>
      </c>
      <c r="Y31" s="12">
        <f t="shared" si="25"/>
        <v>40317491.380323663</v>
      </c>
      <c r="Z31" s="12">
        <f t="shared" si="31"/>
        <v>2737768925.5886064</v>
      </c>
      <c r="AA31" s="12">
        <f t="shared" si="26"/>
        <v>28798284256.936077</v>
      </c>
      <c r="AB31" s="12">
        <f t="shared" si="32"/>
        <v>25918455831.24247</v>
      </c>
      <c r="AC31" s="13">
        <f t="shared" si="18"/>
        <v>20490686905.653862</v>
      </c>
    </row>
    <row r="32" spans="1:29" x14ac:dyDescent="0.2">
      <c r="A32" t="s">
        <v>19</v>
      </c>
      <c r="B32" s="4">
        <v>87.5</v>
      </c>
      <c r="C32">
        <v>251430000</v>
      </c>
      <c r="P32" s="8"/>
      <c r="Q32" s="8"/>
      <c r="R32" s="8"/>
    </row>
    <row r="33" spans="1:12" x14ac:dyDescent="0.2">
      <c r="B33">
        <v>2432000000</v>
      </c>
      <c r="C33" s="3">
        <v>0.12</v>
      </c>
      <c r="L33" s="4"/>
    </row>
    <row r="34" spans="1:12" x14ac:dyDescent="0.2">
      <c r="J34" s="14" t="s">
        <v>44</v>
      </c>
      <c r="K34" s="15">
        <f>H21+I21+T21+W21+X21</f>
        <v>2690000000</v>
      </c>
      <c r="L34" s="3"/>
    </row>
    <row r="35" spans="1:12" x14ac:dyDescent="0.2">
      <c r="A35" t="s">
        <v>20</v>
      </c>
      <c r="B35" s="3">
        <v>0.1</v>
      </c>
    </row>
    <row r="37" spans="1:12" x14ac:dyDescent="0.2">
      <c r="A37" t="s">
        <v>21</v>
      </c>
      <c r="B37" s="3">
        <v>0.02</v>
      </c>
      <c r="C37" s="1">
        <v>1.4999999999999999E-2</v>
      </c>
    </row>
    <row r="39" spans="1:12" x14ac:dyDescent="0.2">
      <c r="A39" t="s">
        <v>22</v>
      </c>
      <c r="B39" s="3">
        <v>0.11</v>
      </c>
    </row>
  </sheetData>
  <mergeCells count="3">
    <mergeCell ref="J1:L1"/>
    <mergeCell ref="J19:L19"/>
    <mergeCell ref="U19:W19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9173-B7D1-41CB-81D3-EAC03DFEB89D}">
  <dimension ref="A1:M19"/>
  <sheetViews>
    <sheetView topLeftCell="H2" workbookViewId="0">
      <selection activeCell="I18" sqref="I18"/>
    </sheetView>
  </sheetViews>
  <sheetFormatPr defaultRowHeight="15" x14ac:dyDescent="0.2"/>
  <cols>
    <col min="1" max="1" width="24.75" bestFit="1" customWidth="1"/>
    <col min="2" max="2" width="10.76171875" bestFit="1" customWidth="1"/>
    <col min="3" max="3" width="9.81640625" bestFit="1" customWidth="1"/>
    <col min="6" max="6" width="12.9140625" bestFit="1" customWidth="1"/>
    <col min="7" max="7" width="40.22265625" bestFit="1" customWidth="1"/>
    <col min="8" max="8" width="16.6796875" bestFit="1" customWidth="1"/>
    <col min="9" max="9" width="18.16015625" bestFit="1" customWidth="1"/>
    <col min="10" max="10" width="20.71484375" bestFit="1" customWidth="1"/>
    <col min="11" max="11" width="17.21875" bestFit="1" customWidth="1"/>
    <col min="12" max="12" width="18.0234375" bestFit="1" customWidth="1"/>
    <col min="13" max="13" width="17.21875" bestFit="1" customWidth="1"/>
    <col min="14" max="14" width="16.140625" bestFit="1" customWidth="1"/>
    <col min="15" max="15" width="18.4296875" bestFit="1" customWidth="1"/>
  </cols>
  <sheetData>
    <row r="1" spans="1:13" ht="30" customHeight="1" x14ac:dyDescent="0.2">
      <c r="A1" s="53" t="s">
        <v>49</v>
      </c>
      <c r="B1" s="53"/>
      <c r="C1" s="53"/>
      <c r="E1" s="19"/>
      <c r="F1" s="26" t="s">
        <v>50</v>
      </c>
      <c r="G1" s="27" t="s">
        <v>51</v>
      </c>
      <c r="K1" s="28"/>
    </row>
    <row r="2" spans="1:13" ht="15.75" thickBot="1" x14ac:dyDescent="0.25">
      <c r="A2" s="18"/>
      <c r="B2" s="18"/>
      <c r="C2" s="6"/>
      <c r="E2" s="6"/>
      <c r="F2" s="6"/>
      <c r="G2" s="6"/>
    </row>
    <row r="3" spans="1:13" ht="15.75" thickBot="1" x14ac:dyDescent="0.25">
      <c r="A3" s="4"/>
      <c r="B3" s="4"/>
      <c r="C3" s="4"/>
      <c r="F3" s="25" t="s">
        <v>23</v>
      </c>
      <c r="G3" s="16" t="s">
        <v>35</v>
      </c>
      <c r="H3" s="16" t="s">
        <v>29</v>
      </c>
      <c r="I3" s="16" t="s">
        <v>45</v>
      </c>
      <c r="J3" s="16" t="s">
        <v>53</v>
      </c>
      <c r="K3" s="16" t="s">
        <v>54</v>
      </c>
      <c r="L3" s="16" t="s">
        <v>55</v>
      </c>
      <c r="M3" s="41" t="s">
        <v>62</v>
      </c>
    </row>
    <row r="4" spans="1:13" ht="15.75" thickBot="1" x14ac:dyDescent="0.25">
      <c r="A4" t="s">
        <v>10</v>
      </c>
      <c r="B4">
        <v>1000000000</v>
      </c>
      <c r="C4">
        <v>200000000</v>
      </c>
      <c r="D4" s="2">
        <f>(1-(C4/(B4)))/10</f>
        <v>0.08</v>
      </c>
      <c r="F4" s="21">
        <v>0</v>
      </c>
      <c r="G4" s="12">
        <f>B4</f>
        <v>1000000000</v>
      </c>
      <c r="H4" s="12">
        <f>C6</f>
        <v>600000000</v>
      </c>
      <c r="I4" s="12">
        <v>14364000000</v>
      </c>
      <c r="J4" s="12">
        <f>I4*$B$8</f>
        <v>718200000</v>
      </c>
      <c r="K4" s="12">
        <f>I4*$B$10</f>
        <v>1436400000</v>
      </c>
      <c r="L4" s="12">
        <f>I4*$B$12</f>
        <v>861840000</v>
      </c>
      <c r="M4" s="42">
        <f>($G4*((1+$B$16)^(-$F4)))+($H4*((1+$B$16)^(-$F4)))+($J4*((1+$B$16)^(-$F4)))+($K4*((1+$B$16)^(-$F4)))-($L4*((1+$B$16)^(-$F4)))</f>
        <v>2892760000</v>
      </c>
    </row>
    <row r="5" spans="1:13" ht="15.75" thickBot="1" x14ac:dyDescent="0.25">
      <c r="F5" s="21">
        <v>1</v>
      </c>
      <c r="G5" s="12">
        <f>$G4-$B$4*$D$4</f>
        <v>920000000</v>
      </c>
      <c r="H5" s="12">
        <f t="shared" ref="H5:H14" si="0">$H4+$H4*$C$14</f>
        <v>609000000</v>
      </c>
      <c r="I5" s="12">
        <v>16181928000</v>
      </c>
      <c r="J5" s="12">
        <f t="shared" ref="J5:J14" si="1">I5*$B$8</f>
        <v>809096400</v>
      </c>
      <c r="K5" s="12">
        <f t="shared" ref="K5:K14" si="2">I5*$B$10</f>
        <v>1618192800</v>
      </c>
      <c r="L5" s="12">
        <f t="shared" ref="L5:L14" si="3">I5*$B$12</f>
        <v>970915680</v>
      </c>
      <c r="M5" s="42">
        <f t="shared" ref="M4:M13" si="4">($G5*((1+$B$16)^(-$F5)))+($H5*((1+$B$16)^(-$F5)))+($J5*((1+$B$16)^(-$F5)))+($K5*((1+$B$16)^(-$F5)))-($L5*((1+$B$16)^(-$F5)))</f>
        <v>2689525693.6936936</v>
      </c>
    </row>
    <row r="6" spans="1:13" ht="15.75" thickBot="1" x14ac:dyDescent="0.25">
      <c r="A6" t="s">
        <v>14</v>
      </c>
      <c r="B6" s="3">
        <v>0.65</v>
      </c>
      <c r="C6">
        <v>600000000</v>
      </c>
      <c r="F6" s="21">
        <v>2</v>
      </c>
      <c r="G6" s="12">
        <f t="shared" ref="G6:G14" si="5">$G5-$B$4*$D$4</f>
        <v>840000000</v>
      </c>
      <c r="H6" s="12">
        <f t="shared" si="0"/>
        <v>618135000</v>
      </c>
      <c r="I6" s="12">
        <v>17238096000</v>
      </c>
      <c r="J6" s="12">
        <f t="shared" si="1"/>
        <v>861904800</v>
      </c>
      <c r="K6" s="12">
        <f t="shared" si="2"/>
        <v>1723809600</v>
      </c>
      <c r="L6" s="12">
        <f t="shared" si="3"/>
        <v>1034285760</v>
      </c>
      <c r="M6" s="42">
        <f t="shared" si="4"/>
        <v>2442629364.4996343</v>
      </c>
    </row>
    <row r="7" spans="1:13" ht="15.75" thickBot="1" x14ac:dyDescent="0.25">
      <c r="F7" s="21">
        <v>3</v>
      </c>
      <c r="G7" s="12">
        <f t="shared" si="5"/>
        <v>760000000</v>
      </c>
      <c r="H7" s="12">
        <f t="shared" si="0"/>
        <v>627407025</v>
      </c>
      <c r="I7" s="12">
        <v>18299563200</v>
      </c>
      <c r="J7" s="12">
        <f t="shared" si="1"/>
        <v>914978160</v>
      </c>
      <c r="K7" s="12">
        <f t="shared" si="2"/>
        <v>1829956320</v>
      </c>
      <c r="L7" s="12">
        <f t="shared" si="3"/>
        <v>1097973792</v>
      </c>
      <c r="M7" s="42">
        <f t="shared" si="4"/>
        <v>2218703519.4434757</v>
      </c>
    </row>
    <row r="8" spans="1:13" ht="15.75" thickBot="1" x14ac:dyDescent="0.25">
      <c r="A8" t="s">
        <v>53</v>
      </c>
      <c r="B8" s="3">
        <v>0.05</v>
      </c>
      <c r="F8" s="21">
        <v>4</v>
      </c>
      <c r="G8" s="12">
        <f t="shared" si="5"/>
        <v>680000000</v>
      </c>
      <c r="H8" s="12">
        <f t="shared" si="0"/>
        <v>636818130.375</v>
      </c>
      <c r="I8" s="12">
        <v>19366753536</v>
      </c>
      <c r="J8" s="12">
        <f t="shared" si="1"/>
        <v>968337676.80000007</v>
      </c>
      <c r="K8" s="12">
        <f t="shared" si="2"/>
        <v>1936675353.6000001</v>
      </c>
      <c r="L8" s="12">
        <f t="shared" si="3"/>
        <v>1162005212.1599998</v>
      </c>
      <c r="M8" s="42">
        <f t="shared" si="4"/>
        <v>2015602127.8453083</v>
      </c>
    </row>
    <row r="9" spans="1:13" ht="15.75" thickBot="1" x14ac:dyDescent="0.25">
      <c r="F9" s="21">
        <v>5</v>
      </c>
      <c r="G9" s="12">
        <f t="shared" si="5"/>
        <v>600000000</v>
      </c>
      <c r="H9" s="12">
        <f t="shared" si="0"/>
        <v>646370402.33062506</v>
      </c>
      <c r="I9" s="12">
        <v>20440124858.879997</v>
      </c>
      <c r="J9" s="12">
        <f t="shared" si="1"/>
        <v>1022006242.9439999</v>
      </c>
      <c r="K9" s="12">
        <f t="shared" si="2"/>
        <v>2044012485.8879998</v>
      </c>
      <c r="L9" s="12">
        <f t="shared" si="3"/>
        <v>1226407491.5327997</v>
      </c>
      <c r="M9" s="42">
        <f t="shared" si="4"/>
        <v>1831379902.402648</v>
      </c>
    </row>
    <row r="10" spans="1:13" ht="15.75" thickBot="1" x14ac:dyDescent="0.25">
      <c r="A10" t="s">
        <v>54</v>
      </c>
      <c r="B10" s="3">
        <v>0.1</v>
      </c>
      <c r="F10" s="21">
        <v>6</v>
      </c>
      <c r="G10" s="12">
        <f t="shared" si="5"/>
        <v>520000000</v>
      </c>
      <c r="H10" s="12">
        <f t="shared" si="0"/>
        <v>656065958.36558437</v>
      </c>
      <c r="I10" s="12">
        <v>21520171647.590397</v>
      </c>
      <c r="J10" s="12">
        <f t="shared" si="1"/>
        <v>1076008582.3795199</v>
      </c>
      <c r="K10" s="12">
        <f t="shared" si="2"/>
        <v>2152017164.7590399</v>
      </c>
      <c r="L10" s="12">
        <f t="shared" si="3"/>
        <v>1291210298.8554237</v>
      </c>
      <c r="M10" s="42">
        <f t="shared" si="4"/>
        <v>1664273517.8959255</v>
      </c>
    </row>
    <row r="11" spans="1:13" ht="15.75" thickBot="1" x14ac:dyDescent="0.25">
      <c r="F11" s="21">
        <v>7</v>
      </c>
      <c r="G11" s="12">
        <f t="shared" si="5"/>
        <v>440000000</v>
      </c>
      <c r="H11" s="12">
        <f t="shared" si="0"/>
        <v>665906947.74106812</v>
      </c>
      <c r="I11" s="12">
        <v>22607427939.397633</v>
      </c>
      <c r="J11" s="12">
        <f t="shared" si="1"/>
        <v>1130371396.9698818</v>
      </c>
      <c r="K11" s="12">
        <f t="shared" si="2"/>
        <v>2260742793.9397635</v>
      </c>
      <c r="L11" s="12">
        <f t="shared" si="3"/>
        <v>1356445676.363858</v>
      </c>
      <c r="M11" s="42">
        <f t="shared" si="4"/>
        <v>1512684586.4477363</v>
      </c>
    </row>
    <row r="12" spans="1:13" ht="15.75" thickBot="1" x14ac:dyDescent="0.25">
      <c r="A12" t="s">
        <v>55</v>
      </c>
      <c r="B12" s="3">
        <v>0.06</v>
      </c>
      <c r="F12" s="21">
        <v>8</v>
      </c>
      <c r="G12" s="12">
        <f t="shared" si="5"/>
        <v>360000000</v>
      </c>
      <c r="H12" s="12">
        <f t="shared" si="0"/>
        <v>675895551.9571842</v>
      </c>
      <c r="I12" s="12">
        <v>23702470494.549446</v>
      </c>
      <c r="J12" s="12">
        <f t="shared" si="1"/>
        <v>1185123524.7274723</v>
      </c>
      <c r="K12" s="12">
        <f t="shared" si="2"/>
        <v>2370247049.4549446</v>
      </c>
      <c r="L12" s="12">
        <f t="shared" si="3"/>
        <v>1422148229.6729667</v>
      </c>
      <c r="M12" s="42">
        <f t="shared" si="4"/>
        <v>1375164225.1691203</v>
      </c>
    </row>
    <row r="13" spans="1:13" ht="15.75" thickBot="1" x14ac:dyDescent="0.25">
      <c r="F13" s="21">
        <v>9</v>
      </c>
      <c r="G13" s="12">
        <f t="shared" si="5"/>
        <v>280000000</v>
      </c>
      <c r="H13" s="12">
        <f t="shared" si="0"/>
        <v>686033985.23654199</v>
      </c>
      <c r="I13" s="12">
        <v>24805922214.1134</v>
      </c>
      <c r="J13" s="12">
        <f t="shared" si="1"/>
        <v>1240296110.7056701</v>
      </c>
      <c r="K13" s="12">
        <f t="shared" si="2"/>
        <v>2480592221.4113402</v>
      </c>
      <c r="L13" s="12">
        <f t="shared" si="3"/>
        <v>1488355332.8468039</v>
      </c>
      <c r="M13" s="42">
        <f t="shared" si="4"/>
        <v>1250399067.3527377</v>
      </c>
    </row>
    <row r="14" spans="1:13" ht="15.75" thickBot="1" x14ac:dyDescent="0.25">
      <c r="A14" t="s">
        <v>21</v>
      </c>
      <c r="B14" s="3">
        <v>0.02</v>
      </c>
      <c r="C14" s="1">
        <v>1.4999999999999999E-2</v>
      </c>
      <c r="F14" s="21">
        <v>10</v>
      </c>
      <c r="G14" s="12">
        <f t="shared" si="5"/>
        <v>200000000</v>
      </c>
      <c r="H14" s="12">
        <f t="shared" si="0"/>
        <v>696324495.01509011</v>
      </c>
      <c r="I14" s="12">
        <v>25918455831.24247</v>
      </c>
      <c r="J14" s="12">
        <f t="shared" si="1"/>
        <v>1295922791.5621235</v>
      </c>
      <c r="K14" s="12">
        <f t="shared" si="2"/>
        <v>2591845583.1242471</v>
      </c>
      <c r="L14" s="12">
        <f t="shared" si="3"/>
        <v>1555107349.8745482</v>
      </c>
      <c r="M14" s="42">
        <f>($G14*((1+$B$16)^(-$F14)))+($H14*((1+$B$16)^(-$F14)))+($J14*((1+$B$16)^(-$F14)))+($K14*((1+$B$16)^(-$F14)))-($L14*((1+$B$16)^(-$F14)))</f>
        <v>1137198582.2705421</v>
      </c>
    </row>
    <row r="15" spans="1:13" ht="15.75" thickBot="1" x14ac:dyDescent="0.25"/>
    <row r="16" spans="1:13" ht="15.75" thickBot="1" x14ac:dyDescent="0.25">
      <c r="A16" t="s">
        <v>22</v>
      </c>
      <c r="B16" s="3">
        <v>0.11</v>
      </c>
      <c r="H16" s="9" t="s">
        <v>57</v>
      </c>
      <c r="I16" s="30">
        <f>SUM(I4:I14)</f>
        <v>224444913721.77335</v>
      </c>
      <c r="J16" s="30">
        <f>SUM(J4:J14)</f>
        <v>11222245686.088667</v>
      </c>
      <c r="K16" s="30">
        <f t="shared" ref="K16:L16" si="6">SUM(K4:K14)</f>
        <v>22444491372.177334</v>
      </c>
      <c r="L16" s="30">
        <f t="shared" si="6"/>
        <v>13466694823.306398</v>
      </c>
      <c r="M16" s="31"/>
    </row>
    <row r="17" spans="7:13" x14ac:dyDescent="0.2">
      <c r="H17" s="8"/>
      <c r="I17" s="8"/>
      <c r="J17" s="8"/>
      <c r="M17" s="8"/>
    </row>
    <row r="18" spans="7:13" x14ac:dyDescent="0.2">
      <c r="G18" s="35" t="s">
        <v>60</v>
      </c>
      <c r="H18" s="36">
        <f>($G14*((1+$B$16)^(-$F14)))+($H14*((1+$B$16)^(-$F14)))+($J14*((1+$B$16)^(-$F14)))+($K14*((1+$B$16)^(-$F14)))-($L14*((1+$B$16)^(-$F14)))</f>
        <v>1137198582.2705421</v>
      </c>
      <c r="I18" s="47"/>
    </row>
    <row r="19" spans="7:13" x14ac:dyDescent="0.2">
      <c r="G19" s="35" t="s">
        <v>67</v>
      </c>
      <c r="H19" s="37">
        <v>16.90297293104684</v>
      </c>
      <c r="I19" s="31">
        <f>($G14*((1+H19)^(-$F14)))+($H14*((1+H19)^(-$F14)))+($J14*((1+H19)^(-$F14)))+($K14*((1+H19)^(-$F14)))-($L14*((1+H19)^(-$F14)))</f>
        <v>9.5458487142540652E-4</v>
      </c>
    </row>
  </sheetData>
  <mergeCells count="1">
    <mergeCell ref="A1:C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96C59-5BEC-47A5-ABC6-0B7A7A2AA73A}">
  <dimension ref="A1:S70"/>
  <sheetViews>
    <sheetView topLeftCell="B1" workbookViewId="0">
      <selection activeCell="Q42" sqref="Q42"/>
    </sheetView>
  </sheetViews>
  <sheetFormatPr defaultRowHeight="15" x14ac:dyDescent="0.2"/>
  <cols>
    <col min="1" max="1" width="24.75" bestFit="1" customWidth="1"/>
    <col min="2" max="2" width="10.76171875" bestFit="1" customWidth="1"/>
    <col min="3" max="3" width="9.81640625" bestFit="1" customWidth="1"/>
    <col min="4" max="4" width="6.859375" customWidth="1"/>
    <col min="5" max="5" width="9.68359375" bestFit="1" customWidth="1"/>
    <col min="6" max="6" width="13.5859375" bestFit="1" customWidth="1"/>
    <col min="7" max="7" width="29.19140625" bestFit="1" customWidth="1"/>
    <col min="8" max="8" width="16.6796875" bestFit="1" customWidth="1"/>
    <col min="9" max="9" width="18.16015625" bestFit="1" customWidth="1"/>
    <col min="10" max="11" width="17.21875" bestFit="1" customWidth="1"/>
    <col min="12" max="12" width="20.71484375" bestFit="1" customWidth="1"/>
    <col min="13" max="13" width="17.21875" bestFit="1" customWidth="1"/>
    <col min="14" max="14" width="18.0234375" bestFit="1" customWidth="1"/>
    <col min="15" max="16" width="18.29296875" bestFit="1" customWidth="1"/>
    <col min="17" max="17" width="14.66015625" bestFit="1" customWidth="1"/>
    <col min="18" max="18" width="18.0234375" bestFit="1" customWidth="1"/>
    <col min="19" max="19" width="16.140625" bestFit="1" customWidth="1"/>
    <col min="20" max="20" width="18.4296875" bestFit="1" customWidth="1"/>
    <col min="21" max="23" width="16.140625" bestFit="1" customWidth="1"/>
    <col min="24" max="24" width="16.54296875" bestFit="1" customWidth="1"/>
    <col min="25" max="25" width="14.66015625" bestFit="1" customWidth="1"/>
    <col min="26" max="26" width="15.19921875" bestFit="1" customWidth="1"/>
    <col min="27" max="27" width="14.66015625" bestFit="1" customWidth="1"/>
    <col min="28" max="29" width="20.04296875" bestFit="1" customWidth="1"/>
    <col min="30" max="30" width="16.140625" bestFit="1" customWidth="1"/>
    <col min="31" max="31" width="17.21875" bestFit="1" customWidth="1"/>
    <col min="32" max="32" width="18.0234375" bestFit="1" customWidth="1"/>
    <col min="33" max="34" width="17.21875" bestFit="1" customWidth="1"/>
  </cols>
  <sheetData>
    <row r="1" spans="1:19" ht="25.5" customHeight="1" thickBot="1" x14ac:dyDescent="0.25">
      <c r="E1" s="45" t="s">
        <v>66</v>
      </c>
      <c r="F1" s="42">
        <v>20438795.468741424</v>
      </c>
      <c r="H1" s="54" t="s">
        <v>61</v>
      </c>
      <c r="I1" s="54"/>
      <c r="J1" s="54"/>
    </row>
    <row r="2" spans="1:19" ht="15.75" thickBot="1" x14ac:dyDescent="0.25">
      <c r="C2" s="8"/>
      <c r="D2" s="46"/>
      <c r="E2" s="45" t="s">
        <v>65</v>
      </c>
      <c r="F2" s="44">
        <v>0.60836302221954963</v>
      </c>
      <c r="M2" s="3"/>
    </row>
    <row r="3" spans="1:19" ht="15.75" thickBot="1" x14ac:dyDescent="0.25"/>
    <row r="4" spans="1:19" ht="15.75" thickBot="1" x14ac:dyDescent="0.25">
      <c r="A4" t="s">
        <v>10</v>
      </c>
      <c r="B4">
        <v>1000000000</v>
      </c>
      <c r="C4">
        <v>200000000</v>
      </c>
      <c r="D4" s="2">
        <f>(1-(C4/(B4)))/10</f>
        <v>0.08</v>
      </c>
      <c r="F4" s="40" t="s">
        <v>23</v>
      </c>
      <c r="G4" s="40" t="s">
        <v>63</v>
      </c>
      <c r="H4" s="40" t="s">
        <v>29</v>
      </c>
      <c r="I4" s="39" t="s">
        <v>24</v>
      </c>
      <c r="J4" s="40" t="s">
        <v>25</v>
      </c>
      <c r="K4" s="40" t="s">
        <v>26</v>
      </c>
      <c r="L4" s="40" t="s">
        <v>53</v>
      </c>
      <c r="M4" s="40" t="s">
        <v>54</v>
      </c>
      <c r="N4" s="40" t="s">
        <v>55</v>
      </c>
      <c r="O4" s="40" t="s">
        <v>52</v>
      </c>
      <c r="P4" s="40" t="s">
        <v>45</v>
      </c>
      <c r="Q4" s="40" t="s">
        <v>62</v>
      </c>
    </row>
    <row r="5" spans="1:19" ht="15.75" thickBot="1" x14ac:dyDescent="0.25">
      <c r="F5" s="9">
        <v>0</v>
      </c>
      <c r="G5" s="12">
        <f>B4</f>
        <v>1000000000</v>
      </c>
      <c r="H5" s="12">
        <v>600000000</v>
      </c>
      <c r="I5" s="12">
        <v>7500000000</v>
      </c>
      <c r="J5" s="12">
        <v>2700000000</v>
      </c>
      <c r="K5" s="12">
        <v>3600000000</v>
      </c>
      <c r="L5" s="12">
        <f t="shared" ref="L5:L45" si="0">P5*$B$8</f>
        <v>621000000</v>
      </c>
      <c r="M5" s="12">
        <f t="shared" ref="M5:M45" si="1">P5*$B$10</f>
        <v>1242000000</v>
      </c>
      <c r="N5" s="12">
        <f t="shared" ref="N5:N45" si="2">P5*$B$12</f>
        <v>745200000</v>
      </c>
      <c r="O5" s="12">
        <f>(I5+J5+K5)</f>
        <v>13800000000</v>
      </c>
      <c r="P5" s="12">
        <f>O5-O5*10%</f>
        <v>12420000000</v>
      </c>
      <c r="Q5" s="38"/>
    </row>
    <row r="6" spans="1:19" ht="15.75" thickBot="1" x14ac:dyDescent="0.25">
      <c r="A6" t="s">
        <v>14</v>
      </c>
      <c r="B6" s="3">
        <v>0.65</v>
      </c>
      <c r="C6">
        <v>600000000</v>
      </c>
      <c r="F6" s="9">
        <v>1</v>
      </c>
      <c r="G6" s="12">
        <f>$G5-$B$4*$D$4</f>
        <v>920000000</v>
      </c>
      <c r="H6" s="12">
        <f t="shared" ref="H6:H15" si="3">$H$5*(1+$C$20)^F6</f>
        <v>609000000</v>
      </c>
      <c r="I6" s="12">
        <v>8525000000</v>
      </c>
      <c r="J6" s="12">
        <v>3069000000</v>
      </c>
      <c r="K6" s="12">
        <v>4092000000</v>
      </c>
      <c r="L6" s="12">
        <f t="shared" si="0"/>
        <v>705870000</v>
      </c>
      <c r="M6" s="12">
        <f t="shared" si="1"/>
        <v>1411740000</v>
      </c>
      <c r="N6" s="12">
        <f t="shared" si="2"/>
        <v>847044000</v>
      </c>
      <c r="O6" s="12">
        <f t="shared" ref="O6:O69" si="4">(I6+J6+K6)</f>
        <v>15686000000</v>
      </c>
      <c r="P6" s="12">
        <f t="shared" ref="P6:P13" si="5">O6-O6*10%</f>
        <v>14117400000</v>
      </c>
      <c r="Q6" s="38"/>
    </row>
    <row r="7" spans="1:19" ht="15.75" thickBot="1" x14ac:dyDescent="0.25">
      <c r="F7" s="9">
        <v>2</v>
      </c>
      <c r="G7" s="12">
        <f t="shared" ref="G7:G17" si="6">$G6-$B$4*$D$4</f>
        <v>840000000</v>
      </c>
      <c r="H7" s="12">
        <f t="shared" si="3"/>
        <v>618134999.99999988</v>
      </c>
      <c r="I7" s="12">
        <v>9090000000</v>
      </c>
      <c r="J7" s="12">
        <v>3272400000</v>
      </c>
      <c r="K7" s="12">
        <v>4363200000</v>
      </c>
      <c r="L7" s="12">
        <f t="shared" si="0"/>
        <v>752652000</v>
      </c>
      <c r="M7" s="12">
        <f t="shared" si="1"/>
        <v>1505304000</v>
      </c>
      <c r="N7" s="12">
        <f t="shared" si="2"/>
        <v>903182400</v>
      </c>
      <c r="O7" s="12">
        <f t="shared" si="4"/>
        <v>16725600000</v>
      </c>
      <c r="P7" s="12">
        <f t="shared" si="5"/>
        <v>15053040000</v>
      </c>
      <c r="Q7" s="38"/>
    </row>
    <row r="8" spans="1:19" ht="15.75" thickBot="1" x14ac:dyDescent="0.25">
      <c r="A8" t="s">
        <v>53</v>
      </c>
      <c r="B8" s="3">
        <v>0.05</v>
      </c>
      <c r="F8" s="9">
        <v>3</v>
      </c>
      <c r="G8" s="12">
        <f t="shared" si="6"/>
        <v>760000000</v>
      </c>
      <c r="H8" s="12">
        <f t="shared" si="3"/>
        <v>627407024.99999976</v>
      </c>
      <c r="I8" s="12">
        <v>9658200000</v>
      </c>
      <c r="J8" s="12">
        <v>3476952000</v>
      </c>
      <c r="K8" s="12">
        <v>4635936000</v>
      </c>
      <c r="L8" s="12">
        <f t="shared" si="0"/>
        <v>799698960</v>
      </c>
      <c r="M8" s="12">
        <f t="shared" si="1"/>
        <v>1599397920</v>
      </c>
      <c r="N8" s="12">
        <f t="shared" si="2"/>
        <v>959638752</v>
      </c>
      <c r="O8" s="12">
        <f t="shared" si="4"/>
        <v>17771088000</v>
      </c>
      <c r="P8" s="12">
        <f t="shared" si="5"/>
        <v>15993979200</v>
      </c>
      <c r="Q8" s="38"/>
    </row>
    <row r="9" spans="1:19" ht="15.75" thickBot="1" x14ac:dyDescent="0.25">
      <c r="F9" s="9">
        <v>4</v>
      </c>
      <c r="G9" s="12">
        <f t="shared" si="6"/>
        <v>680000000</v>
      </c>
      <c r="H9" s="12">
        <f t="shared" si="3"/>
        <v>636818130.37499964</v>
      </c>
      <c r="I9" s="12">
        <v>10229856000</v>
      </c>
      <c r="J9" s="12">
        <v>3682748160</v>
      </c>
      <c r="K9" s="12">
        <v>4910330880</v>
      </c>
      <c r="L9" s="12">
        <f t="shared" si="0"/>
        <v>847032076.80000007</v>
      </c>
      <c r="M9" s="12">
        <f t="shared" si="1"/>
        <v>1694064153.6000001</v>
      </c>
      <c r="N9" s="12">
        <f t="shared" si="2"/>
        <v>1016438492.16</v>
      </c>
      <c r="O9" s="12">
        <f t="shared" si="4"/>
        <v>18822935040</v>
      </c>
      <c r="P9" s="12">
        <f t="shared" si="5"/>
        <v>16940641536</v>
      </c>
      <c r="Q9" s="38"/>
    </row>
    <row r="10" spans="1:19" ht="15.75" thickBot="1" x14ac:dyDescent="0.25">
      <c r="A10" t="s">
        <v>54</v>
      </c>
      <c r="B10" s="3">
        <v>0.1</v>
      </c>
      <c r="F10" s="9">
        <v>5</v>
      </c>
      <c r="G10" s="12">
        <f t="shared" si="6"/>
        <v>600000000</v>
      </c>
      <c r="H10" s="12">
        <f t="shared" si="3"/>
        <v>646370402.33062458</v>
      </c>
      <c r="I10" s="12">
        <v>10805244480</v>
      </c>
      <c r="J10" s="12">
        <v>3889888012.7999997</v>
      </c>
      <c r="K10" s="12">
        <v>5186517350.3999996</v>
      </c>
      <c r="L10" s="12">
        <f t="shared" si="0"/>
        <v>894674242.94399989</v>
      </c>
      <c r="M10" s="12">
        <f t="shared" si="1"/>
        <v>1789348485.8879998</v>
      </c>
      <c r="N10" s="12">
        <f t="shared" si="2"/>
        <v>1073609091.5327998</v>
      </c>
      <c r="O10" s="12">
        <f t="shared" si="4"/>
        <v>19881649843.199997</v>
      </c>
      <c r="P10" s="12">
        <f t="shared" si="5"/>
        <v>17893484858.879997</v>
      </c>
      <c r="Q10" s="38"/>
    </row>
    <row r="11" spans="1:19" ht="15.75" thickBot="1" x14ac:dyDescent="0.25">
      <c r="F11" s="9">
        <v>6</v>
      </c>
      <c r="G11" s="12">
        <f t="shared" si="6"/>
        <v>520000000</v>
      </c>
      <c r="H11" s="12">
        <f t="shared" si="3"/>
        <v>656065958.36558378</v>
      </c>
      <c r="I11" s="12">
        <v>11384664038.4</v>
      </c>
      <c r="J11" s="12">
        <v>4098479053.8240004</v>
      </c>
      <c r="K11" s="12">
        <v>5464638738.4320002</v>
      </c>
      <c r="L11" s="12">
        <f t="shared" si="0"/>
        <v>942650182.37951994</v>
      </c>
      <c r="M11" s="12">
        <f t="shared" si="1"/>
        <v>1885300364.7590399</v>
      </c>
      <c r="N11" s="12">
        <f t="shared" si="2"/>
        <v>1131180218.8554237</v>
      </c>
      <c r="O11" s="12">
        <f t="shared" si="4"/>
        <v>20947781830.655998</v>
      </c>
      <c r="P11" s="12">
        <f t="shared" si="5"/>
        <v>18853003647.590397</v>
      </c>
      <c r="Q11" s="38"/>
    </row>
    <row r="12" spans="1:19" ht="15.75" thickBot="1" x14ac:dyDescent="0.25">
      <c r="A12" t="s">
        <v>55</v>
      </c>
      <c r="B12" s="3">
        <v>0.06</v>
      </c>
      <c r="F12" s="9">
        <v>7</v>
      </c>
      <c r="G12" s="12">
        <f t="shared" si="6"/>
        <v>440000000</v>
      </c>
      <c r="H12" s="12">
        <f t="shared" si="3"/>
        <v>665906947.74106741</v>
      </c>
      <c r="I12" s="12">
        <v>11968437161.472002</v>
      </c>
      <c r="J12" s="12">
        <v>4308637378.129921</v>
      </c>
      <c r="K12" s="12">
        <v>5744849837.5065613</v>
      </c>
      <c r="L12" s="12">
        <f t="shared" si="0"/>
        <v>990986596.96988165</v>
      </c>
      <c r="M12" s="12">
        <f t="shared" si="1"/>
        <v>1981973193.9397633</v>
      </c>
      <c r="N12" s="12">
        <f t="shared" si="2"/>
        <v>1189183916.363858</v>
      </c>
      <c r="O12" s="12">
        <f t="shared" si="4"/>
        <v>22021924377.108482</v>
      </c>
      <c r="P12" s="12">
        <f t="shared" si="5"/>
        <v>19819731939.397633</v>
      </c>
      <c r="Q12" s="38"/>
    </row>
    <row r="13" spans="1:19" ht="15.75" thickBot="1" x14ac:dyDescent="0.25">
      <c r="F13" s="9">
        <v>8</v>
      </c>
      <c r="G13" s="12">
        <f t="shared" si="6"/>
        <v>360000000</v>
      </c>
      <c r="H13" s="12">
        <f t="shared" si="3"/>
        <v>675895551.95718348</v>
      </c>
      <c r="I13" s="12">
        <v>12556912134.389761</v>
      </c>
      <c r="J13" s="12">
        <v>4520488368.3803139</v>
      </c>
      <c r="K13" s="12">
        <v>6027317824.5070858</v>
      </c>
      <c r="L13" s="12">
        <f t="shared" si="0"/>
        <v>1039712324.7274723</v>
      </c>
      <c r="M13" s="12">
        <f t="shared" si="1"/>
        <v>2079424649.4549446</v>
      </c>
      <c r="N13" s="12">
        <f t="shared" si="2"/>
        <v>1247654789.6729667</v>
      </c>
      <c r="O13" s="12">
        <f t="shared" si="4"/>
        <v>23104718327.277161</v>
      </c>
      <c r="P13" s="12">
        <f t="shared" si="5"/>
        <v>20794246494.549446</v>
      </c>
      <c r="Q13" s="38"/>
    </row>
    <row r="14" spans="1:19" ht="15.75" thickBot="1" x14ac:dyDescent="0.25">
      <c r="A14" t="s">
        <v>21</v>
      </c>
      <c r="B14" s="3">
        <v>0.02</v>
      </c>
      <c r="C14" s="1">
        <v>1.4999999999999999E-2</v>
      </c>
      <c r="F14" s="9">
        <v>9</v>
      </c>
      <c r="G14" s="12">
        <f t="shared" si="6"/>
        <v>280000000</v>
      </c>
      <c r="H14" s="12">
        <f t="shared" si="3"/>
        <v>686033985.23654103</v>
      </c>
      <c r="I14" s="12">
        <v>13150465105.140942</v>
      </c>
      <c r="J14" s="12">
        <v>4734167437.8507385</v>
      </c>
      <c r="K14" s="12">
        <v>6312223250.4676514</v>
      </c>
      <c r="L14" s="12">
        <f t="shared" si="0"/>
        <v>1088858510.7056701</v>
      </c>
      <c r="M14" s="12">
        <f t="shared" si="1"/>
        <v>2177717021.4113402</v>
      </c>
      <c r="N14" s="12">
        <f t="shared" si="2"/>
        <v>1306630212.8468039</v>
      </c>
      <c r="O14" s="12">
        <f t="shared" si="4"/>
        <v>24196855793.459332</v>
      </c>
      <c r="P14" s="12">
        <f t="shared" ref="P14:P45" si="7">O14-O14*10%</f>
        <v>21777170214.1134</v>
      </c>
      <c r="Q14" s="38"/>
    </row>
    <row r="15" spans="1:19" ht="15.75" thickBot="1" x14ac:dyDescent="0.25">
      <c r="F15" s="9">
        <v>10</v>
      </c>
      <c r="G15" s="12">
        <f t="shared" si="6"/>
        <v>200000000</v>
      </c>
      <c r="H15" s="12">
        <f t="shared" si="3"/>
        <v>696324495.01508915</v>
      </c>
      <c r="I15" s="12">
        <v>13749502313.552216</v>
      </c>
      <c r="J15" s="12">
        <v>4949820832.8787975</v>
      </c>
      <c r="K15" s="12">
        <v>6599761110.505064</v>
      </c>
      <c r="L15" s="12">
        <f t="shared" si="0"/>
        <v>1138458791.5621238</v>
      </c>
      <c r="M15" s="12">
        <f t="shared" si="1"/>
        <v>2276917583.1242476</v>
      </c>
      <c r="N15" s="12">
        <f t="shared" si="2"/>
        <v>1366150549.8745484</v>
      </c>
      <c r="O15" s="12">
        <f t="shared" si="4"/>
        <v>25299084256.936081</v>
      </c>
      <c r="P15" s="12">
        <f t="shared" si="7"/>
        <v>22769175831.242474</v>
      </c>
      <c r="Q15" s="38"/>
    </row>
    <row r="16" spans="1:19" ht="15.75" thickBot="1" x14ac:dyDescent="0.25">
      <c r="A16" t="s">
        <v>22</v>
      </c>
      <c r="B16" s="3">
        <v>0.11</v>
      </c>
      <c r="F16" s="9">
        <v>11</v>
      </c>
      <c r="G16" s="12">
        <f>$G15-$B$4*$D$4</f>
        <v>120000000</v>
      </c>
      <c r="H16" s="12">
        <f>$H$5*(1+$C$20)^F16</f>
        <v>706769362.44031537</v>
      </c>
      <c r="I16" s="12">
        <v>14354462498.636395</v>
      </c>
      <c r="J16" s="12">
        <v>5167606499.5091019</v>
      </c>
      <c r="K16" s="12">
        <v>6890141999.3454695</v>
      </c>
      <c r="L16" s="12">
        <f t="shared" si="0"/>
        <v>1188549494.8870935</v>
      </c>
      <c r="M16" s="12">
        <f t="shared" si="1"/>
        <v>2377098989.7741871</v>
      </c>
      <c r="N16" s="12">
        <f t="shared" si="2"/>
        <v>1426259393.8645122</v>
      </c>
      <c r="O16" s="12">
        <f t="shared" si="4"/>
        <v>26412210997.490967</v>
      </c>
      <c r="P16" s="12">
        <f t="shared" si="7"/>
        <v>23770989897.741871</v>
      </c>
      <c r="Q16" s="43">
        <f>($G16*(1+$B$22)^(-$F16))+($H16*(1+$B$22)^(-$F16))+($L16*(1+$B$22)^(-$F16))+($M16*(1+$B$22)^(-$F16))-($N16*(1+$B$22)^(-$F16))</f>
        <v>941112584.51872194</v>
      </c>
      <c r="R16" s="28"/>
      <c r="S16" s="3"/>
    </row>
    <row r="17" spans="1:19" ht="15.75" thickBot="1" x14ac:dyDescent="0.25">
      <c r="F17" s="9">
        <v>12</v>
      </c>
      <c r="G17" s="12">
        <f t="shared" si="6"/>
        <v>40000000</v>
      </c>
      <c r="H17" s="12">
        <f t="shared" ref="H17:H70" si="8">$H$5*(1+$C$20)^F17</f>
        <v>717370902.87691998</v>
      </c>
      <c r="I17" s="12">
        <v>14965819498.527306</v>
      </c>
      <c r="J17" s="12">
        <v>5387695019.4698305</v>
      </c>
      <c r="K17" s="12">
        <v>7183593359.293107</v>
      </c>
      <c r="L17" s="12">
        <f t="shared" si="0"/>
        <v>1239169854.478061</v>
      </c>
      <c r="M17" s="12">
        <f t="shared" si="1"/>
        <v>2478339708.9561219</v>
      </c>
      <c r="N17" s="12">
        <f t="shared" si="2"/>
        <v>1487003825.373673</v>
      </c>
      <c r="O17" s="12">
        <f t="shared" si="4"/>
        <v>27537107877.290241</v>
      </c>
      <c r="P17" s="12">
        <f t="shared" si="7"/>
        <v>24783397089.561218</v>
      </c>
      <c r="Q17" s="43">
        <f t="shared" ref="Q17:Q69" si="9">($G17*(1+$B$22)^(-$F17))+($H17*(1+$B$22)^(-$F17))+($L17*(1+$B$22)^(-$F17))+($M17*(1+$B$22)^(-$F17))-($N17*(1+$B$22)^(-$F17))</f>
        <v>854057119.90175593</v>
      </c>
      <c r="R17" s="28"/>
      <c r="S17" s="3"/>
    </row>
    <row r="18" spans="1:19" ht="15.75" thickBot="1" x14ac:dyDescent="0.25">
      <c r="A18" t="s">
        <v>20</v>
      </c>
      <c r="B18" s="3">
        <v>0.1</v>
      </c>
      <c r="F18" s="9">
        <v>13</v>
      </c>
      <c r="G18" s="12">
        <v>0</v>
      </c>
      <c r="H18" s="12">
        <f t="shared" si="8"/>
        <v>728131466.42007375</v>
      </c>
      <c r="I18" s="12">
        <v>15584085058.409491</v>
      </c>
      <c r="J18" s="12">
        <v>5610270621.0274172</v>
      </c>
      <c r="K18" s="12">
        <v>7480360828.0365562</v>
      </c>
      <c r="L18" s="12">
        <f t="shared" si="0"/>
        <v>1290362242.8363061</v>
      </c>
      <c r="M18" s="12">
        <f t="shared" si="1"/>
        <v>2580724485.6726122</v>
      </c>
      <c r="N18" s="12">
        <f t="shared" si="2"/>
        <v>1548434691.4035671</v>
      </c>
      <c r="O18" s="12">
        <f t="shared" si="4"/>
        <v>28674716507.473465</v>
      </c>
      <c r="P18" s="12">
        <f t="shared" si="7"/>
        <v>25807244856.72612</v>
      </c>
      <c r="Q18" s="43">
        <f t="shared" si="9"/>
        <v>785620242.6260035</v>
      </c>
      <c r="R18" s="28"/>
      <c r="S18" s="3"/>
    </row>
    <row r="19" spans="1:19" ht="15.75" thickBot="1" x14ac:dyDescent="0.25">
      <c r="F19" s="9">
        <v>14</v>
      </c>
      <c r="G19" s="12">
        <v>0</v>
      </c>
      <c r="H19" s="12">
        <f t="shared" si="8"/>
        <v>739053438.41637468</v>
      </c>
      <c r="I19" s="12">
        <v>16209811863.082251</v>
      </c>
      <c r="J19" s="12">
        <v>5835532270.70961</v>
      </c>
      <c r="K19" s="12">
        <v>7780709694.27948</v>
      </c>
      <c r="L19" s="12">
        <f t="shared" si="0"/>
        <v>1342172422.2632103</v>
      </c>
      <c r="M19" s="12">
        <f t="shared" si="1"/>
        <v>2684344844.5264206</v>
      </c>
      <c r="N19" s="12">
        <f t="shared" si="2"/>
        <v>1610606906.7158523</v>
      </c>
      <c r="O19" s="12">
        <f t="shared" si="4"/>
        <v>29826053828.071342</v>
      </c>
      <c r="P19" s="12">
        <f t="shared" si="7"/>
        <v>26843448445.264206</v>
      </c>
      <c r="Q19" s="43">
        <f t="shared" si="9"/>
        <v>731935273.62381482</v>
      </c>
      <c r="R19" s="28"/>
      <c r="S19" s="3"/>
    </row>
    <row r="20" spans="1:19" ht="15.75" thickBot="1" x14ac:dyDescent="0.25">
      <c r="A20" t="s">
        <v>21</v>
      </c>
      <c r="B20" s="3">
        <v>0.02</v>
      </c>
      <c r="C20" s="1">
        <v>1.4999999999999999E-2</v>
      </c>
      <c r="F20" s="9">
        <v>15</v>
      </c>
      <c r="G20" s="12">
        <v>0</v>
      </c>
      <c r="H20" s="12">
        <f t="shared" si="8"/>
        <v>750139239.99262011</v>
      </c>
      <c r="I20" s="12">
        <v>16843596812.12883</v>
      </c>
      <c r="J20" s="12">
        <v>6063694852.3663788</v>
      </c>
      <c r="K20" s="12">
        <v>8084926469.8218384</v>
      </c>
      <c r="L20" s="12">
        <f t="shared" si="0"/>
        <v>1394649816.0442672</v>
      </c>
      <c r="M20" s="12">
        <f t="shared" si="1"/>
        <v>2789299632.0885344</v>
      </c>
      <c r="N20" s="12">
        <f t="shared" si="2"/>
        <v>1673579779.2531204</v>
      </c>
      <c r="O20" s="12">
        <f t="shared" si="4"/>
        <v>30992218134.317047</v>
      </c>
      <c r="P20" s="12">
        <f t="shared" si="7"/>
        <v>27892996320.885342</v>
      </c>
      <c r="Q20" s="43">
        <f t="shared" si="9"/>
        <v>681460534.24639893</v>
      </c>
      <c r="R20" s="28"/>
      <c r="S20" s="3"/>
    </row>
    <row r="21" spans="1:19" ht="15.75" thickBot="1" x14ac:dyDescent="0.25">
      <c r="F21" s="9">
        <v>16</v>
      </c>
      <c r="G21" s="12">
        <v>0</v>
      </c>
      <c r="H21" s="12">
        <f t="shared" si="8"/>
        <v>761391328.59250939</v>
      </c>
      <c r="I21" s="12">
        <v>17486084557.099136</v>
      </c>
      <c r="J21" s="12">
        <v>6294990440.5556889</v>
      </c>
      <c r="K21" s="12">
        <v>8393320587.4075851</v>
      </c>
      <c r="L21" s="12">
        <f t="shared" si="0"/>
        <v>1447847801.3278084</v>
      </c>
      <c r="M21" s="12">
        <f t="shared" si="1"/>
        <v>2895695602.6556168</v>
      </c>
      <c r="N21" s="12">
        <f t="shared" si="2"/>
        <v>1737417361.59337</v>
      </c>
      <c r="O21" s="12">
        <f t="shared" si="4"/>
        <v>32174395585.062408</v>
      </c>
      <c r="P21" s="12">
        <f t="shared" si="7"/>
        <v>28956956026.556168</v>
      </c>
      <c r="Q21" s="43">
        <f t="shared" si="9"/>
        <v>634077268.42865729</v>
      </c>
      <c r="R21" s="28"/>
      <c r="S21" s="3"/>
    </row>
    <row r="22" spans="1:19" ht="15.75" thickBot="1" x14ac:dyDescent="0.25">
      <c r="A22" t="s">
        <v>22</v>
      </c>
      <c r="B22" s="3">
        <v>0.11</v>
      </c>
      <c r="F22" s="9">
        <v>17</v>
      </c>
      <c r="G22" s="12">
        <v>0</v>
      </c>
      <c r="H22" s="12">
        <f t="shared" si="8"/>
        <v>772812198.52139688</v>
      </c>
      <c r="I22" s="12">
        <v>18137971321.667065</v>
      </c>
      <c r="J22" s="12">
        <v>6529669675.8001442</v>
      </c>
      <c r="K22" s="12">
        <v>8706226234.4001923</v>
      </c>
      <c r="L22" s="12">
        <f t="shared" si="0"/>
        <v>1501824025.4340332</v>
      </c>
      <c r="M22" s="12">
        <f t="shared" si="1"/>
        <v>3003648050.8680663</v>
      </c>
      <c r="N22" s="12">
        <f t="shared" si="2"/>
        <v>1802188830.5208395</v>
      </c>
      <c r="O22" s="12">
        <f t="shared" si="4"/>
        <v>33373867231.867401</v>
      </c>
      <c r="P22" s="12">
        <f t="shared" si="7"/>
        <v>30036480508.68066</v>
      </c>
      <c r="Q22" s="43">
        <f t="shared" si="9"/>
        <v>589659165.02769732</v>
      </c>
      <c r="R22" s="28"/>
      <c r="S22" s="3"/>
    </row>
    <row r="23" spans="1:19" ht="15.75" thickBot="1" x14ac:dyDescent="0.25">
      <c r="F23" s="9">
        <v>18</v>
      </c>
      <c r="G23" s="12">
        <v>0</v>
      </c>
      <c r="H23" s="12">
        <f t="shared" si="8"/>
        <v>784404381.49921775</v>
      </c>
      <c r="I23" s="12">
        <v>18800009027.400433</v>
      </c>
      <c r="J23" s="12">
        <v>6768003249.8641548</v>
      </c>
      <c r="K23" s="12">
        <v>9024004333.1522064</v>
      </c>
      <c r="L23" s="12">
        <f t="shared" si="0"/>
        <v>1556640747.4687557</v>
      </c>
      <c r="M23" s="12">
        <f t="shared" si="1"/>
        <v>3113281494.9375114</v>
      </c>
      <c r="N23" s="12">
        <f t="shared" si="2"/>
        <v>1867968896.9625068</v>
      </c>
      <c r="O23" s="12">
        <f t="shared" si="4"/>
        <v>34592016610.416794</v>
      </c>
      <c r="P23" s="12">
        <f t="shared" si="7"/>
        <v>31132814949.375114</v>
      </c>
      <c r="Q23" s="43">
        <f t="shared" si="9"/>
        <v>548074995.06375539</v>
      </c>
      <c r="R23" s="28"/>
      <c r="S23" s="3"/>
    </row>
    <row r="24" spans="1:19" ht="15.75" thickBot="1" x14ac:dyDescent="0.25">
      <c r="F24" s="9">
        <v>19</v>
      </c>
      <c r="G24" s="12">
        <v>0</v>
      </c>
      <c r="H24" s="12">
        <f t="shared" si="8"/>
        <v>796170447.22170603</v>
      </c>
      <c r="I24" s="12">
        <v>19473009749.592472</v>
      </c>
      <c r="J24" s="12">
        <v>7010283509.8532896</v>
      </c>
      <c r="K24" s="12">
        <v>9347044679.8043861</v>
      </c>
      <c r="L24" s="12">
        <f t="shared" si="0"/>
        <v>1612365207.266257</v>
      </c>
      <c r="M24" s="12">
        <f t="shared" si="1"/>
        <v>3224730414.5325141</v>
      </c>
      <c r="N24" s="12">
        <f t="shared" si="2"/>
        <v>1934838248.7195082</v>
      </c>
      <c r="O24" s="12">
        <f t="shared" si="4"/>
        <v>35830337939.250153</v>
      </c>
      <c r="P24" s="12">
        <f t="shared" si="7"/>
        <v>32247304145.325138</v>
      </c>
      <c r="Q24" s="43">
        <f t="shared" si="9"/>
        <v>509190802.43146706</v>
      </c>
      <c r="R24" s="28"/>
      <c r="S24" s="3"/>
    </row>
    <row r="25" spans="1:19" ht="15.75" thickBot="1" x14ac:dyDescent="0.25">
      <c r="F25" s="9">
        <v>20</v>
      </c>
      <c r="G25" s="12">
        <v>0</v>
      </c>
      <c r="H25" s="12">
        <f t="shared" si="8"/>
        <v>808113003.9300313</v>
      </c>
      <c r="I25" s="12">
        <v>20157850529.559864</v>
      </c>
      <c r="J25" s="12">
        <v>7256826190.641552</v>
      </c>
      <c r="K25" s="12">
        <v>9675768254.188736</v>
      </c>
      <c r="L25" s="12">
        <f t="shared" si="0"/>
        <v>1669070023.8475571</v>
      </c>
      <c r="M25" s="12">
        <f t="shared" si="1"/>
        <v>3338140047.6951141</v>
      </c>
      <c r="N25" s="12">
        <f t="shared" si="2"/>
        <v>2002884028.6170683</v>
      </c>
      <c r="O25" s="12">
        <f t="shared" si="4"/>
        <v>37090444974.390152</v>
      </c>
      <c r="P25" s="12">
        <f t="shared" si="7"/>
        <v>33381400476.951138</v>
      </c>
      <c r="Q25" s="43">
        <f t="shared" si="9"/>
        <v>472871710.52261877</v>
      </c>
      <c r="R25" s="28"/>
      <c r="S25" s="3"/>
    </row>
    <row r="26" spans="1:19" ht="15.75" thickBot="1" x14ac:dyDescent="0.25">
      <c r="F26" s="9">
        <v>21</v>
      </c>
      <c r="G26" s="12">
        <v>0</v>
      </c>
      <c r="H26" s="12">
        <f t="shared" si="8"/>
        <v>820234698.98898172</v>
      </c>
      <c r="I26" s="12">
        <v>20855478571.924652</v>
      </c>
      <c r="J26" s="12">
        <v>7507972285.8928757</v>
      </c>
      <c r="K26" s="12">
        <v>10010629714.523834</v>
      </c>
      <c r="L26" s="12">
        <f t="shared" si="0"/>
        <v>1726833625.7553613</v>
      </c>
      <c r="M26" s="12">
        <f t="shared" si="1"/>
        <v>3453667251.5107226</v>
      </c>
      <c r="N26" s="12">
        <f t="shared" si="2"/>
        <v>2072200350.9064333</v>
      </c>
      <c r="O26" s="12">
        <f t="shared" si="4"/>
        <v>38374080572.341362</v>
      </c>
      <c r="P26" s="12">
        <f t="shared" si="7"/>
        <v>34536672515.107224</v>
      </c>
      <c r="Q26" s="43">
        <f t="shared" si="9"/>
        <v>438983399.22457826</v>
      </c>
      <c r="R26" s="28"/>
      <c r="S26" s="3"/>
    </row>
    <row r="27" spans="1:19" ht="15.75" thickBot="1" x14ac:dyDescent="0.25">
      <c r="F27" s="9">
        <v>22</v>
      </c>
      <c r="G27" s="12">
        <v>0</v>
      </c>
      <c r="H27" s="12">
        <f t="shared" si="8"/>
        <v>832538219.47381628</v>
      </c>
      <c r="I27" s="12">
        <v>21566916857.678623</v>
      </c>
      <c r="J27" s="12">
        <v>7764090068.7643051</v>
      </c>
      <c r="K27" s="12">
        <v>10352120091.68574</v>
      </c>
      <c r="L27" s="12">
        <f t="shared" si="0"/>
        <v>1785740715.8157902</v>
      </c>
      <c r="M27" s="12">
        <f t="shared" si="1"/>
        <v>3571481431.6315804</v>
      </c>
      <c r="N27" s="12">
        <f t="shared" si="2"/>
        <v>2142888858.9789481</v>
      </c>
      <c r="O27" s="12">
        <f t="shared" si="4"/>
        <v>39683127018.12867</v>
      </c>
      <c r="P27" s="12">
        <f t="shared" si="7"/>
        <v>35714814316.315804</v>
      </c>
      <c r="Q27" s="43">
        <f t="shared" si="9"/>
        <v>407393299.74825972</v>
      </c>
      <c r="R27" s="28"/>
      <c r="S27" s="3"/>
    </row>
    <row r="28" spans="1:19" ht="15.75" thickBot="1" x14ac:dyDescent="0.25">
      <c r="F28" s="9">
        <v>23</v>
      </c>
      <c r="G28" s="12">
        <v>0</v>
      </c>
      <c r="H28" s="12">
        <f t="shared" si="8"/>
        <v>845026292.7659235</v>
      </c>
      <c r="I28" s="12">
        <v>22293270206.292919</v>
      </c>
      <c r="J28" s="12">
        <v>8025577274.2654505</v>
      </c>
      <c r="K28" s="12">
        <v>10700769699.020601</v>
      </c>
      <c r="L28" s="12">
        <f t="shared" si="0"/>
        <v>1845882773.081054</v>
      </c>
      <c r="M28" s="12">
        <f t="shared" si="1"/>
        <v>3691765546.1621079</v>
      </c>
      <c r="N28" s="12">
        <f t="shared" si="2"/>
        <v>2215059327.6972647</v>
      </c>
      <c r="O28" s="12">
        <f t="shared" si="4"/>
        <v>41019617179.578972</v>
      </c>
      <c r="P28" s="12">
        <f t="shared" si="7"/>
        <v>36917655461.621078</v>
      </c>
      <c r="Q28" s="43">
        <f t="shared" si="9"/>
        <v>377971548.58270127</v>
      </c>
      <c r="R28" s="28"/>
      <c r="S28" s="3"/>
    </row>
    <row r="29" spans="1:19" ht="15.75" thickBot="1" x14ac:dyDescent="0.25">
      <c r="F29" s="9">
        <v>24</v>
      </c>
      <c r="G29" s="12">
        <v>0</v>
      </c>
      <c r="H29" s="12">
        <f t="shared" si="8"/>
        <v>857701687.15741217</v>
      </c>
      <c r="I29" s="12">
        <v>23035731822.796352</v>
      </c>
      <c r="J29" s="12">
        <v>8292863456.206687</v>
      </c>
      <c r="K29" s="12">
        <v>11057151274.942249</v>
      </c>
      <c r="L29" s="12">
        <f t="shared" si="0"/>
        <v>1907358594.9275379</v>
      </c>
      <c r="M29" s="12">
        <f t="shared" si="1"/>
        <v>3814717189.8550758</v>
      </c>
      <c r="N29" s="12">
        <f t="shared" si="2"/>
        <v>2288830313.9130454</v>
      </c>
      <c r="O29" s="12">
        <f t="shared" si="4"/>
        <v>42385746553.94529</v>
      </c>
      <c r="P29" s="12">
        <f t="shared" si="7"/>
        <v>38147171898.550758</v>
      </c>
      <c r="Q29" s="43">
        <f t="shared" si="9"/>
        <v>350591736.46977663</v>
      </c>
      <c r="R29" s="28"/>
      <c r="S29" s="3"/>
    </row>
    <row r="30" spans="1:19" ht="15.75" thickBot="1" x14ac:dyDescent="0.25">
      <c r="F30" s="9">
        <v>25</v>
      </c>
      <c r="G30" s="12">
        <v>0</v>
      </c>
      <c r="H30" s="12">
        <f t="shared" si="8"/>
        <v>870567212.4647733</v>
      </c>
      <c r="I30" s="12">
        <v>23795590368.62006</v>
      </c>
      <c r="J30" s="12">
        <v>8566412532.7032213</v>
      </c>
      <c r="K30" s="12">
        <v>11421883376.937628</v>
      </c>
      <c r="L30" s="12">
        <f t="shared" si="0"/>
        <v>1970274882.5217412</v>
      </c>
      <c r="M30" s="12">
        <f t="shared" si="1"/>
        <v>3940549765.0434823</v>
      </c>
      <c r="N30" s="12">
        <f t="shared" si="2"/>
        <v>2364329859.0260892</v>
      </c>
      <c r="O30" s="12">
        <f t="shared" si="4"/>
        <v>43783886278.26091</v>
      </c>
      <c r="P30" s="12">
        <f t="shared" si="7"/>
        <v>39405497650.434822</v>
      </c>
      <c r="Q30" s="43">
        <f t="shared" si="9"/>
        <v>325131483.55357361</v>
      </c>
      <c r="R30" s="28"/>
      <c r="S30" s="3"/>
    </row>
    <row r="31" spans="1:19" ht="15.75" thickBot="1" x14ac:dyDescent="0.25">
      <c r="F31" s="9">
        <v>26</v>
      </c>
      <c r="G31" s="12">
        <v>0</v>
      </c>
      <c r="H31" s="12">
        <f t="shared" si="8"/>
        <v>883625720.65174484</v>
      </c>
      <c r="I31" s="12">
        <v>24574237598.109661</v>
      </c>
      <c r="J31" s="12">
        <v>8846725535.319479</v>
      </c>
      <c r="K31" s="12">
        <v>11795634047.092638</v>
      </c>
      <c r="L31" s="12">
        <f t="shared" si="0"/>
        <v>2034746873.1234798</v>
      </c>
      <c r="M31" s="12">
        <f t="shared" si="1"/>
        <v>4069493746.2469597</v>
      </c>
      <c r="N31" s="12">
        <f t="shared" si="2"/>
        <v>2441696247.7481756</v>
      </c>
      <c r="O31" s="12">
        <f t="shared" si="4"/>
        <v>45216597180.521774</v>
      </c>
      <c r="P31" s="12">
        <f t="shared" si="7"/>
        <v>40694937462.469597</v>
      </c>
      <c r="Q31" s="43">
        <f t="shared" si="9"/>
        <v>301472867.70590228</v>
      </c>
      <c r="R31" s="28"/>
      <c r="S31" s="3"/>
    </row>
    <row r="32" spans="1:19" ht="15.75" thickBot="1" x14ac:dyDescent="0.25">
      <c r="F32" s="9">
        <v>27</v>
      </c>
      <c r="G32" s="12">
        <v>0</v>
      </c>
      <c r="H32" s="12">
        <f t="shared" si="8"/>
        <v>896880106.46152091</v>
      </c>
      <c r="I32" s="12">
        <v>25373176605.958439</v>
      </c>
      <c r="J32" s="12">
        <v>9134343578.1450386</v>
      </c>
      <c r="K32" s="12">
        <v>12179124770.86005</v>
      </c>
      <c r="L32" s="12">
        <f t="shared" si="0"/>
        <v>2100899022.9733591</v>
      </c>
      <c r="M32" s="12">
        <f t="shared" si="1"/>
        <v>4201798045.9467182</v>
      </c>
      <c r="N32" s="12">
        <f t="shared" si="2"/>
        <v>2521078827.5680308</v>
      </c>
      <c r="O32" s="12">
        <f t="shared" si="4"/>
        <v>46686644954.963531</v>
      </c>
      <c r="P32" s="12">
        <f t="shared" si="7"/>
        <v>42017980459.467178</v>
      </c>
      <c r="Q32" s="43">
        <f t="shared" si="9"/>
        <v>279502729.39279675</v>
      </c>
      <c r="R32" s="28"/>
      <c r="S32" s="3"/>
    </row>
    <row r="33" spans="6:19" ht="15.75" thickBot="1" x14ac:dyDescent="0.25">
      <c r="F33" s="9">
        <v>28</v>
      </c>
      <c r="G33" s="12">
        <v>0</v>
      </c>
      <c r="H33" s="12">
        <f t="shared" si="8"/>
        <v>910333308.05844343</v>
      </c>
      <c r="I33" s="12">
        <v>26194030734.435116</v>
      </c>
      <c r="J33" s="12">
        <v>9429851064.3966408</v>
      </c>
      <c r="K33" s="12">
        <v>12573134752.528854</v>
      </c>
      <c r="L33" s="12">
        <f t="shared" si="0"/>
        <v>2168865744.8112273</v>
      </c>
      <c r="M33" s="12">
        <f t="shared" si="1"/>
        <v>4337731489.6224546</v>
      </c>
      <c r="N33" s="12">
        <f t="shared" si="2"/>
        <v>2602638893.7734728</v>
      </c>
      <c r="O33" s="12">
        <f t="shared" si="4"/>
        <v>48197016551.360611</v>
      </c>
      <c r="P33" s="12">
        <f t="shared" si="7"/>
        <v>43377314896.224548</v>
      </c>
      <c r="Q33" s="43">
        <f t="shared" si="9"/>
        <v>259112873.26516446</v>
      </c>
      <c r="R33" s="28"/>
      <c r="S33" s="3"/>
    </row>
    <row r="34" spans="6:19" ht="15.75" thickBot="1" x14ac:dyDescent="0.25">
      <c r="F34" s="9">
        <v>29</v>
      </c>
      <c r="G34" s="12">
        <v>0</v>
      </c>
      <c r="H34" s="12">
        <f t="shared" si="8"/>
        <v>923988307.6793201</v>
      </c>
      <c r="I34" s="12">
        <v>27038553193.189926</v>
      </c>
      <c r="J34" s="12">
        <v>9733879149.5483723</v>
      </c>
      <c r="K34" s="12">
        <v>12978505532.731163</v>
      </c>
      <c r="L34" s="12">
        <f t="shared" si="0"/>
        <v>2238792204.3961258</v>
      </c>
      <c r="M34" s="12">
        <f t="shared" si="1"/>
        <v>4477584408.7922516</v>
      </c>
      <c r="N34" s="12">
        <f t="shared" si="2"/>
        <v>2686550645.275351</v>
      </c>
      <c r="O34" s="12">
        <f t="shared" si="4"/>
        <v>49750937875.46946</v>
      </c>
      <c r="P34" s="12">
        <f t="shared" si="7"/>
        <v>44775844087.922516</v>
      </c>
      <c r="Q34" s="43">
        <f t="shared" si="9"/>
        <v>240200183.87558275</v>
      </c>
      <c r="R34" s="28"/>
      <c r="S34" s="3"/>
    </row>
    <row r="35" spans="6:19" ht="15.75" thickBot="1" x14ac:dyDescent="0.25">
      <c r="F35" s="9">
        <v>30</v>
      </c>
      <c r="G35" s="12">
        <v>0</v>
      </c>
      <c r="H35" s="12">
        <f t="shared" si="8"/>
        <v>937848132.29450965</v>
      </c>
      <c r="I35" s="12">
        <v>27908637448.645115</v>
      </c>
      <c r="J35" s="12">
        <v>10047109481.512241</v>
      </c>
      <c r="K35" s="12">
        <v>13396145975.349655</v>
      </c>
      <c r="L35" s="12">
        <f t="shared" si="0"/>
        <v>2310835180.7478156</v>
      </c>
      <c r="M35" s="12">
        <f t="shared" si="1"/>
        <v>4621670361.4956312</v>
      </c>
      <c r="N35" s="12">
        <f t="shared" si="2"/>
        <v>2773002216.8973789</v>
      </c>
      <c r="O35" s="12">
        <f t="shared" si="4"/>
        <v>51351892905.507011</v>
      </c>
      <c r="P35" s="12">
        <f t="shared" si="7"/>
        <v>46216703614.956314</v>
      </c>
      <c r="Q35" s="43">
        <f t="shared" si="9"/>
        <v>222666670.49451736</v>
      </c>
      <c r="R35" s="28"/>
      <c r="S35" s="3"/>
    </row>
    <row r="36" spans="6:19" ht="15.75" thickBot="1" x14ac:dyDescent="0.25">
      <c r="F36" s="9">
        <v>31</v>
      </c>
      <c r="G36" s="12">
        <v>0</v>
      </c>
      <c r="H36" s="12">
        <f t="shared" si="8"/>
        <v>951915854.27892721</v>
      </c>
      <c r="I36" s="12">
        <v>28806328444.53672</v>
      </c>
      <c r="J36" s="12">
        <v>10370278240.03322</v>
      </c>
      <c r="K36" s="12">
        <v>13827037653.377626</v>
      </c>
      <c r="L36" s="12">
        <f t="shared" si="0"/>
        <v>2385163995.2076406</v>
      </c>
      <c r="M36" s="12">
        <f t="shared" si="1"/>
        <v>4770327990.4152813</v>
      </c>
      <c r="N36" s="12">
        <f t="shared" si="2"/>
        <v>2862196794.2491684</v>
      </c>
      <c r="O36" s="12">
        <f t="shared" si="4"/>
        <v>53003644337.947563</v>
      </c>
      <c r="P36" s="12">
        <f t="shared" si="7"/>
        <v>47703279904.152809</v>
      </c>
      <c r="Q36" s="43">
        <f t="shared" si="9"/>
        <v>206419453.88047606</v>
      </c>
      <c r="R36" s="28"/>
      <c r="S36" s="3"/>
    </row>
    <row r="37" spans="6:19" ht="15.75" thickBot="1" x14ac:dyDescent="0.25">
      <c r="F37" s="9">
        <v>32</v>
      </c>
      <c r="G37" s="12">
        <v>0</v>
      </c>
      <c r="H37" s="12">
        <f t="shared" si="8"/>
        <v>966194592.09311092</v>
      </c>
      <c r="I37" s="12">
        <v>29733834720.099663</v>
      </c>
      <c r="J37" s="12">
        <v>10704180499.235878</v>
      </c>
      <c r="K37" s="12">
        <v>14272240665.647839</v>
      </c>
      <c r="L37" s="12">
        <f t="shared" si="0"/>
        <v>2461961514.8242526</v>
      </c>
      <c r="M37" s="12">
        <f t="shared" si="1"/>
        <v>4923923029.6485052</v>
      </c>
      <c r="N37" s="12">
        <f t="shared" si="2"/>
        <v>2954353817.7891026</v>
      </c>
      <c r="O37" s="12">
        <f t="shared" si="4"/>
        <v>54710255884.983383</v>
      </c>
      <c r="P37" s="12">
        <f t="shared" si="7"/>
        <v>49239230296.485046</v>
      </c>
      <c r="Q37" s="43">
        <f t="shared" si="9"/>
        <v>191370706.01225591</v>
      </c>
      <c r="R37" s="28"/>
      <c r="S37" s="3"/>
    </row>
    <row r="38" spans="6:19" ht="15.75" thickBot="1" x14ac:dyDescent="0.25">
      <c r="F38" s="9">
        <v>33</v>
      </c>
      <c r="G38" s="12">
        <v>0</v>
      </c>
      <c r="H38" s="12">
        <f t="shared" si="8"/>
        <v>980687510.97450745</v>
      </c>
      <c r="I38" s="12">
        <v>30693541497.707642</v>
      </c>
      <c r="J38" s="12">
        <v>11049674939.174751</v>
      </c>
      <c r="K38" s="12">
        <v>14732899918.899668</v>
      </c>
      <c r="L38" s="12">
        <f t="shared" si="0"/>
        <v>2541425236.0101924</v>
      </c>
      <c r="M38" s="12">
        <f t="shared" si="1"/>
        <v>5082850472.0203848</v>
      </c>
      <c r="N38" s="12">
        <f t="shared" si="2"/>
        <v>3049710283.2122307</v>
      </c>
      <c r="O38" s="12">
        <f t="shared" si="4"/>
        <v>56476116355.782059</v>
      </c>
      <c r="P38" s="12">
        <f t="shared" si="7"/>
        <v>50828504720.20385</v>
      </c>
      <c r="Q38" s="43">
        <f t="shared" si="9"/>
        <v>177437552.18436664</v>
      </c>
      <c r="R38" s="28"/>
      <c r="S38" s="3"/>
    </row>
    <row r="39" spans="6:19" ht="15.75" thickBot="1" x14ac:dyDescent="0.25">
      <c r="F39" s="9">
        <v>34</v>
      </c>
      <c r="G39" s="12">
        <v>0</v>
      </c>
      <c r="H39" s="12">
        <f t="shared" si="8"/>
        <v>995397823.63912487</v>
      </c>
      <c r="I39" s="12">
        <v>31688024817.52425</v>
      </c>
      <c r="J39" s="12">
        <v>11407688934.308729</v>
      </c>
      <c r="K39" s="12">
        <v>15210251912.41164</v>
      </c>
      <c r="L39" s="12">
        <f t="shared" si="0"/>
        <v>2623768454.8910079</v>
      </c>
      <c r="M39" s="12">
        <f t="shared" si="1"/>
        <v>5247536909.7820158</v>
      </c>
      <c r="N39" s="12">
        <f t="shared" si="2"/>
        <v>3148522145.8692088</v>
      </c>
      <c r="O39" s="12">
        <f t="shared" si="4"/>
        <v>58305965664.244614</v>
      </c>
      <c r="P39" s="12">
        <f t="shared" si="7"/>
        <v>52475369097.820152</v>
      </c>
      <c r="Q39" s="43">
        <f t="shared" si="9"/>
        <v>164541943.46964967</v>
      </c>
      <c r="R39" s="28"/>
      <c r="S39" s="3"/>
    </row>
    <row r="40" spans="6:19" ht="15.75" thickBot="1" x14ac:dyDescent="0.25">
      <c r="F40" s="9">
        <v>35</v>
      </c>
      <c r="G40" s="12">
        <v>0</v>
      </c>
      <c r="H40" s="12">
        <f t="shared" si="8"/>
        <v>1010328790.9937117</v>
      </c>
      <c r="I40" s="12">
        <v>32720066802.926189</v>
      </c>
      <c r="J40" s="12">
        <v>11779224049.053429</v>
      </c>
      <c r="K40" s="12">
        <v>15705632065.404572</v>
      </c>
      <c r="L40" s="12">
        <f t="shared" si="0"/>
        <v>2709221531.2822886</v>
      </c>
      <c r="M40" s="12">
        <f t="shared" si="1"/>
        <v>5418443062.5645771</v>
      </c>
      <c r="N40" s="12">
        <f t="shared" si="2"/>
        <v>3251065837.5387459</v>
      </c>
      <c r="O40" s="12">
        <f t="shared" si="4"/>
        <v>60204922917.384186</v>
      </c>
      <c r="P40" s="12">
        <f t="shared" si="7"/>
        <v>54184430625.645767</v>
      </c>
      <c r="Q40" s="43">
        <f t="shared" si="9"/>
        <v>152610506.3402591</v>
      </c>
      <c r="R40" s="28"/>
      <c r="S40" s="3"/>
    </row>
    <row r="41" spans="6:19" ht="15.75" thickBot="1" x14ac:dyDescent="0.25">
      <c r="F41" s="9">
        <v>36</v>
      </c>
      <c r="G41" s="12">
        <v>0</v>
      </c>
      <c r="H41" s="12">
        <f t="shared" si="8"/>
        <v>1025483722.8586173</v>
      </c>
      <c r="I41" s="12">
        <v>33792672147.160278</v>
      </c>
      <c r="J41" s="12">
        <v>12165361972.977701</v>
      </c>
      <c r="K41" s="12">
        <v>16220482630.636934</v>
      </c>
      <c r="L41" s="12">
        <f t="shared" si="0"/>
        <v>2798033253.7848711</v>
      </c>
      <c r="M41" s="12">
        <f t="shared" si="1"/>
        <v>5596066507.5697422</v>
      </c>
      <c r="N41" s="12">
        <f t="shared" si="2"/>
        <v>3357639904.5418448</v>
      </c>
      <c r="O41" s="12">
        <f t="shared" si="4"/>
        <v>62178516750.77491</v>
      </c>
      <c r="P41" s="12">
        <f t="shared" si="7"/>
        <v>55960665075.697418</v>
      </c>
      <c r="Q41" s="43">
        <f t="shared" si="9"/>
        <v>141574375.1867696</v>
      </c>
      <c r="R41" s="28"/>
      <c r="S41" s="3"/>
    </row>
    <row r="42" spans="6:19" ht="15.75" thickBot="1" x14ac:dyDescent="0.25">
      <c r="F42" s="9">
        <v>37</v>
      </c>
      <c r="G42" s="12">
        <v>0</v>
      </c>
      <c r="H42" s="12">
        <f t="shared" si="8"/>
        <v>1040865978.7014964</v>
      </c>
      <c r="I42" s="12">
        <v>34909085918.933105</v>
      </c>
      <c r="J42" s="12">
        <v>12567270930.815918</v>
      </c>
      <c r="K42" s="12">
        <v>16756361241.087891</v>
      </c>
      <c r="L42" s="12">
        <f t="shared" si="0"/>
        <v>2890472314.0876613</v>
      </c>
      <c r="M42" s="12">
        <f t="shared" si="1"/>
        <v>5780944628.1753225</v>
      </c>
      <c r="N42" s="12">
        <f t="shared" si="2"/>
        <v>3468566776.9051929</v>
      </c>
      <c r="O42" s="12">
        <f t="shared" si="4"/>
        <v>64232718090.836914</v>
      </c>
      <c r="P42" s="12">
        <f t="shared" si="7"/>
        <v>57809446281.75322</v>
      </c>
      <c r="Q42" s="43">
        <f t="shared" si="9"/>
        <v>131369012.56516191</v>
      </c>
      <c r="R42" s="28"/>
      <c r="S42" s="3"/>
    </row>
    <row r="43" spans="6:19" ht="15.75" thickBot="1" x14ac:dyDescent="0.25">
      <c r="F43" s="9">
        <v>38</v>
      </c>
      <c r="G43" s="12">
        <v>0</v>
      </c>
      <c r="H43" s="12">
        <f t="shared" si="8"/>
        <v>1056478968.3820187</v>
      </c>
      <c r="I43" s="12">
        <v>36072812792.447754</v>
      </c>
      <c r="J43" s="12">
        <v>12986212605.281193</v>
      </c>
      <c r="K43" s="12">
        <v>17314950140.374924</v>
      </c>
      <c r="L43" s="12">
        <f t="shared" si="0"/>
        <v>2986828899.214674</v>
      </c>
      <c r="M43" s="12">
        <f t="shared" si="1"/>
        <v>5973657798.429348</v>
      </c>
      <c r="N43" s="12">
        <f t="shared" si="2"/>
        <v>3584194679.0576086</v>
      </c>
      <c r="O43" s="12">
        <f t="shared" si="4"/>
        <v>66373975538.103867</v>
      </c>
      <c r="P43" s="12">
        <f t="shared" si="7"/>
        <v>59736577984.29348</v>
      </c>
      <c r="Q43" s="43">
        <f t="shared" si="9"/>
        <v>121934021.21514195</v>
      </c>
      <c r="R43" s="28"/>
      <c r="S43" s="3"/>
    </row>
    <row r="44" spans="6:19" ht="15.75" thickBot="1" x14ac:dyDescent="0.25">
      <c r="F44" s="9">
        <v>39</v>
      </c>
      <c r="G44" s="12">
        <v>0</v>
      </c>
      <c r="H44" s="12">
        <f t="shared" si="8"/>
        <v>1072326152.9077487</v>
      </c>
      <c r="I44" s="12">
        <v>37287637815.843575</v>
      </c>
      <c r="J44" s="12">
        <v>13423549613.703688</v>
      </c>
      <c r="K44" s="12">
        <v>17898066151.604916</v>
      </c>
      <c r="L44" s="12">
        <f t="shared" si="0"/>
        <v>3087416411.1518478</v>
      </c>
      <c r="M44" s="12">
        <f t="shared" si="1"/>
        <v>6174832822.3036957</v>
      </c>
      <c r="N44" s="12">
        <f t="shared" si="2"/>
        <v>3704899693.3822174</v>
      </c>
      <c r="O44" s="12">
        <f t="shared" si="4"/>
        <v>68609253581.152176</v>
      </c>
      <c r="P44" s="12">
        <f t="shared" si="7"/>
        <v>61748328223.036957</v>
      </c>
      <c r="Q44" s="43">
        <f t="shared" si="9"/>
        <v>113212951.21511194</v>
      </c>
      <c r="R44" s="28"/>
      <c r="S44" s="3"/>
    </row>
    <row r="45" spans="6:19" ht="15.75" thickBot="1" x14ac:dyDescent="0.25">
      <c r="F45" s="9">
        <v>40</v>
      </c>
      <c r="G45" s="12">
        <v>0</v>
      </c>
      <c r="H45" s="12">
        <f t="shared" si="8"/>
        <v>1088411045.201365</v>
      </c>
      <c r="I45" s="12">
        <v>38557648841.111061</v>
      </c>
      <c r="J45" s="12">
        <v>13880753582.799984</v>
      </c>
      <c r="K45" s="12">
        <v>18507671443.733311</v>
      </c>
      <c r="L45" s="12">
        <f t="shared" si="0"/>
        <v>3192573324.0439959</v>
      </c>
      <c r="M45" s="12">
        <f t="shared" si="1"/>
        <v>6385146648.0879917</v>
      </c>
      <c r="N45" s="12">
        <f t="shared" si="2"/>
        <v>3831087988.8527946</v>
      </c>
      <c r="O45" s="12">
        <f t="shared" si="4"/>
        <v>70946073867.644348</v>
      </c>
      <c r="P45" s="12">
        <f t="shared" si="7"/>
        <v>63851466480.879913</v>
      </c>
      <c r="Q45" s="43">
        <f t="shared" si="9"/>
        <v>105153105.05543934</v>
      </c>
      <c r="R45" s="28"/>
      <c r="S45" s="3"/>
    </row>
    <row r="46" spans="6:19" ht="15.75" thickBot="1" x14ac:dyDescent="0.25">
      <c r="F46" s="9">
        <v>41</v>
      </c>
      <c r="G46" s="12">
        <v>0</v>
      </c>
      <c r="H46" s="12">
        <f t="shared" si="8"/>
        <v>1104737210.8793852</v>
      </c>
      <c r="I46" s="12">
        <v>39887260748.399948</v>
      </c>
      <c r="J46" s="12">
        <v>14359413869.423981</v>
      </c>
      <c r="K46" s="12">
        <v>19145885159.231976</v>
      </c>
      <c r="L46" s="12">
        <f t="shared" ref="L46:L70" si="10">P46*$B$8</f>
        <v>3302665189.9675159</v>
      </c>
      <c r="M46" s="12">
        <f t="shared" ref="M46:M70" si="11">P46*$B$10</f>
        <v>6605330379.9350319</v>
      </c>
      <c r="N46" s="12">
        <f t="shared" ref="N46:N70" si="12">P46*$B$12</f>
        <v>3963198227.961019</v>
      </c>
      <c r="O46" s="12">
        <f t="shared" si="4"/>
        <v>73392559777.055908</v>
      </c>
      <c r="P46" s="12">
        <f t="shared" ref="P46:P70" si="13">O46-O46*10%</f>
        <v>66053303799.350319</v>
      </c>
      <c r="Q46" s="43">
        <f t="shared" si="9"/>
        <v>97705342.910418689</v>
      </c>
      <c r="R46" s="28"/>
      <c r="S46" s="3"/>
    </row>
    <row r="47" spans="6:19" ht="15.75" thickBot="1" x14ac:dyDescent="0.25">
      <c r="F47" s="9">
        <v>42</v>
      </c>
      <c r="G47" s="12">
        <v>0</v>
      </c>
      <c r="H47" s="12">
        <f t="shared" si="8"/>
        <v>1121308269.0425758</v>
      </c>
      <c r="I47" s="12">
        <v>41281241608.271942</v>
      </c>
      <c r="J47" s="12">
        <v>14861246978.9779</v>
      </c>
      <c r="K47" s="12">
        <v>19814995971.970535</v>
      </c>
      <c r="L47" s="12">
        <f t="shared" si="10"/>
        <v>3418086805.164917</v>
      </c>
      <c r="M47" s="12">
        <f t="shared" si="11"/>
        <v>6836173610.329834</v>
      </c>
      <c r="N47" s="12">
        <f t="shared" si="12"/>
        <v>4101704166.1978998</v>
      </c>
      <c r="O47" s="12">
        <f t="shared" si="4"/>
        <v>75957484559.220367</v>
      </c>
      <c r="P47" s="12">
        <f t="shared" si="13"/>
        <v>68361736103.298332</v>
      </c>
      <c r="Q47" s="43">
        <f t="shared" si="9"/>
        <v>90823889.959903866</v>
      </c>
      <c r="R47" s="28"/>
      <c r="S47" s="3"/>
    </row>
    <row r="48" spans="6:19" ht="15.75" thickBot="1" x14ac:dyDescent="0.25">
      <c r="F48" s="9">
        <v>43</v>
      </c>
      <c r="G48" s="12">
        <v>0</v>
      </c>
      <c r="H48" s="12">
        <f t="shared" si="8"/>
        <v>1138127893.0782144</v>
      </c>
      <c r="I48" s="12">
        <v>42744740936.933701</v>
      </c>
      <c r="J48" s="12">
        <v>15388106737.296133</v>
      </c>
      <c r="K48" s="12">
        <v>20517475649.728176</v>
      </c>
      <c r="L48" s="12">
        <f t="shared" si="10"/>
        <v>3539264549.5781107</v>
      </c>
      <c r="M48" s="12">
        <f t="shared" si="11"/>
        <v>7078529099.1562214</v>
      </c>
      <c r="N48" s="12">
        <f t="shared" si="12"/>
        <v>4247117459.4937325</v>
      </c>
      <c r="O48" s="12">
        <f t="shared" si="4"/>
        <v>78650323323.958008</v>
      </c>
      <c r="P48" s="12">
        <f t="shared" si="13"/>
        <v>70785290991.56221</v>
      </c>
      <c r="Q48" s="43">
        <f t="shared" si="9"/>
        <v>84466147.244712114</v>
      </c>
      <c r="R48" s="28"/>
      <c r="S48" s="3"/>
    </row>
    <row r="49" spans="6:19" ht="15.75" thickBot="1" x14ac:dyDescent="0.25">
      <c r="F49" s="9">
        <v>44</v>
      </c>
      <c r="G49" s="12">
        <v>0</v>
      </c>
      <c r="H49" s="12">
        <f t="shared" si="8"/>
        <v>1155199811.4743872</v>
      </c>
      <c r="I49" s="12">
        <v>44283320211.888397</v>
      </c>
      <c r="J49" s="12">
        <v>15941995276.279823</v>
      </c>
      <c r="K49" s="12">
        <v>21255993701.706429</v>
      </c>
      <c r="L49" s="12">
        <f t="shared" si="10"/>
        <v>3666658913.5443592</v>
      </c>
      <c r="M49" s="12">
        <f t="shared" si="11"/>
        <v>7333317827.0887184</v>
      </c>
      <c r="N49" s="12">
        <f t="shared" si="12"/>
        <v>4399990696.2532301</v>
      </c>
      <c r="O49" s="12">
        <f t="shared" si="4"/>
        <v>81481309189.874649</v>
      </c>
      <c r="P49" s="12">
        <f t="shared" si="13"/>
        <v>73333178270.887177</v>
      </c>
      <c r="Q49" s="43">
        <f t="shared" si="9"/>
        <v>78592507.22739467</v>
      </c>
      <c r="R49" s="28"/>
      <c r="S49" s="3"/>
    </row>
    <row r="50" spans="6:19" ht="15.75" thickBot="1" x14ac:dyDescent="0.25">
      <c r="F50" s="9">
        <v>45</v>
      </c>
      <c r="G50" s="12">
        <v>0</v>
      </c>
      <c r="H50" s="12">
        <f t="shared" si="8"/>
        <v>1172527808.6465032</v>
      </c>
      <c r="I50" s="12">
        <v>45902985828.83947</v>
      </c>
      <c r="J50" s="12">
        <v>16525074898.38221</v>
      </c>
      <c r="K50" s="12">
        <v>22033433197.842945</v>
      </c>
      <c r="L50" s="12">
        <f t="shared" si="10"/>
        <v>3800767226.6279087</v>
      </c>
      <c r="M50" s="12">
        <f t="shared" si="11"/>
        <v>7601534453.2558174</v>
      </c>
      <c r="N50" s="12">
        <f t="shared" si="12"/>
        <v>4560920671.9534903</v>
      </c>
      <c r="O50" s="12">
        <f t="shared" si="4"/>
        <v>84461493925.064621</v>
      </c>
      <c r="P50" s="12">
        <f t="shared" si="13"/>
        <v>76015344532.558167</v>
      </c>
      <c r="Q50" s="43">
        <f t="shared" si="9"/>
        <v>73166174.964681387</v>
      </c>
      <c r="R50" s="28"/>
      <c r="S50" s="3"/>
    </row>
    <row r="51" spans="6:19" ht="15.75" thickBot="1" x14ac:dyDescent="0.25">
      <c r="F51" s="9">
        <v>46</v>
      </c>
      <c r="G51" s="12">
        <v>0</v>
      </c>
      <c r="H51" s="12">
        <f t="shared" si="8"/>
        <v>1190115725.7762003</v>
      </c>
      <c r="I51" s="12">
        <v>47610224695.146629</v>
      </c>
      <c r="J51" s="12">
        <v>17139680890.252785</v>
      </c>
      <c r="K51" s="12">
        <v>22852907853.67038</v>
      </c>
      <c r="L51" s="12">
        <f t="shared" si="10"/>
        <v>3942126604.7581406</v>
      </c>
      <c r="M51" s="12">
        <f t="shared" si="11"/>
        <v>7884253209.5162811</v>
      </c>
      <c r="N51" s="12">
        <f t="shared" si="12"/>
        <v>4730551925.7097683</v>
      </c>
      <c r="O51" s="12">
        <f t="shared" si="4"/>
        <v>87602813439.069794</v>
      </c>
      <c r="P51" s="12">
        <f t="shared" si="13"/>
        <v>78842532095.162811</v>
      </c>
      <c r="Q51" s="43">
        <f t="shared" si="9"/>
        <v>68152995.573553473</v>
      </c>
      <c r="R51" s="28"/>
      <c r="S51" s="3"/>
    </row>
    <row r="52" spans="6:19" ht="15.75" thickBot="1" x14ac:dyDescent="0.25">
      <c r="F52" s="9">
        <v>47</v>
      </c>
      <c r="G52" s="12">
        <v>0</v>
      </c>
      <c r="H52" s="12">
        <f t="shared" si="8"/>
        <v>1207967461.6628432</v>
      </c>
      <c r="I52" s="12">
        <v>49412042670.758354</v>
      </c>
      <c r="J52" s="12">
        <v>17788335361.473007</v>
      </c>
      <c r="K52" s="12">
        <v>23717780481.964012</v>
      </c>
      <c r="L52" s="12">
        <f t="shared" si="10"/>
        <v>4091317133.138792</v>
      </c>
      <c r="M52" s="12">
        <f t="shared" si="11"/>
        <v>8182634266.2775841</v>
      </c>
      <c r="N52" s="12">
        <f t="shared" si="12"/>
        <v>4909580559.7665501</v>
      </c>
      <c r="O52" s="12">
        <f t="shared" si="4"/>
        <v>90918158514.195374</v>
      </c>
      <c r="P52" s="12">
        <f t="shared" si="13"/>
        <v>81826342662.775833</v>
      </c>
      <c r="Q52" s="43">
        <f t="shared" si="9"/>
        <v>63521288.483989671</v>
      </c>
      <c r="R52" s="28"/>
      <c r="S52" s="3"/>
    </row>
    <row r="53" spans="6:19" ht="15.75" thickBot="1" x14ac:dyDescent="0.25">
      <c r="F53" s="9">
        <v>48</v>
      </c>
      <c r="G53" s="12">
        <v>0</v>
      </c>
      <c r="H53" s="12">
        <f t="shared" si="8"/>
        <v>1226086973.5877857</v>
      </c>
      <c r="I53" s="12">
        <v>51316006084.419037</v>
      </c>
      <c r="J53" s="12">
        <v>18473762190.390854</v>
      </c>
      <c r="K53" s="12">
        <v>24631682920.521137</v>
      </c>
      <c r="L53" s="12">
        <f t="shared" si="10"/>
        <v>4248965303.7898965</v>
      </c>
      <c r="M53" s="12">
        <f t="shared" si="11"/>
        <v>8497930607.579793</v>
      </c>
      <c r="N53" s="12">
        <f t="shared" si="12"/>
        <v>5098758364.5478754</v>
      </c>
      <c r="O53" s="12">
        <f t="shared" si="4"/>
        <v>94421451195.331024</v>
      </c>
      <c r="P53" s="12">
        <f t="shared" si="13"/>
        <v>84979306075.797928</v>
      </c>
      <c r="Q53" s="43">
        <f t="shared" si="9"/>
        <v>59241688.813150592</v>
      </c>
      <c r="R53" s="28"/>
      <c r="S53" s="3"/>
    </row>
    <row r="54" spans="6:19" ht="15.75" thickBot="1" x14ac:dyDescent="0.25">
      <c r="F54" s="9">
        <v>49</v>
      </c>
      <c r="G54" s="12">
        <v>0</v>
      </c>
      <c r="H54" s="12">
        <f t="shared" si="8"/>
        <v>1244478278.1916022</v>
      </c>
      <c r="I54" s="12">
        <v>53330286571.172546</v>
      </c>
      <c r="J54" s="12">
        <v>19198903165.622116</v>
      </c>
      <c r="K54" s="12">
        <v>25598537554.162823</v>
      </c>
      <c r="L54" s="12">
        <f t="shared" si="10"/>
        <v>4415747728.0930872</v>
      </c>
      <c r="M54" s="12">
        <f t="shared" si="11"/>
        <v>8831495456.1861744</v>
      </c>
      <c r="N54" s="12">
        <f t="shared" si="12"/>
        <v>5298897273.7117043</v>
      </c>
      <c r="O54" s="12">
        <f t="shared" si="4"/>
        <v>98127727290.957489</v>
      </c>
      <c r="P54" s="12">
        <f t="shared" si="13"/>
        <v>88314954561.86174</v>
      </c>
      <c r="Q54" s="43">
        <f t="shared" si="9"/>
        <v>55286996.063911945</v>
      </c>
      <c r="R54" s="28"/>
      <c r="S54" s="3"/>
    </row>
    <row r="55" spans="6:19" ht="15.75" thickBot="1" x14ac:dyDescent="0.25">
      <c r="F55" s="9">
        <v>50</v>
      </c>
      <c r="G55" s="12">
        <v>0</v>
      </c>
      <c r="H55" s="12">
        <f t="shared" si="8"/>
        <v>1263145452.3644762</v>
      </c>
      <c r="I55" s="12">
        <v>55463709496.866356</v>
      </c>
      <c r="J55" s="12">
        <v>19966935418.871887</v>
      </c>
      <c r="K55" s="12">
        <v>26622580558.49585</v>
      </c>
      <c r="L55" s="12">
        <f t="shared" si="10"/>
        <v>4592395146.3405342</v>
      </c>
      <c r="M55" s="12">
        <f t="shared" si="11"/>
        <v>9184790292.6810684</v>
      </c>
      <c r="N55" s="12">
        <f t="shared" si="12"/>
        <v>5510874175.6086407</v>
      </c>
      <c r="O55" s="12">
        <f t="shared" si="4"/>
        <v>102053225474.2341</v>
      </c>
      <c r="P55" s="12">
        <f t="shared" si="13"/>
        <v>91847902926.810684</v>
      </c>
      <c r="Q55" s="43">
        <f t="shared" si="9"/>
        <v>51632030.241552144</v>
      </c>
      <c r="R55" s="28"/>
      <c r="S55" s="3"/>
    </row>
    <row r="56" spans="6:19" ht="15.75" thickBot="1" x14ac:dyDescent="0.25">
      <c r="F56" s="9">
        <v>51</v>
      </c>
      <c r="G56" s="12">
        <v>0</v>
      </c>
      <c r="H56" s="12">
        <f t="shared" si="8"/>
        <v>1282092634.1499434</v>
      </c>
      <c r="I56" s="12">
        <v>57725806256.615662</v>
      </c>
      <c r="J56" s="12">
        <v>20781290252.381638</v>
      </c>
      <c r="K56" s="12">
        <v>27708387003.175518</v>
      </c>
      <c r="L56" s="12">
        <f t="shared" si="10"/>
        <v>4779696758.0477772</v>
      </c>
      <c r="M56" s="12">
        <f t="shared" si="11"/>
        <v>9559393516.0955544</v>
      </c>
      <c r="N56" s="12">
        <f t="shared" si="12"/>
        <v>5735636109.6573315</v>
      </c>
      <c r="O56" s="12">
        <f t="shared" si="4"/>
        <v>106215483512.17282</v>
      </c>
      <c r="P56" s="12">
        <f t="shared" si="13"/>
        <v>95593935160.955536</v>
      </c>
      <c r="Q56" s="43">
        <f t="shared" si="9"/>
        <v>48253495.392840132</v>
      </c>
      <c r="R56" s="28"/>
      <c r="S56" s="3"/>
    </row>
    <row r="57" spans="6:19" ht="15.75" thickBot="1" x14ac:dyDescent="0.25">
      <c r="F57" s="9">
        <v>52</v>
      </c>
      <c r="G57" s="12">
        <v>0</v>
      </c>
      <c r="H57" s="12">
        <f t="shared" si="8"/>
        <v>1301324023.6621921</v>
      </c>
      <c r="I57" s="12">
        <v>60126870757.144913</v>
      </c>
      <c r="J57" s="12">
        <v>21645673472.57217</v>
      </c>
      <c r="K57" s="12">
        <v>28860897963.429558</v>
      </c>
      <c r="L57" s="12">
        <f t="shared" si="10"/>
        <v>4978504898.6915989</v>
      </c>
      <c r="M57" s="12">
        <f t="shared" si="11"/>
        <v>9957009797.3831978</v>
      </c>
      <c r="N57" s="12">
        <f t="shared" si="12"/>
        <v>5974205878.4299183</v>
      </c>
      <c r="O57" s="12">
        <f t="shared" si="4"/>
        <v>110633442193.14664</v>
      </c>
      <c r="P57" s="12">
        <f t="shared" si="13"/>
        <v>99570097973.83197</v>
      </c>
      <c r="Q57" s="43">
        <f t="shared" si="9"/>
        <v>45129850.498958841</v>
      </c>
      <c r="R57" s="28"/>
      <c r="S57" s="3"/>
    </row>
    <row r="58" spans="6:19" ht="15.75" thickBot="1" x14ac:dyDescent="0.25">
      <c r="F58" s="9">
        <v>53</v>
      </c>
      <c r="G58" s="12">
        <v>0</v>
      </c>
      <c r="H58" s="12">
        <f t="shared" si="8"/>
        <v>1320843884.0171247</v>
      </c>
      <c r="I58" s="12">
        <v>62678020417.71653</v>
      </c>
      <c r="J58" s="12">
        <v>22564087350.377949</v>
      </c>
      <c r="K58" s="12">
        <v>30085449800.503933</v>
      </c>
      <c r="L58" s="12">
        <f t="shared" si="10"/>
        <v>5189740090.5869293</v>
      </c>
      <c r="M58" s="12">
        <f t="shared" si="11"/>
        <v>10379480181.173859</v>
      </c>
      <c r="N58" s="12">
        <f t="shared" si="12"/>
        <v>6227688108.7043142</v>
      </c>
      <c r="O58" s="12">
        <f t="shared" si="4"/>
        <v>115327557568.59842</v>
      </c>
      <c r="P58" s="12">
        <f t="shared" si="13"/>
        <v>103794801811.73857</v>
      </c>
      <c r="Q58" s="43">
        <f t="shared" si="9"/>
        <v>42241187.595205665</v>
      </c>
      <c r="R58" s="28"/>
      <c r="S58" s="3"/>
    </row>
    <row r="59" spans="6:19" ht="15.75" thickBot="1" x14ac:dyDescent="0.25">
      <c r="F59" s="9">
        <v>54</v>
      </c>
      <c r="G59" s="12">
        <v>0</v>
      </c>
      <c r="H59" s="12">
        <f t="shared" si="8"/>
        <v>1340656542.2773812</v>
      </c>
      <c r="I59" s="12">
        <v>65391262051.133835</v>
      </c>
      <c r="J59" s="12">
        <v>23540854338.40818</v>
      </c>
      <c r="K59" s="12">
        <v>31387805784.544243</v>
      </c>
      <c r="L59" s="12">
        <f t="shared" si="10"/>
        <v>5414396497.8338823</v>
      </c>
      <c r="M59" s="12">
        <f t="shared" si="11"/>
        <v>10828792995.667765</v>
      </c>
      <c r="N59" s="12">
        <f t="shared" si="12"/>
        <v>6497275797.4006586</v>
      </c>
      <c r="O59" s="12">
        <f t="shared" si="4"/>
        <v>120319922174.08627</v>
      </c>
      <c r="P59" s="12">
        <f t="shared" si="13"/>
        <v>108287929956.67764</v>
      </c>
      <c r="Q59" s="43">
        <f t="shared" si="9"/>
        <v>39569116.944116041</v>
      </c>
      <c r="R59" s="28"/>
      <c r="S59" s="3"/>
    </row>
    <row r="60" spans="6:19" ht="15.75" thickBot="1" x14ac:dyDescent="0.25">
      <c r="F60" s="9">
        <v>55</v>
      </c>
      <c r="G60" s="12">
        <v>0</v>
      </c>
      <c r="H60" s="12">
        <f t="shared" si="8"/>
        <v>1360766390.4115419</v>
      </c>
      <c r="I60" s="12">
        <v>68279563015.224548</v>
      </c>
      <c r="J60" s="12">
        <v>24580642685.480839</v>
      </c>
      <c r="K60" s="12">
        <v>32774190247.307785</v>
      </c>
      <c r="L60" s="12">
        <f t="shared" si="10"/>
        <v>5653547817.660593</v>
      </c>
      <c r="M60" s="12">
        <f t="shared" si="11"/>
        <v>11307095635.321186</v>
      </c>
      <c r="N60" s="12">
        <f t="shared" si="12"/>
        <v>6784257381.1927109</v>
      </c>
      <c r="O60" s="12">
        <f t="shared" si="4"/>
        <v>125634395948.01317</v>
      </c>
      <c r="P60" s="12">
        <f t="shared" si="13"/>
        <v>113070956353.21185</v>
      </c>
      <c r="Q60" s="43">
        <f t="shared" si="9"/>
        <v>37096659.052725717</v>
      </c>
      <c r="R60" s="28"/>
      <c r="S60" s="3"/>
    </row>
    <row r="61" spans="6:19" ht="15.75" thickBot="1" x14ac:dyDescent="0.25">
      <c r="F61" s="9">
        <v>56</v>
      </c>
      <c r="G61" s="12">
        <v>0</v>
      </c>
      <c r="H61" s="12">
        <f t="shared" si="8"/>
        <v>1381177886.267715</v>
      </c>
      <c r="I61" s="12">
        <v>71356928056.442505</v>
      </c>
      <c r="J61" s="12">
        <v>25688494100.319305</v>
      </c>
      <c r="K61" s="12">
        <v>34251325467.092407</v>
      </c>
      <c r="L61" s="12">
        <f t="shared" si="10"/>
        <v>5908353643.0734406</v>
      </c>
      <c r="M61" s="12">
        <f t="shared" si="11"/>
        <v>11816707286.146881</v>
      </c>
      <c r="N61" s="12">
        <f t="shared" si="12"/>
        <v>7090024371.6881275</v>
      </c>
      <c r="O61" s="12">
        <f t="shared" si="4"/>
        <v>131296747623.85422</v>
      </c>
      <c r="P61" s="12">
        <f t="shared" si="13"/>
        <v>118167072861.4688</v>
      </c>
      <c r="Q61" s="43">
        <f t="shared" si="9"/>
        <v>34808143.297520861</v>
      </c>
      <c r="R61" s="28"/>
      <c r="S61" s="3"/>
    </row>
    <row r="62" spans="6:19" ht="15.75" thickBot="1" x14ac:dyDescent="0.25">
      <c r="F62" s="9">
        <v>57</v>
      </c>
      <c r="G62" s="12">
        <v>0</v>
      </c>
      <c r="H62" s="12">
        <f t="shared" si="8"/>
        <v>1401895554.5617306</v>
      </c>
      <c r="I62" s="12">
        <v>74638482300.957916</v>
      </c>
      <c r="J62" s="12">
        <v>26869853628.344849</v>
      </c>
      <c r="K62" s="12">
        <v>35826471504.459801</v>
      </c>
      <c r="L62" s="12">
        <f t="shared" si="10"/>
        <v>6180066334.5193167</v>
      </c>
      <c r="M62" s="12">
        <f t="shared" si="11"/>
        <v>12360132669.038633</v>
      </c>
      <c r="N62" s="12">
        <f t="shared" si="12"/>
        <v>7416079601.4231787</v>
      </c>
      <c r="O62" s="12">
        <f t="shared" si="4"/>
        <v>137334807433.76257</v>
      </c>
      <c r="P62" s="12">
        <f t="shared" si="13"/>
        <v>123601326690.38632</v>
      </c>
      <c r="Q62" s="43">
        <f t="shared" si="9"/>
        <v>32689112.900851477</v>
      </c>
      <c r="R62" s="28"/>
      <c r="S62" s="3"/>
    </row>
    <row r="63" spans="6:19" ht="15.75" thickBot="1" x14ac:dyDescent="0.25">
      <c r="F63" s="9">
        <v>58</v>
      </c>
      <c r="G63" s="12">
        <v>0</v>
      </c>
      <c r="H63" s="12">
        <f t="shared" si="8"/>
        <v>1422923987.8801563</v>
      </c>
      <c r="I63" s="12">
        <v>78140560885.034561</v>
      </c>
      <c r="J63" s="12">
        <v>28130601918.612442</v>
      </c>
      <c r="K63" s="12">
        <v>37507469224.816589</v>
      </c>
      <c r="L63" s="12">
        <f t="shared" si="10"/>
        <v>6470038441.2808619</v>
      </c>
      <c r="M63" s="12">
        <f t="shared" si="11"/>
        <v>12940076882.561724</v>
      </c>
      <c r="N63" s="12">
        <f t="shared" si="12"/>
        <v>7764046129.537034</v>
      </c>
      <c r="O63" s="12">
        <f t="shared" si="4"/>
        <v>143778632028.46359</v>
      </c>
      <c r="P63" s="12">
        <f t="shared" si="13"/>
        <v>129400768825.61723</v>
      </c>
      <c r="Q63" s="43">
        <f t="shared" si="9"/>
        <v>30726235.988999598</v>
      </c>
      <c r="R63" s="28"/>
      <c r="S63" s="3"/>
    </row>
    <row r="64" spans="6:19" ht="15.75" thickBot="1" x14ac:dyDescent="0.25">
      <c r="F64" s="9">
        <v>59</v>
      </c>
      <c r="G64" s="12">
        <v>0</v>
      </c>
      <c r="H64" s="12">
        <f t="shared" si="8"/>
        <v>1444267847.6983585</v>
      </c>
      <c r="I64" s="12">
        <v>81880805755.837326</v>
      </c>
      <c r="J64" s="12">
        <v>29477090072.101437</v>
      </c>
      <c r="K64" s="12">
        <v>39302786762.80191</v>
      </c>
      <c r="L64" s="12">
        <f t="shared" si="10"/>
        <v>6779730716.5833302</v>
      </c>
      <c r="M64" s="12">
        <f t="shared" si="11"/>
        <v>13559461433.16666</v>
      </c>
      <c r="N64" s="12">
        <f t="shared" si="12"/>
        <v>8135676859.8999958</v>
      </c>
      <c r="O64" s="12">
        <f t="shared" si="4"/>
        <v>150660682590.74066</v>
      </c>
      <c r="P64" s="12">
        <f t="shared" si="13"/>
        <v>135594614331.6666</v>
      </c>
      <c r="Q64" s="43">
        <f t="shared" si="9"/>
        <v>28907222.453679509</v>
      </c>
      <c r="R64" s="28"/>
      <c r="S64" s="3"/>
    </row>
    <row r="65" spans="6:19" ht="15.75" thickBot="1" x14ac:dyDescent="0.25">
      <c r="F65" s="9">
        <v>60</v>
      </c>
      <c r="G65" s="12">
        <v>0</v>
      </c>
      <c r="H65" s="12">
        <f t="shared" si="8"/>
        <v>1465931865.4138334</v>
      </c>
      <c r="I65" s="12">
        <v>85878270216.304306</v>
      </c>
      <c r="J65" s="12">
        <v>30916177277.869549</v>
      </c>
      <c r="K65" s="12">
        <v>41221569703.826065</v>
      </c>
      <c r="L65" s="12">
        <f t="shared" si="10"/>
        <v>7110720773.9099979</v>
      </c>
      <c r="M65" s="12">
        <f t="shared" si="11"/>
        <v>14221441547.819996</v>
      </c>
      <c r="N65" s="12">
        <f t="shared" si="12"/>
        <v>8532864928.6919966</v>
      </c>
      <c r="O65" s="12">
        <f t="shared" si="4"/>
        <v>158016017197.99994</v>
      </c>
      <c r="P65" s="12">
        <f t="shared" si="13"/>
        <v>142214415478.19995</v>
      </c>
      <c r="Q65" s="43">
        <f t="shared" si="9"/>
        <v>27220746.334607776</v>
      </c>
      <c r="R65" s="28"/>
      <c r="S65" s="3"/>
    </row>
    <row r="66" spans="6:19" ht="15.75" thickBot="1" x14ac:dyDescent="0.25">
      <c r="F66" s="9">
        <v>61</v>
      </c>
      <c r="G66" s="12">
        <v>0</v>
      </c>
      <c r="H66" s="12">
        <f t="shared" si="8"/>
        <v>1487920843.395041</v>
      </c>
      <c r="I66" s="12">
        <v>90153531833.608658</v>
      </c>
      <c r="J66" s="12">
        <v>32455271460.099113</v>
      </c>
      <c r="K66" s="12">
        <v>43273695280.132156</v>
      </c>
      <c r="L66" s="12">
        <f t="shared" si="10"/>
        <v>7464712435.8227959</v>
      </c>
      <c r="M66" s="12">
        <f t="shared" si="11"/>
        <v>14929424871.645592</v>
      </c>
      <c r="N66" s="12">
        <f t="shared" si="12"/>
        <v>8957654922.9873543</v>
      </c>
      <c r="O66" s="12">
        <f t="shared" si="4"/>
        <v>165882498573.8399</v>
      </c>
      <c r="P66" s="12">
        <f t="shared" si="13"/>
        <v>149294248716.4559</v>
      </c>
      <c r="Q66" s="43">
        <f t="shared" si="9"/>
        <v>25656373.440160137</v>
      </c>
      <c r="R66" s="28"/>
      <c r="S66" s="3"/>
    </row>
    <row r="67" spans="6:19" ht="15.75" thickBot="1" x14ac:dyDescent="0.25">
      <c r="F67" s="9">
        <v>62</v>
      </c>
      <c r="G67" s="12">
        <v>0</v>
      </c>
      <c r="H67" s="12">
        <f t="shared" si="8"/>
        <v>1510239656.0459661</v>
      </c>
      <c r="I67" s="12">
        <v>94728814380.297348</v>
      </c>
      <c r="J67" s="12">
        <v>34102373176.907047</v>
      </c>
      <c r="K67" s="12">
        <v>45469830902.542725</v>
      </c>
      <c r="L67" s="12">
        <f t="shared" si="10"/>
        <v>7843545830.6886215</v>
      </c>
      <c r="M67" s="12">
        <f t="shared" si="11"/>
        <v>15687091661.377243</v>
      </c>
      <c r="N67" s="12">
        <f t="shared" si="12"/>
        <v>9412254996.8263454</v>
      </c>
      <c r="O67" s="12">
        <f t="shared" si="4"/>
        <v>174301018459.74713</v>
      </c>
      <c r="P67" s="12">
        <f t="shared" si="13"/>
        <v>156870916613.77243</v>
      </c>
      <c r="Q67" s="43">
        <f t="shared" si="9"/>
        <v>24204493.925373711</v>
      </c>
      <c r="R67" s="28"/>
      <c r="S67" s="3"/>
    </row>
    <row r="68" spans="6:19" ht="15.75" thickBot="1" x14ac:dyDescent="0.25">
      <c r="F68" s="9">
        <v>63</v>
      </c>
      <c r="G68" s="12">
        <v>0</v>
      </c>
      <c r="H68" s="12">
        <f t="shared" si="8"/>
        <v>1532893250.8866556</v>
      </c>
      <c r="I68" s="12">
        <v>99628119530.721146</v>
      </c>
      <c r="J68" s="12">
        <v>35866123031.059608</v>
      </c>
      <c r="K68" s="12">
        <v>47821497374.746147</v>
      </c>
      <c r="L68" s="12">
        <f t="shared" si="10"/>
        <v>8249208297.143712</v>
      </c>
      <c r="M68" s="12">
        <f t="shared" si="11"/>
        <v>16498416594.287424</v>
      </c>
      <c r="N68" s="12">
        <f t="shared" si="12"/>
        <v>9899049956.5724545</v>
      </c>
      <c r="O68" s="12">
        <f t="shared" si="4"/>
        <v>183315739936.52692</v>
      </c>
      <c r="P68" s="12">
        <f t="shared" si="13"/>
        <v>164984165942.87424</v>
      </c>
      <c r="Q68" s="43">
        <f t="shared" si="9"/>
        <v>22856259.551098853</v>
      </c>
      <c r="R68" s="28"/>
      <c r="S68" s="3"/>
    </row>
    <row r="69" spans="6:19" ht="15.75" thickBot="1" x14ac:dyDescent="0.25">
      <c r="F69" s="9">
        <v>64</v>
      </c>
      <c r="G69" s="12">
        <v>0</v>
      </c>
      <c r="H69" s="12">
        <f t="shared" si="8"/>
        <v>1555886649.6499553</v>
      </c>
      <c r="I69" s="12">
        <v>104877369093.17883</v>
      </c>
      <c r="J69" s="12">
        <v>37755852873.54438</v>
      </c>
      <c r="K69" s="12">
        <v>50341137164.725838</v>
      </c>
      <c r="L69" s="12">
        <f t="shared" si="10"/>
        <v>8683846160.9152069</v>
      </c>
      <c r="M69" s="12">
        <f t="shared" si="11"/>
        <v>17367692321.830414</v>
      </c>
      <c r="N69" s="12">
        <f t="shared" si="12"/>
        <v>10420615393.098248</v>
      </c>
      <c r="O69" s="12">
        <f t="shared" si="4"/>
        <v>192974359131.44904</v>
      </c>
      <c r="P69" s="12">
        <f t="shared" si="13"/>
        <v>173676923218.30414</v>
      </c>
      <c r="Q69" s="43">
        <f t="shared" si="9"/>
        <v>21603525.354479846</v>
      </c>
      <c r="R69" s="42" t="s">
        <v>64</v>
      </c>
      <c r="S69" s="44" t="s">
        <v>56</v>
      </c>
    </row>
    <row r="70" spans="6:19" ht="15.75" thickBot="1" x14ac:dyDescent="0.25">
      <c r="F70" s="9">
        <v>65</v>
      </c>
      <c r="G70" s="12">
        <v>0</v>
      </c>
      <c r="H70" s="12">
        <f t="shared" si="8"/>
        <v>1579224949.3947043</v>
      </c>
      <c r="I70" s="12">
        <v>110504558620.63315</v>
      </c>
      <c r="J70" s="12">
        <v>39781641103.427933</v>
      </c>
      <c r="K70" s="12">
        <v>53042188137.903915</v>
      </c>
      <c r="L70" s="12">
        <f t="shared" si="10"/>
        <v>9149777453.7884274</v>
      </c>
      <c r="M70" s="12">
        <f t="shared" si="11"/>
        <v>18299554907.576855</v>
      </c>
      <c r="N70" s="12">
        <f t="shared" si="12"/>
        <v>10979732944.54611</v>
      </c>
      <c r="O70" s="12">
        <f t="shared" ref="O70" si="14">(I70+J70+K70)</f>
        <v>203328387861.96503</v>
      </c>
      <c r="P70" s="12">
        <f t="shared" si="13"/>
        <v>182995549075.76852</v>
      </c>
      <c r="Q70" s="43">
        <f>($G70*(1+$B$22)^(-$F70))+($H70*(1+$B$22)^(-$F70))+($L70*(1+$B$22)^(-$F70))+($M70*(1+$B$22)^(-$F70))-($N70*(1+$B$22)^(-$F70))</f>
        <v>20438795.468741424</v>
      </c>
      <c r="R70" s="42">
        <f>($G70*(1+S70)^(-$F70))+($H70*(1+S70)^(-$F70))+($L70*(1+S70)^(-$F70))+($M70*(1+S70)^(-$F70))-($N70*(1+S70)^(-$F70))</f>
        <v>6.9419860704878281E-4</v>
      </c>
      <c r="S70" s="44">
        <v>0.60836302221954963</v>
      </c>
    </row>
  </sheetData>
  <mergeCells count="1">
    <mergeCell ref="H1:J1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3798-4A4E-4EE7-919E-A0D30E558515}">
  <dimension ref="A1:AC86"/>
  <sheetViews>
    <sheetView tabSelected="1" zoomScaleNormal="100" workbookViewId="0">
      <selection activeCell="T82" sqref="T82"/>
    </sheetView>
  </sheetViews>
  <sheetFormatPr defaultRowHeight="15" x14ac:dyDescent="0.2"/>
  <cols>
    <col min="1" max="1" width="29.86328125" bestFit="1" customWidth="1"/>
    <col min="2" max="2" width="14.52734375" bestFit="1" customWidth="1"/>
    <col min="3" max="3" width="9.81640625" bestFit="1" customWidth="1"/>
    <col min="4" max="4" width="27.3046875" bestFit="1" customWidth="1"/>
    <col min="5" max="5" width="16.140625" bestFit="1" customWidth="1"/>
    <col min="7" max="7" width="27.3046875" bestFit="1" customWidth="1"/>
    <col min="8" max="8" width="16.140625" bestFit="1" customWidth="1"/>
    <col min="9" max="9" width="19.234375" bestFit="1" customWidth="1"/>
    <col min="10" max="10" width="31.07421875" bestFit="1" customWidth="1"/>
    <col min="11" max="11" width="19.1015625" bestFit="1" customWidth="1"/>
    <col min="12" max="12" width="19.90625" bestFit="1" customWidth="1"/>
    <col min="13" max="13" width="31.07421875" bestFit="1" customWidth="1"/>
    <col min="14" max="14" width="17.21875" bestFit="1" customWidth="1"/>
    <col min="15" max="15" width="16.140625" bestFit="1" customWidth="1"/>
    <col min="16" max="16" width="18.16015625" bestFit="1" customWidth="1"/>
    <col min="17" max="17" width="17.21875" bestFit="1" customWidth="1"/>
    <col min="18" max="18" width="20.04296875" bestFit="1" customWidth="1"/>
    <col min="19" max="19" width="22.46484375" bestFit="1" customWidth="1"/>
    <col min="20" max="20" width="16.54296875" bestFit="1" customWidth="1"/>
    <col min="21" max="21" width="17.21875" bestFit="1" customWidth="1"/>
    <col min="22" max="22" width="18.16015625" bestFit="1" customWidth="1"/>
    <col min="23" max="23" width="17.21875" bestFit="1" customWidth="1"/>
    <col min="24" max="24" width="20.04296875" bestFit="1" customWidth="1"/>
    <col min="25" max="25" width="13.5859375" bestFit="1" customWidth="1"/>
    <col min="26" max="26" width="18.16015625" bestFit="1" customWidth="1"/>
    <col min="27" max="27" width="17.21875" bestFit="1" customWidth="1"/>
    <col min="28" max="28" width="18.16015625" bestFit="1" customWidth="1"/>
    <col min="29" max="29" width="17.21875" bestFit="1" customWidth="1"/>
  </cols>
  <sheetData>
    <row r="1" spans="1:23" ht="21.75" thickBot="1" x14ac:dyDescent="0.35">
      <c r="A1" s="20" t="s">
        <v>0</v>
      </c>
      <c r="J1" s="48" t="s">
        <v>47</v>
      </c>
      <c r="K1" s="49"/>
      <c r="L1" s="49"/>
    </row>
    <row r="2" spans="1:23" ht="15.75" thickBot="1" x14ac:dyDescent="0.25">
      <c r="A2" s="20" t="s">
        <v>1</v>
      </c>
      <c r="G2" s="16" t="s">
        <v>23</v>
      </c>
      <c r="H2" s="16" t="s">
        <v>30</v>
      </c>
      <c r="I2" s="16" t="s">
        <v>10</v>
      </c>
      <c r="J2" s="29" t="s">
        <v>35</v>
      </c>
      <c r="K2" s="22" t="s">
        <v>59</v>
      </c>
      <c r="L2" s="22" t="s">
        <v>58</v>
      </c>
      <c r="M2" s="33" t="s">
        <v>36</v>
      </c>
      <c r="N2" s="17" t="s">
        <v>24</v>
      </c>
      <c r="O2" s="16" t="s">
        <v>25</v>
      </c>
      <c r="P2" s="16" t="s">
        <v>26</v>
      </c>
      <c r="Q2" s="16" t="s">
        <v>31</v>
      </c>
      <c r="R2" s="22" t="s">
        <v>38</v>
      </c>
      <c r="S2" s="22" t="s">
        <v>46</v>
      </c>
      <c r="T2" s="22" t="s">
        <v>40</v>
      </c>
      <c r="U2" s="22" t="s">
        <v>41</v>
      </c>
      <c r="V2" s="22" t="s">
        <v>45</v>
      </c>
      <c r="W2" s="23" t="s">
        <v>42</v>
      </c>
    </row>
    <row r="3" spans="1:23" ht="15.75" thickBot="1" x14ac:dyDescent="0.25">
      <c r="G3" s="9">
        <v>0</v>
      </c>
      <c r="H3" s="10">
        <f>B11</f>
        <v>150000000</v>
      </c>
      <c r="I3" s="10">
        <f>B13</f>
        <v>1000000000</v>
      </c>
      <c r="J3" s="32">
        <f>I3</f>
        <v>1000000000</v>
      </c>
      <c r="K3" s="9">
        <f>B15</f>
        <v>45000000</v>
      </c>
      <c r="L3" s="9">
        <f>C15</f>
        <v>30000000</v>
      </c>
      <c r="M3" s="34">
        <f>L3+K3</f>
        <v>75000000</v>
      </c>
      <c r="N3" s="10">
        <f t="shared" ref="N3:N13" si="0">$M3*$B$17</f>
        <v>7500000000</v>
      </c>
      <c r="O3" s="10">
        <f t="shared" ref="O3:O13" si="1">$M3*$B$18</f>
        <v>2700000000</v>
      </c>
      <c r="P3" s="10">
        <f t="shared" ref="P3:P13" si="2">$M3*$C$18</f>
        <v>3600000000</v>
      </c>
      <c r="Q3" s="10">
        <f>C24</f>
        <v>400000000</v>
      </c>
      <c r="R3" s="10">
        <f>B26</f>
        <v>500000000</v>
      </c>
      <c r="S3" s="10">
        <f>$B$33*$C$33</f>
        <v>291840000</v>
      </c>
      <c r="T3" s="10">
        <f t="shared" ref="T3:T13" si="3">R3+Q3+S3</f>
        <v>1191840000</v>
      </c>
      <c r="U3" s="10">
        <f t="shared" ref="U3:U13" si="4">P3+O3+N3</f>
        <v>13800000000</v>
      </c>
      <c r="V3" s="10">
        <f t="shared" ref="V3:V13" si="5">U3-U3*10%</f>
        <v>12420000000</v>
      </c>
      <c r="W3" s="11">
        <f t="shared" ref="W3:W13" si="6">$V3-$T3-$K$16</f>
        <v>9178160000</v>
      </c>
    </row>
    <row r="4" spans="1:23" ht="15.75" thickBot="1" x14ac:dyDescent="0.25">
      <c r="A4" t="s">
        <v>3</v>
      </c>
      <c r="B4" t="s">
        <v>4</v>
      </c>
      <c r="G4" s="9">
        <v>1</v>
      </c>
      <c r="H4" s="10">
        <v>0</v>
      </c>
      <c r="I4" s="10">
        <v>0</v>
      </c>
      <c r="J4" s="32">
        <f t="shared" ref="J4:J13" si="7">$J3-$B$13*$D$13</f>
        <v>920000000</v>
      </c>
      <c r="K4" s="9">
        <f>($K$3*(1+(G4*5%)))</f>
        <v>47250000</v>
      </c>
      <c r="L4" s="9">
        <f>($L$3*(1+(G4*8%)))</f>
        <v>32400000.000000004</v>
      </c>
      <c r="M4" s="34">
        <f t="shared" ref="M4:M13" si="8">L4+K4</f>
        <v>79650000</v>
      </c>
      <c r="N4" s="10">
        <f t="shared" si="0"/>
        <v>7965000000</v>
      </c>
      <c r="O4" s="10">
        <f t="shared" si="1"/>
        <v>2867400000</v>
      </c>
      <c r="P4" s="10">
        <f t="shared" si="2"/>
        <v>3823200000</v>
      </c>
      <c r="Q4" s="10">
        <f t="shared" ref="Q4:Q13" si="9">($Q3*(1+5%))</f>
        <v>420000000</v>
      </c>
      <c r="R4" s="10">
        <f t="shared" ref="R4:R13" si="10">$R3*(1+5%)</f>
        <v>525000000</v>
      </c>
      <c r="S4" s="10">
        <f t="shared" ref="S4:S13" si="11">$B$33*$C$33</f>
        <v>291840000</v>
      </c>
      <c r="T4" s="10">
        <f t="shared" si="3"/>
        <v>1236840000</v>
      </c>
      <c r="U4" s="10">
        <f t="shared" si="4"/>
        <v>14655600000</v>
      </c>
      <c r="V4" s="10">
        <f t="shared" si="5"/>
        <v>13190040000</v>
      </c>
      <c r="W4" s="11">
        <f t="shared" si="6"/>
        <v>9903200000</v>
      </c>
    </row>
    <row r="5" spans="1:23" ht="15.75" thickBot="1" x14ac:dyDescent="0.25">
      <c r="A5" t="s">
        <v>7</v>
      </c>
      <c r="B5" t="s">
        <v>8</v>
      </c>
      <c r="G5" s="9">
        <v>2</v>
      </c>
      <c r="H5" s="10">
        <v>0</v>
      </c>
      <c r="I5" s="10">
        <v>0</v>
      </c>
      <c r="J5" s="32">
        <f t="shared" si="7"/>
        <v>840000000</v>
      </c>
      <c r="K5" s="9">
        <f t="shared" ref="K5:K13" si="12">($K$3*(1+(G5*5%)))</f>
        <v>49500000.000000007</v>
      </c>
      <c r="L5" s="9">
        <f t="shared" ref="L5:L13" si="13">($L$3*(1+(G5*8%)))</f>
        <v>34800000</v>
      </c>
      <c r="M5" s="34">
        <f t="shared" si="8"/>
        <v>84300000</v>
      </c>
      <c r="N5" s="10">
        <f t="shared" si="0"/>
        <v>8430000000</v>
      </c>
      <c r="O5" s="10">
        <f t="shared" si="1"/>
        <v>3034800000</v>
      </c>
      <c r="P5" s="10">
        <f t="shared" si="2"/>
        <v>4046400000</v>
      </c>
      <c r="Q5" s="10">
        <f t="shared" si="9"/>
        <v>441000000</v>
      </c>
      <c r="R5" s="10">
        <f t="shared" si="10"/>
        <v>551250000</v>
      </c>
      <c r="S5" s="10">
        <f t="shared" si="11"/>
        <v>291840000</v>
      </c>
      <c r="T5" s="10">
        <f t="shared" si="3"/>
        <v>1284090000</v>
      </c>
      <c r="U5" s="10">
        <f t="shared" si="4"/>
        <v>15511200000</v>
      </c>
      <c r="V5" s="10">
        <f t="shared" si="5"/>
        <v>13960080000</v>
      </c>
      <c r="W5" s="11">
        <f t="shared" si="6"/>
        <v>10625990000</v>
      </c>
    </row>
    <row r="6" spans="1:23" ht="15.75" thickBot="1" x14ac:dyDescent="0.25">
      <c r="G6" s="9">
        <v>3</v>
      </c>
      <c r="H6" s="10">
        <v>0</v>
      </c>
      <c r="I6" s="10">
        <v>0</v>
      </c>
      <c r="J6" s="32">
        <f t="shared" si="7"/>
        <v>760000000</v>
      </c>
      <c r="K6" s="9">
        <f t="shared" si="12"/>
        <v>51749999.999999993</v>
      </c>
      <c r="L6" s="9">
        <f t="shared" si="13"/>
        <v>37200000</v>
      </c>
      <c r="M6" s="34">
        <f t="shared" si="8"/>
        <v>88950000</v>
      </c>
      <c r="N6" s="10">
        <f t="shared" si="0"/>
        <v>8895000000</v>
      </c>
      <c r="O6" s="10">
        <f t="shared" si="1"/>
        <v>3202200000</v>
      </c>
      <c r="P6" s="10">
        <f t="shared" si="2"/>
        <v>4269600000</v>
      </c>
      <c r="Q6" s="10">
        <f t="shared" si="9"/>
        <v>463050000</v>
      </c>
      <c r="R6" s="10">
        <f t="shared" si="10"/>
        <v>578812500</v>
      </c>
      <c r="S6" s="10">
        <f t="shared" si="11"/>
        <v>291840000</v>
      </c>
      <c r="T6" s="10">
        <f t="shared" si="3"/>
        <v>1333702500</v>
      </c>
      <c r="U6" s="10">
        <f t="shared" si="4"/>
        <v>16366800000</v>
      </c>
      <c r="V6" s="10">
        <f t="shared" si="5"/>
        <v>14730120000</v>
      </c>
      <c r="W6" s="11">
        <f t="shared" si="6"/>
        <v>11346417500</v>
      </c>
    </row>
    <row r="7" spans="1:23" ht="15.75" thickBot="1" x14ac:dyDescent="0.25">
      <c r="A7" t="s">
        <v>2</v>
      </c>
      <c r="B7" s="1">
        <v>3.0000000000000001E-3</v>
      </c>
      <c r="G7" s="9">
        <v>4</v>
      </c>
      <c r="H7" s="10">
        <v>0</v>
      </c>
      <c r="I7" s="10">
        <v>0</v>
      </c>
      <c r="J7" s="32">
        <f t="shared" si="7"/>
        <v>680000000</v>
      </c>
      <c r="K7" s="9">
        <f t="shared" si="12"/>
        <v>54000000</v>
      </c>
      <c r="L7" s="9">
        <f t="shared" si="13"/>
        <v>39600000</v>
      </c>
      <c r="M7" s="34">
        <f t="shared" si="8"/>
        <v>93600000</v>
      </c>
      <c r="N7" s="10">
        <f t="shared" si="0"/>
        <v>9360000000</v>
      </c>
      <c r="O7" s="10">
        <f t="shared" si="1"/>
        <v>3369600000</v>
      </c>
      <c r="P7" s="10">
        <f t="shared" si="2"/>
        <v>4492800000</v>
      </c>
      <c r="Q7" s="10">
        <f t="shared" si="9"/>
        <v>486202500</v>
      </c>
      <c r="R7" s="10">
        <f t="shared" si="10"/>
        <v>607753125</v>
      </c>
      <c r="S7" s="10">
        <f t="shared" si="11"/>
        <v>291840000</v>
      </c>
      <c r="T7" s="10">
        <f t="shared" si="3"/>
        <v>1385795625</v>
      </c>
      <c r="U7" s="10">
        <f t="shared" si="4"/>
        <v>17222400000</v>
      </c>
      <c r="V7" s="10">
        <f t="shared" si="5"/>
        <v>15500160000</v>
      </c>
      <c r="W7" s="11">
        <f t="shared" si="6"/>
        <v>12064364375</v>
      </c>
    </row>
    <row r="8" spans="1:23" ht="15.75" thickBot="1" x14ac:dyDescent="0.25">
      <c r="A8" t="s">
        <v>5</v>
      </c>
      <c r="B8">
        <v>650000000</v>
      </c>
      <c r="G8" s="9">
        <v>5</v>
      </c>
      <c r="H8" s="10">
        <v>0</v>
      </c>
      <c r="I8" s="10">
        <v>0</v>
      </c>
      <c r="J8" s="32">
        <f t="shared" si="7"/>
        <v>600000000</v>
      </c>
      <c r="K8" s="9">
        <f t="shared" si="12"/>
        <v>56250000</v>
      </c>
      <c r="L8" s="9">
        <f t="shared" si="13"/>
        <v>42000000</v>
      </c>
      <c r="M8" s="34">
        <f t="shared" si="8"/>
        <v>98250000</v>
      </c>
      <c r="N8" s="10">
        <f t="shared" si="0"/>
        <v>9825000000</v>
      </c>
      <c r="O8" s="10">
        <f t="shared" si="1"/>
        <v>3537000000</v>
      </c>
      <c r="P8" s="10">
        <f t="shared" si="2"/>
        <v>4716000000</v>
      </c>
      <c r="Q8" s="10">
        <f t="shared" si="9"/>
        <v>510512625</v>
      </c>
      <c r="R8" s="10">
        <f t="shared" si="10"/>
        <v>638140781.25</v>
      </c>
      <c r="S8" s="10">
        <f t="shared" si="11"/>
        <v>291840000</v>
      </c>
      <c r="T8" s="10">
        <f t="shared" si="3"/>
        <v>1440493406.25</v>
      </c>
      <c r="U8" s="10">
        <f t="shared" si="4"/>
        <v>18078000000</v>
      </c>
      <c r="V8" s="10">
        <f t="shared" si="5"/>
        <v>16270200000</v>
      </c>
      <c r="W8" s="11">
        <f t="shared" si="6"/>
        <v>12779706593.75</v>
      </c>
    </row>
    <row r="9" spans="1:23" ht="15.75" thickBot="1" x14ac:dyDescent="0.25">
      <c r="A9" t="s">
        <v>6</v>
      </c>
      <c r="B9">
        <v>22000000000</v>
      </c>
      <c r="G9" s="9">
        <v>6</v>
      </c>
      <c r="H9" s="10">
        <v>0</v>
      </c>
      <c r="I9" s="10">
        <v>0</v>
      </c>
      <c r="J9" s="32">
        <f t="shared" si="7"/>
        <v>520000000</v>
      </c>
      <c r="K9" s="9">
        <f t="shared" si="12"/>
        <v>58500000</v>
      </c>
      <c r="L9" s="9">
        <f t="shared" si="13"/>
        <v>44400000</v>
      </c>
      <c r="M9" s="34">
        <f t="shared" si="8"/>
        <v>102900000</v>
      </c>
      <c r="N9" s="10">
        <f t="shared" si="0"/>
        <v>10290000000</v>
      </c>
      <c r="O9" s="10">
        <f t="shared" si="1"/>
        <v>3704400000</v>
      </c>
      <c r="P9" s="10">
        <f t="shared" si="2"/>
        <v>4939200000</v>
      </c>
      <c r="Q9" s="10">
        <f t="shared" si="9"/>
        <v>536038256.25</v>
      </c>
      <c r="R9" s="10">
        <f t="shared" si="10"/>
        <v>670047820.3125</v>
      </c>
      <c r="S9" s="10">
        <f t="shared" si="11"/>
        <v>291840000</v>
      </c>
      <c r="T9" s="10">
        <f t="shared" si="3"/>
        <v>1497926076.5625</v>
      </c>
      <c r="U9" s="10">
        <f t="shared" si="4"/>
        <v>18933600000</v>
      </c>
      <c r="V9" s="10">
        <f t="shared" si="5"/>
        <v>17040240000</v>
      </c>
      <c r="W9" s="11">
        <f t="shared" si="6"/>
        <v>13492313923.4375</v>
      </c>
    </row>
    <row r="10" spans="1:23" ht="15.75" thickBot="1" x14ac:dyDescent="0.25">
      <c r="G10" s="9">
        <v>7</v>
      </c>
      <c r="H10" s="10">
        <v>0</v>
      </c>
      <c r="I10" s="10">
        <v>0</v>
      </c>
      <c r="J10" s="32">
        <f t="shared" si="7"/>
        <v>440000000</v>
      </c>
      <c r="K10" s="9">
        <f t="shared" si="12"/>
        <v>60750000.000000007</v>
      </c>
      <c r="L10" s="9">
        <f>($L$3*(1+(G10*8%)))</f>
        <v>46800000</v>
      </c>
      <c r="M10" s="34">
        <f t="shared" si="8"/>
        <v>107550000</v>
      </c>
      <c r="N10" s="10">
        <f t="shared" si="0"/>
        <v>10755000000</v>
      </c>
      <c r="O10" s="10">
        <f t="shared" si="1"/>
        <v>3871800000</v>
      </c>
      <c r="P10" s="10">
        <f t="shared" si="2"/>
        <v>5162400000</v>
      </c>
      <c r="Q10" s="10">
        <f t="shared" si="9"/>
        <v>562840169.0625</v>
      </c>
      <c r="R10" s="10">
        <f t="shared" si="10"/>
        <v>703550211.328125</v>
      </c>
      <c r="S10" s="10">
        <f t="shared" si="11"/>
        <v>291840000</v>
      </c>
      <c r="T10" s="10">
        <f t="shared" si="3"/>
        <v>1558230380.390625</v>
      </c>
      <c r="U10" s="10">
        <f t="shared" si="4"/>
        <v>19789200000</v>
      </c>
      <c r="V10" s="10">
        <f t="shared" si="5"/>
        <v>17810280000</v>
      </c>
      <c r="W10" s="11">
        <f t="shared" si="6"/>
        <v>14202049619.609375</v>
      </c>
    </row>
    <row r="11" spans="1:23" ht="15.75" thickBot="1" x14ac:dyDescent="0.25">
      <c r="A11" t="s">
        <v>9</v>
      </c>
      <c r="B11">
        <v>150000000</v>
      </c>
      <c r="G11" s="9">
        <v>8</v>
      </c>
      <c r="H11" s="10">
        <v>0</v>
      </c>
      <c r="I11" s="10">
        <v>0</v>
      </c>
      <c r="J11" s="32">
        <f t="shared" si="7"/>
        <v>360000000</v>
      </c>
      <c r="K11" s="9">
        <f t="shared" si="12"/>
        <v>62999999.999999993</v>
      </c>
      <c r="L11" s="9">
        <f t="shared" si="13"/>
        <v>49200000.000000007</v>
      </c>
      <c r="M11" s="34">
        <f t="shared" si="8"/>
        <v>112200000</v>
      </c>
      <c r="N11" s="10">
        <f t="shared" si="0"/>
        <v>11220000000</v>
      </c>
      <c r="O11" s="10">
        <f t="shared" si="1"/>
        <v>4039200000</v>
      </c>
      <c r="P11" s="10">
        <f t="shared" si="2"/>
        <v>5385600000</v>
      </c>
      <c r="Q11" s="10">
        <f t="shared" si="9"/>
        <v>590982177.515625</v>
      </c>
      <c r="R11" s="10">
        <f t="shared" si="10"/>
        <v>738727721.89453125</v>
      </c>
      <c r="S11" s="10">
        <f t="shared" si="11"/>
        <v>291840000</v>
      </c>
      <c r="T11" s="10">
        <f t="shared" si="3"/>
        <v>1621549899.4101562</v>
      </c>
      <c r="U11" s="10">
        <f t="shared" si="4"/>
        <v>20644800000</v>
      </c>
      <c r="V11" s="10">
        <f t="shared" si="5"/>
        <v>18580320000</v>
      </c>
      <c r="W11" s="11">
        <f t="shared" si="6"/>
        <v>14908770100.589844</v>
      </c>
    </row>
    <row r="12" spans="1:23" ht="15.75" thickBot="1" x14ac:dyDescent="0.25">
      <c r="G12" s="9">
        <v>9</v>
      </c>
      <c r="H12" s="10">
        <v>0</v>
      </c>
      <c r="I12" s="10">
        <v>0</v>
      </c>
      <c r="J12" s="32">
        <f t="shared" si="7"/>
        <v>280000000</v>
      </c>
      <c r="K12" s="9">
        <f t="shared" si="12"/>
        <v>65250000</v>
      </c>
      <c r="L12" s="9">
        <f t="shared" si="13"/>
        <v>51600000</v>
      </c>
      <c r="M12" s="34">
        <f t="shared" si="8"/>
        <v>116850000</v>
      </c>
      <c r="N12" s="10">
        <f t="shared" si="0"/>
        <v>11685000000</v>
      </c>
      <c r="O12" s="10">
        <f t="shared" si="1"/>
        <v>4206600000</v>
      </c>
      <c r="P12" s="10">
        <f t="shared" si="2"/>
        <v>5608800000</v>
      </c>
      <c r="Q12" s="10">
        <f t="shared" si="9"/>
        <v>620531286.3914063</v>
      </c>
      <c r="R12" s="10">
        <f t="shared" si="10"/>
        <v>775664107.98925781</v>
      </c>
      <c r="S12" s="10">
        <f t="shared" si="11"/>
        <v>291840000</v>
      </c>
      <c r="T12" s="10">
        <f t="shared" si="3"/>
        <v>1688035394.3806641</v>
      </c>
      <c r="U12" s="10">
        <f t="shared" si="4"/>
        <v>21500400000</v>
      </c>
      <c r="V12" s="10">
        <f t="shared" si="5"/>
        <v>19350360000</v>
      </c>
      <c r="W12" s="11">
        <f t="shared" si="6"/>
        <v>15612324605.619335</v>
      </c>
    </row>
    <row r="13" spans="1:23" ht="15.75" thickBot="1" x14ac:dyDescent="0.25">
      <c r="A13" t="s">
        <v>10</v>
      </c>
      <c r="B13">
        <v>1000000000</v>
      </c>
      <c r="C13">
        <v>200000000</v>
      </c>
      <c r="D13" s="2">
        <f>(1-(C13/(B13)))/10</f>
        <v>0.08</v>
      </c>
      <c r="G13" s="9">
        <v>10</v>
      </c>
      <c r="H13" s="10">
        <v>0</v>
      </c>
      <c r="I13" s="10">
        <v>0</v>
      </c>
      <c r="J13" s="32">
        <f t="shared" si="7"/>
        <v>200000000</v>
      </c>
      <c r="K13" s="9">
        <f t="shared" si="12"/>
        <v>67500000</v>
      </c>
      <c r="L13" s="9">
        <f t="shared" si="13"/>
        <v>54000000</v>
      </c>
      <c r="M13" s="34">
        <f t="shared" si="8"/>
        <v>121500000</v>
      </c>
      <c r="N13" s="10">
        <f t="shared" si="0"/>
        <v>12150000000</v>
      </c>
      <c r="O13" s="10">
        <f t="shared" si="1"/>
        <v>4374000000</v>
      </c>
      <c r="P13" s="10">
        <f t="shared" si="2"/>
        <v>5832000000</v>
      </c>
      <c r="Q13" s="10">
        <f t="shared" si="9"/>
        <v>651557850.7109766</v>
      </c>
      <c r="R13" s="10">
        <f t="shared" si="10"/>
        <v>814447313.38872075</v>
      </c>
      <c r="S13" s="10">
        <f t="shared" si="11"/>
        <v>291840000</v>
      </c>
      <c r="T13" s="10">
        <f t="shared" si="3"/>
        <v>1757845164.0996974</v>
      </c>
      <c r="U13" s="10">
        <f t="shared" si="4"/>
        <v>22356000000</v>
      </c>
      <c r="V13" s="10">
        <f t="shared" si="5"/>
        <v>20120400000</v>
      </c>
      <c r="W13" s="11">
        <f t="shared" si="6"/>
        <v>16312554835.900303</v>
      </c>
    </row>
    <row r="15" spans="1:23" x14ac:dyDescent="0.2">
      <c r="A15" t="s">
        <v>11</v>
      </c>
      <c r="B15">
        <v>45000000</v>
      </c>
      <c r="C15">
        <v>30000000</v>
      </c>
    </row>
    <row r="16" spans="1:23" x14ac:dyDescent="0.2">
      <c r="J16" s="14" t="s">
        <v>39</v>
      </c>
      <c r="K16" s="15">
        <f>H3+I3+Q3+R3</f>
        <v>2050000000</v>
      </c>
      <c r="S16" s="8"/>
    </row>
    <row r="17" spans="1:29" x14ac:dyDescent="0.2">
      <c r="A17" t="s">
        <v>12</v>
      </c>
      <c r="B17">
        <v>100</v>
      </c>
    </row>
    <row r="18" spans="1:29" ht="15.75" thickBot="1" x14ac:dyDescent="0.25">
      <c r="B18">
        <v>36</v>
      </c>
      <c r="C18">
        <v>48</v>
      </c>
      <c r="P18" s="8"/>
      <c r="Q18" s="8"/>
      <c r="R18" s="8"/>
      <c r="S18" s="8"/>
    </row>
    <row r="19" spans="1:29" ht="21.75" thickBot="1" x14ac:dyDescent="0.35">
      <c r="J19" s="48" t="s">
        <v>48</v>
      </c>
      <c r="K19" s="48"/>
      <c r="L19" s="48"/>
      <c r="R19" s="8"/>
      <c r="S19" s="55" t="s">
        <v>31</v>
      </c>
      <c r="T19" s="56"/>
      <c r="U19" s="57"/>
      <c r="V19" s="8"/>
      <c r="W19" s="7"/>
    </row>
    <row r="20" spans="1:29" ht="15.75" thickBot="1" x14ac:dyDescent="0.25">
      <c r="A20" t="s">
        <v>13</v>
      </c>
      <c r="B20">
        <v>5000000</v>
      </c>
      <c r="C20" s="3">
        <v>0.08</v>
      </c>
      <c r="D20">
        <f>48*60%</f>
        <v>28.799999999999997</v>
      </c>
      <c r="G20" s="16" t="s">
        <v>23</v>
      </c>
      <c r="H20" s="16"/>
      <c r="I20" s="16"/>
      <c r="J20" s="16"/>
      <c r="K20" s="22" t="s">
        <v>59</v>
      </c>
      <c r="L20" s="22" t="s">
        <v>58</v>
      </c>
      <c r="M20" s="16" t="s">
        <v>37</v>
      </c>
      <c r="N20" s="16" t="s">
        <v>27</v>
      </c>
      <c r="O20" s="16" t="s">
        <v>43</v>
      </c>
      <c r="P20" s="17" t="s">
        <v>24</v>
      </c>
      <c r="Q20" s="16" t="s">
        <v>25</v>
      </c>
      <c r="R20" s="16" t="s">
        <v>26</v>
      </c>
      <c r="S20" s="16" t="s">
        <v>28</v>
      </c>
      <c r="T20" s="16" t="s">
        <v>29</v>
      </c>
      <c r="U20" s="16" t="s">
        <v>32</v>
      </c>
      <c r="V20" s="16" t="s">
        <v>33</v>
      </c>
      <c r="W20" s="16" t="s">
        <v>34</v>
      </c>
      <c r="X20" s="24" t="s">
        <v>38</v>
      </c>
      <c r="Y20" s="22" t="s">
        <v>18</v>
      </c>
      <c r="Z20" s="22" t="s">
        <v>40</v>
      </c>
      <c r="AA20" s="22" t="s">
        <v>41</v>
      </c>
      <c r="AB20" s="22" t="s">
        <v>45</v>
      </c>
      <c r="AC20" s="23" t="s">
        <v>42</v>
      </c>
    </row>
    <row r="21" spans="1:29" ht="15.75" thickBot="1" x14ac:dyDescent="0.25">
      <c r="G21" s="9">
        <v>0</v>
      </c>
      <c r="H21" s="12"/>
      <c r="I21" s="12"/>
      <c r="J21" s="12"/>
      <c r="K21" s="9">
        <f>B15</f>
        <v>45000000</v>
      </c>
      <c r="L21" s="9">
        <f>C15</f>
        <v>30000000</v>
      </c>
      <c r="M21" s="12">
        <f>B15+C15</f>
        <v>75000000</v>
      </c>
      <c r="N21" s="12">
        <v>0</v>
      </c>
      <c r="O21" s="12">
        <f>N21+M21</f>
        <v>75000000</v>
      </c>
      <c r="P21" s="12">
        <f t="shared" ref="P21:P84" si="14">$O21*$B$17</f>
        <v>7500000000</v>
      </c>
      <c r="Q21" s="12">
        <f t="shared" ref="Q21:Q84" si="15">$O21*$B$18</f>
        <v>2700000000</v>
      </c>
      <c r="R21" s="12">
        <f t="shared" ref="R21:R84" si="16">$O21*$C$18</f>
        <v>3600000000</v>
      </c>
      <c r="S21" s="12">
        <f t="shared" ref="S21:S31" si="17">P3*60%</f>
        <v>2160000000</v>
      </c>
      <c r="T21" s="12">
        <f>C22</f>
        <v>600000000</v>
      </c>
      <c r="U21" s="12">
        <f>C24</f>
        <v>400000000</v>
      </c>
      <c r="V21" s="12">
        <f>$D$24</f>
        <v>40000000</v>
      </c>
      <c r="W21" s="12">
        <f t="shared" ref="W21:W31" si="18">Q3+V21</f>
        <v>440000000</v>
      </c>
      <c r="X21" s="12">
        <f>B26</f>
        <v>500000000</v>
      </c>
      <c r="Y21" s="12">
        <f>B30</f>
        <v>30000000</v>
      </c>
      <c r="Z21" s="12">
        <f>X21+W21-Y21</f>
        <v>910000000</v>
      </c>
      <c r="AA21" s="12">
        <f t="shared" ref="AA21:AA61" si="19">S21+R21+Q21+P21</f>
        <v>15960000000</v>
      </c>
      <c r="AB21" s="12">
        <f>AA21-AA21*10%</f>
        <v>14364000000</v>
      </c>
      <c r="AC21" s="13">
        <f t="shared" ref="AC21:AC31" si="20">$AB21-$Z21-$E$34</f>
        <v>11914000000</v>
      </c>
    </row>
    <row r="22" spans="1:29" ht="15.75" thickBot="1" x14ac:dyDescent="0.25">
      <c r="A22" t="s">
        <v>14</v>
      </c>
      <c r="B22" s="3">
        <v>0.65</v>
      </c>
      <c r="C22">
        <v>600000000</v>
      </c>
      <c r="G22" s="9">
        <v>1</v>
      </c>
      <c r="H22" s="12"/>
      <c r="I22" s="12"/>
      <c r="J22" s="12"/>
      <c r="K22" s="9">
        <f>($K$21*(1+$G22*5%))</f>
        <v>47250000</v>
      </c>
      <c r="L22" s="9">
        <f>($L$21*(1+$G22*10%))</f>
        <v>33000000.000000004</v>
      </c>
      <c r="M22" s="12">
        <f>($B$15*(1+G22*5%))+($C$15*(1+G22*10%))</f>
        <v>80250000</v>
      </c>
      <c r="N22" s="12">
        <f>B20</f>
        <v>5000000</v>
      </c>
      <c r="O22" s="12">
        <f t="shared" ref="O22:O85" si="21">N22+M22</f>
        <v>85250000</v>
      </c>
      <c r="P22" s="12">
        <f t="shared" si="14"/>
        <v>8525000000</v>
      </c>
      <c r="Q22" s="12">
        <f t="shared" si="15"/>
        <v>3069000000</v>
      </c>
      <c r="R22" s="12">
        <f t="shared" si="16"/>
        <v>4092000000</v>
      </c>
      <c r="S22" s="12">
        <f t="shared" si="17"/>
        <v>2293920000</v>
      </c>
      <c r="T22" s="12">
        <v>0</v>
      </c>
      <c r="U22" s="12">
        <f t="shared" ref="U22:U31" si="22">$U21*(1+5%)</f>
        <v>420000000</v>
      </c>
      <c r="V22" s="12">
        <f t="shared" ref="V22:V31" si="23">$V21*(1+10%)</f>
        <v>44000000</v>
      </c>
      <c r="W22" s="12">
        <f t="shared" si="18"/>
        <v>464000000</v>
      </c>
      <c r="X22" s="12">
        <f t="shared" ref="X22:X61" si="24">$X21*(1+15%)</f>
        <v>575000000</v>
      </c>
      <c r="Y22" s="12">
        <f t="shared" ref="Y22:Y61" si="25">$Y21*(1+3%)</f>
        <v>30900000</v>
      </c>
      <c r="Z22" s="12">
        <f>X22+W22-Y22</f>
        <v>1008100000</v>
      </c>
      <c r="AA22" s="12">
        <f t="shared" si="19"/>
        <v>17979920000</v>
      </c>
      <c r="AB22" s="12">
        <f>AA22-AA22*10%</f>
        <v>16181928000</v>
      </c>
      <c r="AC22" s="13">
        <f t="shared" si="20"/>
        <v>13633828000</v>
      </c>
    </row>
    <row r="23" spans="1:29" ht="15.75" thickBot="1" x14ac:dyDescent="0.25">
      <c r="G23" s="9">
        <v>2</v>
      </c>
      <c r="H23" s="12"/>
      <c r="I23" s="12"/>
      <c r="J23" s="12"/>
      <c r="K23" s="9">
        <f t="shared" ref="K23:K86" si="26">($K$21*(1+$G23*5%))</f>
        <v>49500000.000000007</v>
      </c>
      <c r="L23" s="9">
        <f t="shared" ref="L23:L86" si="27">($L$21*(1+$G23*10%))</f>
        <v>36000000</v>
      </c>
      <c r="M23" s="12">
        <f t="shared" ref="M23:M86" si="28">($B$15*(1+G23*5%))+($C$15*(1+G23*10%))</f>
        <v>85500000</v>
      </c>
      <c r="N23" s="12">
        <f>$N22*(1+$C$20)</f>
        <v>5400000</v>
      </c>
      <c r="O23" s="12">
        <f t="shared" si="21"/>
        <v>90900000</v>
      </c>
      <c r="P23" s="12">
        <f t="shared" si="14"/>
        <v>9090000000</v>
      </c>
      <c r="Q23" s="12">
        <f t="shared" si="15"/>
        <v>3272400000</v>
      </c>
      <c r="R23" s="12">
        <f t="shared" si="16"/>
        <v>4363200000</v>
      </c>
      <c r="S23" s="12">
        <f t="shared" si="17"/>
        <v>2427840000</v>
      </c>
      <c r="T23" s="12">
        <f t="shared" ref="T23:T31" si="29">$T22*(1+INFLATION)</f>
        <v>0</v>
      </c>
      <c r="U23" s="12">
        <f t="shared" si="22"/>
        <v>441000000</v>
      </c>
      <c r="V23" s="12">
        <f t="shared" si="23"/>
        <v>48400000.000000007</v>
      </c>
      <c r="W23" s="12">
        <f t="shared" si="18"/>
        <v>489400000</v>
      </c>
      <c r="X23" s="12">
        <f t="shared" si="24"/>
        <v>661250000</v>
      </c>
      <c r="Y23" s="12">
        <f t="shared" si="25"/>
        <v>31827000</v>
      </c>
      <c r="Z23" s="12">
        <f t="shared" ref="Z23:Z61" si="30">X23+W23-Y23</f>
        <v>1118823000</v>
      </c>
      <c r="AA23" s="12">
        <f t="shared" si="19"/>
        <v>19153440000</v>
      </c>
      <c r="AB23" s="12">
        <f t="shared" ref="AB23:AB61" si="31">AA23-AA23*10%</f>
        <v>17238096000</v>
      </c>
      <c r="AC23" s="13">
        <f t="shared" si="20"/>
        <v>14579273000</v>
      </c>
    </row>
    <row r="24" spans="1:29" ht="15.75" thickBot="1" x14ac:dyDescent="0.25">
      <c r="A24" t="s">
        <v>15</v>
      </c>
      <c r="B24" s="3">
        <v>0.1</v>
      </c>
      <c r="C24" s="5">
        <v>400000000</v>
      </c>
      <c r="D24">
        <v>40000000</v>
      </c>
      <c r="G24" s="9">
        <v>3</v>
      </c>
      <c r="H24" s="12"/>
      <c r="I24" s="12"/>
      <c r="J24" s="12"/>
      <c r="K24" s="9">
        <f t="shared" si="26"/>
        <v>51749999.999999993</v>
      </c>
      <c r="L24" s="9">
        <f t="shared" si="27"/>
        <v>39000000</v>
      </c>
      <c r="M24" s="12">
        <f t="shared" si="28"/>
        <v>90750000</v>
      </c>
      <c r="N24" s="12">
        <f t="shared" ref="N24:N86" si="32">$N23*(1+$C$20)</f>
        <v>5832000</v>
      </c>
      <c r="O24" s="12">
        <f t="shared" si="21"/>
        <v>96582000</v>
      </c>
      <c r="P24" s="12">
        <f t="shared" si="14"/>
        <v>9658200000</v>
      </c>
      <c r="Q24" s="12">
        <f t="shared" si="15"/>
        <v>3476952000</v>
      </c>
      <c r="R24" s="12">
        <f t="shared" si="16"/>
        <v>4635936000</v>
      </c>
      <c r="S24" s="12">
        <f t="shared" si="17"/>
        <v>2561760000</v>
      </c>
      <c r="T24" s="12">
        <f t="shared" si="29"/>
        <v>0</v>
      </c>
      <c r="U24" s="12">
        <f t="shared" si="22"/>
        <v>463050000</v>
      </c>
      <c r="V24" s="12">
        <f t="shared" si="23"/>
        <v>53240000.000000015</v>
      </c>
      <c r="W24" s="12">
        <f t="shared" si="18"/>
        <v>516290000</v>
      </c>
      <c r="X24" s="12">
        <f t="shared" si="24"/>
        <v>760437500</v>
      </c>
      <c r="Y24" s="12">
        <f t="shared" si="25"/>
        <v>32781810</v>
      </c>
      <c r="Z24" s="12">
        <f t="shared" si="30"/>
        <v>1243945690</v>
      </c>
      <c r="AA24" s="12">
        <f t="shared" si="19"/>
        <v>20332848000</v>
      </c>
      <c r="AB24" s="12">
        <f t="shared" si="31"/>
        <v>18299563200</v>
      </c>
      <c r="AC24" s="13">
        <f t="shared" si="20"/>
        <v>15515617510</v>
      </c>
    </row>
    <row r="25" spans="1:29" ht="15.75" thickBot="1" x14ac:dyDescent="0.25">
      <c r="G25" s="9">
        <v>4</v>
      </c>
      <c r="H25" s="12"/>
      <c r="I25" s="12"/>
      <c r="J25" s="12"/>
      <c r="K25" s="9">
        <f t="shared" si="26"/>
        <v>54000000</v>
      </c>
      <c r="L25" s="9">
        <f t="shared" si="27"/>
        <v>42000000</v>
      </c>
      <c r="M25" s="12">
        <f t="shared" si="28"/>
        <v>96000000</v>
      </c>
      <c r="N25" s="12">
        <f t="shared" si="32"/>
        <v>6298560</v>
      </c>
      <c r="O25" s="12">
        <f t="shared" si="21"/>
        <v>102298560</v>
      </c>
      <c r="P25" s="12">
        <f t="shared" si="14"/>
        <v>10229856000</v>
      </c>
      <c r="Q25" s="12">
        <f t="shared" si="15"/>
        <v>3682748160</v>
      </c>
      <c r="R25" s="12">
        <f t="shared" si="16"/>
        <v>4910330880</v>
      </c>
      <c r="S25" s="12">
        <f t="shared" si="17"/>
        <v>2695680000</v>
      </c>
      <c r="T25" s="12">
        <f t="shared" si="29"/>
        <v>0</v>
      </c>
      <c r="U25" s="12">
        <f t="shared" si="22"/>
        <v>486202500</v>
      </c>
      <c r="V25" s="12">
        <f t="shared" si="23"/>
        <v>58564000.000000022</v>
      </c>
      <c r="W25" s="12">
        <f t="shared" si="18"/>
        <v>544766500</v>
      </c>
      <c r="X25" s="12">
        <f t="shared" si="24"/>
        <v>874503124.99999988</v>
      </c>
      <c r="Y25" s="12">
        <f t="shared" si="25"/>
        <v>33765264.300000004</v>
      </c>
      <c r="Z25" s="12">
        <f t="shared" si="30"/>
        <v>1385504360.7</v>
      </c>
      <c r="AA25" s="12">
        <f t="shared" si="19"/>
        <v>21518615040</v>
      </c>
      <c r="AB25" s="12">
        <f t="shared" si="31"/>
        <v>19366753536</v>
      </c>
      <c r="AC25" s="13">
        <f t="shared" si="20"/>
        <v>16441249175.299999</v>
      </c>
    </row>
    <row r="26" spans="1:29" ht="15.75" thickBot="1" x14ac:dyDescent="0.25">
      <c r="A26" t="s">
        <v>16</v>
      </c>
      <c r="B26">
        <v>500000000</v>
      </c>
      <c r="C26" s="3">
        <v>0.05</v>
      </c>
      <c r="D26" s="3">
        <v>0.15</v>
      </c>
      <c r="G26" s="9">
        <v>5</v>
      </c>
      <c r="H26" s="12"/>
      <c r="I26" s="12"/>
      <c r="J26" s="12"/>
      <c r="K26" s="9">
        <f t="shared" si="26"/>
        <v>56250000</v>
      </c>
      <c r="L26" s="9">
        <f t="shared" si="27"/>
        <v>45000000</v>
      </c>
      <c r="M26" s="12">
        <f t="shared" si="28"/>
        <v>101250000</v>
      </c>
      <c r="N26" s="12">
        <f t="shared" si="32"/>
        <v>6802444.8000000007</v>
      </c>
      <c r="O26" s="12">
        <f t="shared" si="21"/>
        <v>108052444.8</v>
      </c>
      <c r="P26" s="12">
        <f t="shared" si="14"/>
        <v>10805244480</v>
      </c>
      <c r="Q26" s="12">
        <f t="shared" si="15"/>
        <v>3889888012.7999997</v>
      </c>
      <c r="R26" s="12">
        <f t="shared" si="16"/>
        <v>5186517350.3999996</v>
      </c>
      <c r="S26" s="12">
        <f t="shared" si="17"/>
        <v>2829600000</v>
      </c>
      <c r="T26" s="12">
        <f t="shared" si="29"/>
        <v>0</v>
      </c>
      <c r="U26" s="12">
        <f t="shared" si="22"/>
        <v>510512625</v>
      </c>
      <c r="V26" s="12">
        <f t="shared" si="23"/>
        <v>64420400.00000003</v>
      </c>
      <c r="W26" s="12">
        <f t="shared" si="18"/>
        <v>574933025</v>
      </c>
      <c r="X26" s="12">
        <f t="shared" si="24"/>
        <v>1005678593.7499998</v>
      </c>
      <c r="Y26" s="12">
        <f t="shared" si="25"/>
        <v>34778222.229000002</v>
      </c>
      <c r="Z26" s="12">
        <f t="shared" si="30"/>
        <v>1545833396.5209997</v>
      </c>
      <c r="AA26" s="12">
        <f t="shared" si="19"/>
        <v>22711249843.199997</v>
      </c>
      <c r="AB26" s="12">
        <f t="shared" si="31"/>
        <v>20440124858.879997</v>
      </c>
      <c r="AC26" s="13">
        <f t="shared" si="20"/>
        <v>17354291462.358997</v>
      </c>
    </row>
    <row r="27" spans="1:29" ht="15.75" thickBot="1" x14ac:dyDescent="0.25">
      <c r="G27" s="9">
        <v>6</v>
      </c>
      <c r="H27" s="12"/>
      <c r="I27" s="12"/>
      <c r="J27" s="12"/>
      <c r="K27" s="9">
        <f t="shared" si="26"/>
        <v>58500000</v>
      </c>
      <c r="L27" s="9">
        <f t="shared" si="27"/>
        <v>48000000</v>
      </c>
      <c r="M27" s="12">
        <f t="shared" si="28"/>
        <v>106500000</v>
      </c>
      <c r="N27" s="12">
        <f t="shared" si="32"/>
        <v>7346640.3840000015</v>
      </c>
      <c r="O27" s="12">
        <f t="shared" si="21"/>
        <v>113846640.384</v>
      </c>
      <c r="P27" s="12">
        <f t="shared" si="14"/>
        <v>11384664038.4</v>
      </c>
      <c r="Q27" s="12">
        <f t="shared" si="15"/>
        <v>4098479053.8240004</v>
      </c>
      <c r="R27" s="12">
        <f t="shared" si="16"/>
        <v>5464638738.4320002</v>
      </c>
      <c r="S27" s="12">
        <f t="shared" si="17"/>
        <v>2963520000</v>
      </c>
      <c r="T27" s="12">
        <f t="shared" si="29"/>
        <v>0</v>
      </c>
      <c r="U27" s="12">
        <f t="shared" si="22"/>
        <v>536038256.25</v>
      </c>
      <c r="V27" s="12">
        <f t="shared" si="23"/>
        <v>70862440.000000045</v>
      </c>
      <c r="W27" s="12">
        <f t="shared" si="18"/>
        <v>606900696.25</v>
      </c>
      <c r="X27" s="12">
        <f t="shared" si="24"/>
        <v>1156530382.8124995</v>
      </c>
      <c r="Y27" s="12">
        <f t="shared" si="25"/>
        <v>35821568.89587</v>
      </c>
      <c r="Z27" s="12">
        <f t="shared" si="30"/>
        <v>1727609510.1666296</v>
      </c>
      <c r="AA27" s="12">
        <f t="shared" si="19"/>
        <v>23911301830.655998</v>
      </c>
      <c r="AB27" s="12">
        <f t="shared" si="31"/>
        <v>21520171647.590397</v>
      </c>
      <c r="AC27" s="13">
        <f t="shared" si="20"/>
        <v>18252562137.423767</v>
      </c>
    </row>
    <row r="28" spans="1:29" ht="15.75" thickBot="1" x14ac:dyDescent="0.25">
      <c r="A28" t="s">
        <v>17</v>
      </c>
      <c r="B28" s="3">
        <v>0.05</v>
      </c>
      <c r="C28" s="3">
        <v>0.1</v>
      </c>
      <c r="D28" s="3">
        <v>0.06</v>
      </c>
      <c r="G28" s="9">
        <v>7</v>
      </c>
      <c r="H28" s="12"/>
      <c r="I28" s="12"/>
      <c r="J28" s="12"/>
      <c r="K28" s="9">
        <f t="shared" si="26"/>
        <v>60750000.000000007</v>
      </c>
      <c r="L28" s="9">
        <f t="shared" si="27"/>
        <v>51000000.000000007</v>
      </c>
      <c r="M28" s="12">
        <f t="shared" si="28"/>
        <v>111750000.00000001</v>
      </c>
      <c r="N28" s="12">
        <f t="shared" si="32"/>
        <v>7934371.6147200018</v>
      </c>
      <c r="O28" s="12">
        <f t="shared" si="21"/>
        <v>119684371.61472002</v>
      </c>
      <c r="P28" s="12">
        <f t="shared" si="14"/>
        <v>11968437161.472002</v>
      </c>
      <c r="Q28" s="12">
        <f t="shared" si="15"/>
        <v>4308637378.129921</v>
      </c>
      <c r="R28" s="12">
        <f t="shared" si="16"/>
        <v>5744849837.5065613</v>
      </c>
      <c r="S28" s="12">
        <f t="shared" si="17"/>
        <v>3097440000</v>
      </c>
      <c r="T28" s="12">
        <f t="shared" si="29"/>
        <v>0</v>
      </c>
      <c r="U28" s="12">
        <f t="shared" si="22"/>
        <v>562840169.0625</v>
      </c>
      <c r="V28" s="12">
        <f t="shared" si="23"/>
        <v>77948684.00000006</v>
      </c>
      <c r="W28" s="12">
        <f t="shared" si="18"/>
        <v>640788853.0625</v>
      </c>
      <c r="X28" s="12">
        <f t="shared" si="24"/>
        <v>1330009940.2343743</v>
      </c>
      <c r="Y28" s="12">
        <f t="shared" si="25"/>
        <v>36896215.962746099</v>
      </c>
      <c r="Z28" s="12">
        <f t="shared" si="30"/>
        <v>1933902577.3341281</v>
      </c>
      <c r="AA28" s="12">
        <f t="shared" si="19"/>
        <v>25119364377.108482</v>
      </c>
      <c r="AB28" s="12">
        <f t="shared" si="31"/>
        <v>22607427939.397633</v>
      </c>
      <c r="AC28" s="13">
        <f t="shared" si="20"/>
        <v>19133525362.063503</v>
      </c>
    </row>
    <row r="29" spans="1:29" ht="15.75" thickBot="1" x14ac:dyDescent="0.25">
      <c r="G29" s="9">
        <v>8</v>
      </c>
      <c r="H29" s="12"/>
      <c r="I29" s="12"/>
      <c r="J29" s="12"/>
      <c r="K29" s="9">
        <f t="shared" si="26"/>
        <v>62999999.999999993</v>
      </c>
      <c r="L29" s="9">
        <f>($L$21*(1+$G29*10%))</f>
        <v>54000000</v>
      </c>
      <c r="M29" s="12">
        <f t="shared" si="28"/>
        <v>117000000</v>
      </c>
      <c r="N29" s="12">
        <f t="shared" si="32"/>
        <v>8569121.3438976035</v>
      </c>
      <c r="O29" s="12">
        <f t="shared" si="21"/>
        <v>125569121.34389761</v>
      </c>
      <c r="P29" s="12">
        <f t="shared" si="14"/>
        <v>12556912134.389761</v>
      </c>
      <c r="Q29" s="12">
        <f t="shared" si="15"/>
        <v>4520488368.3803139</v>
      </c>
      <c r="R29" s="12">
        <f t="shared" si="16"/>
        <v>6027317824.5070858</v>
      </c>
      <c r="S29" s="12">
        <f t="shared" si="17"/>
        <v>3231360000</v>
      </c>
      <c r="T29" s="12">
        <f t="shared" si="29"/>
        <v>0</v>
      </c>
      <c r="U29" s="12">
        <f t="shared" si="22"/>
        <v>590982177.515625</v>
      </c>
      <c r="V29" s="12">
        <f t="shared" si="23"/>
        <v>85743552.400000066</v>
      </c>
      <c r="W29" s="12">
        <f t="shared" si="18"/>
        <v>676725729.9156251</v>
      </c>
      <c r="X29" s="12">
        <f t="shared" si="24"/>
        <v>1529511431.2695303</v>
      </c>
      <c r="Y29" s="12">
        <f t="shared" si="25"/>
        <v>38003102.441628486</v>
      </c>
      <c r="Z29" s="12">
        <f t="shared" si="30"/>
        <v>2168234058.7435269</v>
      </c>
      <c r="AA29" s="12">
        <f t="shared" si="19"/>
        <v>26336078327.277161</v>
      </c>
      <c r="AB29" s="12">
        <f t="shared" si="31"/>
        <v>23702470494.549446</v>
      </c>
      <c r="AC29" s="13">
        <f t="shared" si="20"/>
        <v>19994236435.80592</v>
      </c>
    </row>
    <row r="30" spans="1:29" ht="15.75" thickBot="1" x14ac:dyDescent="0.25">
      <c r="A30" t="s">
        <v>18</v>
      </c>
      <c r="B30">
        <v>30000000</v>
      </c>
      <c r="C30" s="3">
        <v>0.03</v>
      </c>
      <c r="G30" s="9">
        <v>9</v>
      </c>
      <c r="H30" s="12"/>
      <c r="I30" s="12"/>
      <c r="J30" s="12"/>
      <c r="K30" s="9">
        <f t="shared" si="26"/>
        <v>65250000</v>
      </c>
      <c r="L30" s="9">
        <f t="shared" si="27"/>
        <v>57000000</v>
      </c>
      <c r="M30" s="12">
        <f t="shared" si="28"/>
        <v>122250000</v>
      </c>
      <c r="N30" s="12">
        <f t="shared" si="32"/>
        <v>9254651.0514094122</v>
      </c>
      <c r="O30" s="12">
        <f t="shared" si="21"/>
        <v>131504651.05140941</v>
      </c>
      <c r="P30" s="12">
        <f t="shared" si="14"/>
        <v>13150465105.140942</v>
      </c>
      <c r="Q30" s="12">
        <f t="shared" si="15"/>
        <v>4734167437.8507385</v>
      </c>
      <c r="R30" s="12">
        <f t="shared" si="16"/>
        <v>6312223250.4676514</v>
      </c>
      <c r="S30" s="12">
        <f t="shared" si="17"/>
        <v>3365280000</v>
      </c>
      <c r="T30" s="12">
        <f t="shared" si="29"/>
        <v>0</v>
      </c>
      <c r="U30" s="12">
        <f t="shared" si="22"/>
        <v>620531286.3914063</v>
      </c>
      <c r="V30" s="12">
        <f t="shared" si="23"/>
        <v>94317907.640000075</v>
      </c>
      <c r="W30" s="12">
        <f t="shared" si="18"/>
        <v>714849194.0314064</v>
      </c>
      <c r="X30" s="12">
        <f t="shared" si="24"/>
        <v>1758938145.9599597</v>
      </c>
      <c r="Y30" s="12">
        <f t="shared" si="25"/>
        <v>39143195.514877342</v>
      </c>
      <c r="Z30" s="12">
        <f t="shared" si="30"/>
        <v>2434644144.4764891</v>
      </c>
      <c r="AA30" s="12">
        <f t="shared" si="19"/>
        <v>27562135793.459332</v>
      </c>
      <c r="AB30" s="12">
        <f t="shared" si="31"/>
        <v>24805922214.1134</v>
      </c>
      <c r="AC30" s="13">
        <f t="shared" si="20"/>
        <v>20831278069.636909</v>
      </c>
    </row>
    <row r="31" spans="1:29" ht="15.75" thickBot="1" x14ac:dyDescent="0.25">
      <c r="G31" s="9">
        <v>10</v>
      </c>
      <c r="H31" s="12"/>
      <c r="I31" s="12"/>
      <c r="J31" s="12"/>
      <c r="K31" s="9">
        <f t="shared" si="26"/>
        <v>67500000</v>
      </c>
      <c r="L31" s="9">
        <f t="shared" si="27"/>
        <v>60000000</v>
      </c>
      <c r="M31" s="12">
        <f t="shared" si="28"/>
        <v>127500000</v>
      </c>
      <c r="N31" s="12">
        <f t="shared" si="32"/>
        <v>9995023.1355221663</v>
      </c>
      <c r="O31" s="12">
        <f t="shared" si="21"/>
        <v>137495023.13552216</v>
      </c>
      <c r="P31" s="12">
        <f t="shared" si="14"/>
        <v>13749502313.552216</v>
      </c>
      <c r="Q31" s="12">
        <f t="shared" si="15"/>
        <v>4949820832.8787975</v>
      </c>
      <c r="R31" s="12">
        <f t="shared" si="16"/>
        <v>6599761110.505064</v>
      </c>
      <c r="S31" s="12">
        <f t="shared" si="17"/>
        <v>3499200000</v>
      </c>
      <c r="T31" s="12">
        <f t="shared" si="29"/>
        <v>0</v>
      </c>
      <c r="U31" s="12">
        <f t="shared" si="22"/>
        <v>651557850.7109766</v>
      </c>
      <c r="V31" s="12">
        <f t="shared" si="23"/>
        <v>103749698.40400009</v>
      </c>
      <c r="W31" s="12">
        <f t="shared" si="18"/>
        <v>755307549.11497664</v>
      </c>
      <c r="X31" s="12">
        <f t="shared" si="24"/>
        <v>2022778867.8539536</v>
      </c>
      <c r="Y31" s="12">
        <f t="shared" si="25"/>
        <v>40317491.380323663</v>
      </c>
      <c r="Z31" s="12">
        <f t="shared" si="30"/>
        <v>2737768925.5886064</v>
      </c>
      <c r="AA31" s="12">
        <f t="shared" si="19"/>
        <v>28798284256.936077</v>
      </c>
      <c r="AB31" s="12">
        <f t="shared" si="31"/>
        <v>25918455831.24247</v>
      </c>
      <c r="AC31" s="13">
        <f t="shared" si="20"/>
        <v>21640686905.653862</v>
      </c>
    </row>
    <row r="32" spans="1:29" ht="15.75" thickBot="1" x14ac:dyDescent="0.25">
      <c r="A32" t="s">
        <v>19</v>
      </c>
      <c r="B32" s="4">
        <v>87.5</v>
      </c>
      <c r="C32">
        <v>251430000</v>
      </c>
      <c r="G32" s="9">
        <v>11</v>
      </c>
      <c r="K32" s="9">
        <f t="shared" si="26"/>
        <v>69750000</v>
      </c>
      <c r="L32" s="9">
        <f t="shared" si="27"/>
        <v>63000000</v>
      </c>
      <c r="M32" s="12">
        <f t="shared" si="28"/>
        <v>132750000</v>
      </c>
      <c r="N32" s="12">
        <f t="shared" si="32"/>
        <v>10794624.98636394</v>
      </c>
      <c r="O32" s="12">
        <f t="shared" si="21"/>
        <v>143544624.98636395</v>
      </c>
      <c r="P32" s="12">
        <f t="shared" si="14"/>
        <v>14354462498.636395</v>
      </c>
      <c r="Q32" s="12">
        <f t="shared" si="15"/>
        <v>5167606499.5091019</v>
      </c>
      <c r="R32" s="12">
        <f t="shared" si="16"/>
        <v>6890141999.3454695</v>
      </c>
      <c r="X32" s="12">
        <f t="shared" si="24"/>
        <v>2326195698.0320463</v>
      </c>
      <c r="Y32" s="12">
        <f t="shared" si="25"/>
        <v>41527016.121733375</v>
      </c>
      <c r="Z32" s="12">
        <f t="shared" si="30"/>
        <v>2284668681.9103131</v>
      </c>
      <c r="AA32" s="12">
        <f t="shared" si="19"/>
        <v>26412210997.490967</v>
      </c>
      <c r="AB32" s="12">
        <f t="shared" si="31"/>
        <v>23770989897.741871</v>
      </c>
    </row>
    <row r="33" spans="1:28" ht="15.75" thickBot="1" x14ac:dyDescent="0.25">
      <c r="B33">
        <v>2432000000</v>
      </c>
      <c r="C33" s="3">
        <v>0.12</v>
      </c>
      <c r="G33" s="9">
        <v>12</v>
      </c>
      <c r="K33" s="9">
        <f t="shared" si="26"/>
        <v>72000000</v>
      </c>
      <c r="L33" s="9">
        <f t="shared" si="27"/>
        <v>66000000.000000007</v>
      </c>
      <c r="M33" s="12">
        <f t="shared" si="28"/>
        <v>138000000</v>
      </c>
      <c r="N33" s="12">
        <f t="shared" si="32"/>
        <v>11658194.985273056</v>
      </c>
      <c r="O33" s="12">
        <f t="shared" si="21"/>
        <v>149658194.98527306</v>
      </c>
      <c r="P33" s="12">
        <f t="shared" si="14"/>
        <v>14965819498.527306</v>
      </c>
      <c r="Q33" s="12">
        <f t="shared" si="15"/>
        <v>5387695019.4698305</v>
      </c>
      <c r="R33" s="12">
        <f t="shared" si="16"/>
        <v>7183593359.293107</v>
      </c>
      <c r="X33" s="12">
        <f t="shared" si="24"/>
        <v>2675125052.7368531</v>
      </c>
      <c r="Y33" s="12">
        <f t="shared" si="25"/>
        <v>42772826.605385378</v>
      </c>
      <c r="Z33" s="12">
        <f t="shared" si="30"/>
        <v>2632352226.1314678</v>
      </c>
      <c r="AA33" s="12">
        <f t="shared" si="19"/>
        <v>27537107877.290245</v>
      </c>
      <c r="AB33" s="12">
        <f t="shared" si="31"/>
        <v>24783397089.561218</v>
      </c>
    </row>
    <row r="34" spans="1:28" ht="15.75" thickBot="1" x14ac:dyDescent="0.25">
      <c r="D34" s="14" t="s">
        <v>44</v>
      </c>
      <c r="E34" s="15">
        <f>H21+I21+T21+W21+X21</f>
        <v>1540000000</v>
      </c>
      <c r="G34" s="9">
        <v>13</v>
      </c>
      <c r="K34" s="9">
        <f t="shared" si="26"/>
        <v>74250000</v>
      </c>
      <c r="L34" s="9">
        <f t="shared" si="27"/>
        <v>69000000</v>
      </c>
      <c r="M34" s="12">
        <f t="shared" si="28"/>
        <v>143250000</v>
      </c>
      <c r="N34" s="12">
        <f t="shared" si="32"/>
        <v>12590850.584094901</v>
      </c>
      <c r="O34" s="12">
        <f t="shared" si="21"/>
        <v>155840850.58409491</v>
      </c>
      <c r="P34" s="12">
        <f t="shared" si="14"/>
        <v>15584085058.409491</v>
      </c>
      <c r="Q34" s="12">
        <f t="shared" si="15"/>
        <v>5610270621.0274172</v>
      </c>
      <c r="R34" s="12">
        <f t="shared" si="16"/>
        <v>7480360828.0365562</v>
      </c>
      <c r="X34" s="12">
        <f t="shared" si="24"/>
        <v>3076393810.6473808</v>
      </c>
      <c r="Y34" s="12">
        <f t="shared" si="25"/>
        <v>44056011.403546937</v>
      </c>
      <c r="Z34" s="12">
        <f t="shared" si="30"/>
        <v>3032337799.243834</v>
      </c>
      <c r="AA34" s="12">
        <f t="shared" si="19"/>
        <v>28674716507.473465</v>
      </c>
      <c r="AB34" s="12">
        <f t="shared" si="31"/>
        <v>25807244856.72612</v>
      </c>
    </row>
    <row r="35" spans="1:28" ht="15.75" thickBot="1" x14ac:dyDescent="0.25">
      <c r="A35" t="s">
        <v>20</v>
      </c>
      <c r="B35" s="3">
        <v>0.1</v>
      </c>
      <c r="G35" s="9">
        <v>14</v>
      </c>
      <c r="K35" s="9">
        <f t="shared" si="26"/>
        <v>76500000.000000015</v>
      </c>
      <c r="L35" s="9">
        <f t="shared" si="27"/>
        <v>72000000.000000015</v>
      </c>
      <c r="M35" s="12">
        <f t="shared" si="28"/>
        <v>148500000.00000003</v>
      </c>
      <c r="N35" s="12">
        <f t="shared" si="32"/>
        <v>13598118.630822493</v>
      </c>
      <c r="O35" s="12">
        <f t="shared" si="21"/>
        <v>162098118.63082251</v>
      </c>
      <c r="P35" s="12">
        <f t="shared" si="14"/>
        <v>16209811863.082251</v>
      </c>
      <c r="Q35" s="12">
        <f t="shared" si="15"/>
        <v>5835532270.70961</v>
      </c>
      <c r="R35" s="12">
        <f t="shared" si="16"/>
        <v>7780709694.27948</v>
      </c>
      <c r="X35" s="12">
        <f t="shared" si="24"/>
        <v>3537852882.2444878</v>
      </c>
      <c r="Y35" s="12">
        <f t="shared" si="25"/>
        <v>45377691.745653346</v>
      </c>
      <c r="Z35" s="12">
        <f t="shared" si="30"/>
        <v>3492475190.4988346</v>
      </c>
      <c r="AA35" s="12">
        <f t="shared" si="19"/>
        <v>29826053828.071342</v>
      </c>
      <c r="AB35" s="12">
        <f t="shared" si="31"/>
        <v>26843448445.264206</v>
      </c>
    </row>
    <row r="36" spans="1:28" ht="15.75" thickBot="1" x14ac:dyDescent="0.25">
      <c r="G36" s="9">
        <v>15</v>
      </c>
      <c r="K36" s="9">
        <f t="shared" si="26"/>
        <v>78750000</v>
      </c>
      <c r="L36" s="9">
        <f t="shared" si="27"/>
        <v>75000000</v>
      </c>
      <c r="M36" s="12">
        <f t="shared" si="28"/>
        <v>153750000</v>
      </c>
      <c r="N36" s="12">
        <f t="shared" si="32"/>
        <v>14685968.121288294</v>
      </c>
      <c r="O36" s="12">
        <f t="shared" si="21"/>
        <v>168435968.1212883</v>
      </c>
      <c r="P36" s="12">
        <f t="shared" si="14"/>
        <v>16843596812.12883</v>
      </c>
      <c r="Q36" s="12">
        <f t="shared" si="15"/>
        <v>6063694852.3663788</v>
      </c>
      <c r="R36" s="12">
        <f t="shared" si="16"/>
        <v>8084926469.8218384</v>
      </c>
      <c r="X36" s="12">
        <f t="shared" si="24"/>
        <v>4068530814.5811605</v>
      </c>
      <c r="Y36" s="12">
        <f t="shared" si="25"/>
        <v>46739022.498022951</v>
      </c>
      <c r="Z36" s="12">
        <f t="shared" si="30"/>
        <v>4021791792.0831375</v>
      </c>
      <c r="AA36" s="12">
        <f t="shared" si="19"/>
        <v>30992218134.317047</v>
      </c>
      <c r="AB36" s="12">
        <f t="shared" si="31"/>
        <v>27892996320.885342</v>
      </c>
    </row>
    <row r="37" spans="1:28" ht="15.75" thickBot="1" x14ac:dyDescent="0.25">
      <c r="A37" t="s">
        <v>21</v>
      </c>
      <c r="B37" s="3">
        <v>0.02</v>
      </c>
      <c r="C37" s="1">
        <v>1.4999999999999999E-2</v>
      </c>
      <c r="G37" s="9">
        <v>16</v>
      </c>
      <c r="K37" s="9">
        <f t="shared" si="26"/>
        <v>81000000</v>
      </c>
      <c r="L37" s="9">
        <f t="shared" si="27"/>
        <v>78000000</v>
      </c>
      <c r="M37" s="12">
        <f t="shared" si="28"/>
        <v>159000000</v>
      </c>
      <c r="N37" s="12">
        <f t="shared" si="32"/>
        <v>15860845.570991358</v>
      </c>
      <c r="O37" s="12">
        <f t="shared" si="21"/>
        <v>174860845.57099137</v>
      </c>
      <c r="P37" s="12">
        <f t="shared" si="14"/>
        <v>17486084557.099136</v>
      </c>
      <c r="Q37" s="12">
        <f t="shared" si="15"/>
        <v>6294990440.5556889</v>
      </c>
      <c r="R37" s="12">
        <f t="shared" si="16"/>
        <v>8393320587.4075851</v>
      </c>
      <c r="X37" s="12">
        <f t="shared" si="24"/>
        <v>4678810436.7683344</v>
      </c>
      <c r="Y37" s="12">
        <f t="shared" si="25"/>
        <v>48141193.172963642</v>
      </c>
      <c r="Z37" s="12">
        <f t="shared" si="30"/>
        <v>4630669243.5953703</v>
      </c>
      <c r="AA37" s="12">
        <f t="shared" si="19"/>
        <v>32174395585.062408</v>
      </c>
      <c r="AB37" s="12">
        <f t="shared" si="31"/>
        <v>28956956026.556168</v>
      </c>
    </row>
    <row r="38" spans="1:28" ht="15.75" thickBot="1" x14ac:dyDescent="0.25">
      <c r="G38" s="9">
        <v>17</v>
      </c>
      <c r="K38" s="9">
        <f t="shared" si="26"/>
        <v>83250000</v>
      </c>
      <c r="L38" s="9">
        <f t="shared" si="27"/>
        <v>81000000</v>
      </c>
      <c r="M38" s="12">
        <f t="shared" si="28"/>
        <v>164250000</v>
      </c>
      <c r="N38" s="12">
        <f t="shared" si="32"/>
        <v>17129713.216670666</v>
      </c>
      <c r="O38" s="12">
        <f t="shared" si="21"/>
        <v>181379713.21667066</v>
      </c>
      <c r="P38" s="12">
        <f t="shared" si="14"/>
        <v>18137971321.667065</v>
      </c>
      <c r="Q38" s="12">
        <f t="shared" si="15"/>
        <v>6529669675.8001442</v>
      </c>
      <c r="R38" s="12">
        <f t="shared" si="16"/>
        <v>8706226234.4001923</v>
      </c>
      <c r="X38" s="12">
        <f t="shared" si="24"/>
        <v>5380632002.2835846</v>
      </c>
      <c r="Y38" s="12">
        <f t="shared" si="25"/>
        <v>49585428.968152553</v>
      </c>
      <c r="Z38" s="12">
        <f t="shared" si="30"/>
        <v>5331046573.3154316</v>
      </c>
      <c r="AA38" s="12">
        <f t="shared" si="19"/>
        <v>33373867231.867401</v>
      </c>
      <c r="AB38" s="12">
        <f t="shared" si="31"/>
        <v>30036480508.68066</v>
      </c>
    </row>
    <row r="39" spans="1:28" ht="15.75" thickBot="1" x14ac:dyDescent="0.25">
      <c r="A39" t="s">
        <v>22</v>
      </c>
      <c r="B39" s="3">
        <v>0.11</v>
      </c>
      <c r="G39" s="9">
        <v>18</v>
      </c>
      <c r="K39" s="9">
        <f t="shared" si="26"/>
        <v>85500000</v>
      </c>
      <c r="L39" s="9">
        <f t="shared" si="27"/>
        <v>84000000</v>
      </c>
      <c r="M39" s="12">
        <f t="shared" si="28"/>
        <v>169500000</v>
      </c>
      <c r="N39" s="12">
        <f t="shared" si="32"/>
        <v>18500090.274004322</v>
      </c>
      <c r="O39" s="12">
        <f t="shared" si="21"/>
        <v>188000090.27400431</v>
      </c>
      <c r="P39" s="12">
        <f t="shared" si="14"/>
        <v>18800009027.400433</v>
      </c>
      <c r="Q39" s="12">
        <f t="shared" si="15"/>
        <v>6768003249.8641548</v>
      </c>
      <c r="R39" s="12">
        <f t="shared" si="16"/>
        <v>9024004333.1522064</v>
      </c>
      <c r="X39" s="12">
        <f t="shared" si="24"/>
        <v>6187726802.6261215</v>
      </c>
      <c r="Y39" s="12">
        <f t="shared" si="25"/>
        <v>51072991.837197132</v>
      </c>
      <c r="Z39" s="12">
        <f t="shared" si="30"/>
        <v>6136653810.7889242</v>
      </c>
      <c r="AA39" s="12">
        <f t="shared" si="19"/>
        <v>34592016610.416794</v>
      </c>
      <c r="AB39" s="12">
        <f t="shared" si="31"/>
        <v>31132814949.375114</v>
      </c>
    </row>
    <row r="40" spans="1:28" ht="15.75" thickBot="1" x14ac:dyDescent="0.25">
      <c r="G40" s="9">
        <v>19</v>
      </c>
      <c r="K40" s="9">
        <f t="shared" si="26"/>
        <v>87750000.000000015</v>
      </c>
      <c r="L40" s="9">
        <f t="shared" si="27"/>
        <v>87000000.000000015</v>
      </c>
      <c r="M40" s="12">
        <f t="shared" si="28"/>
        <v>174750000.00000003</v>
      </c>
      <c r="N40" s="12">
        <f t="shared" si="32"/>
        <v>19980097.49592467</v>
      </c>
      <c r="O40" s="12">
        <f t="shared" si="21"/>
        <v>194730097.49592471</v>
      </c>
      <c r="P40" s="12">
        <f t="shared" si="14"/>
        <v>19473009749.592472</v>
      </c>
      <c r="Q40" s="12">
        <f t="shared" si="15"/>
        <v>7010283509.8532896</v>
      </c>
      <c r="R40" s="12">
        <f t="shared" si="16"/>
        <v>9347044679.8043861</v>
      </c>
      <c r="X40" s="12">
        <f t="shared" si="24"/>
        <v>7115885823.0200396</v>
      </c>
      <c r="Y40" s="12">
        <f t="shared" si="25"/>
        <v>52605181.592313051</v>
      </c>
      <c r="Z40" s="12">
        <f t="shared" si="30"/>
        <v>7063280641.4277267</v>
      </c>
      <c r="AA40" s="12">
        <f t="shared" si="19"/>
        <v>35830337939.250153</v>
      </c>
      <c r="AB40" s="12">
        <f t="shared" si="31"/>
        <v>32247304145.325138</v>
      </c>
    </row>
    <row r="41" spans="1:28" ht="15.75" thickBot="1" x14ac:dyDescent="0.25">
      <c r="G41" s="9">
        <v>20</v>
      </c>
      <c r="K41" s="9">
        <f t="shared" si="26"/>
        <v>90000000</v>
      </c>
      <c r="L41" s="9">
        <f t="shared" si="27"/>
        <v>90000000</v>
      </c>
      <c r="M41" s="12">
        <f t="shared" si="28"/>
        <v>180000000</v>
      </c>
      <c r="N41" s="12">
        <f t="shared" si="32"/>
        <v>21578505.295598645</v>
      </c>
      <c r="O41" s="12">
        <f t="shared" si="21"/>
        <v>201578505.29559866</v>
      </c>
      <c r="P41" s="12">
        <f t="shared" si="14"/>
        <v>20157850529.559864</v>
      </c>
      <c r="Q41" s="12">
        <f t="shared" si="15"/>
        <v>7256826190.641552</v>
      </c>
      <c r="R41" s="12">
        <f t="shared" si="16"/>
        <v>9675768254.188736</v>
      </c>
      <c r="X41" s="12">
        <f t="shared" si="24"/>
        <v>8183268696.4730444</v>
      </c>
      <c r="Y41" s="12">
        <f t="shared" si="25"/>
        <v>54183337.040082447</v>
      </c>
      <c r="Z41" s="12">
        <f t="shared" si="30"/>
        <v>8129085359.4329624</v>
      </c>
      <c r="AA41" s="12">
        <f t="shared" si="19"/>
        <v>37090444974.390152</v>
      </c>
      <c r="AB41" s="12">
        <f t="shared" si="31"/>
        <v>33381400476.951138</v>
      </c>
    </row>
    <row r="42" spans="1:28" ht="15.75" thickBot="1" x14ac:dyDescent="0.25">
      <c r="G42" s="9">
        <v>21</v>
      </c>
      <c r="K42" s="9">
        <f t="shared" si="26"/>
        <v>92249999.999999985</v>
      </c>
      <c r="L42" s="9">
        <f t="shared" si="27"/>
        <v>93000000</v>
      </c>
      <c r="M42" s="12">
        <f t="shared" si="28"/>
        <v>185250000</v>
      </c>
      <c r="N42" s="12">
        <f t="shared" si="32"/>
        <v>23304785.719246536</v>
      </c>
      <c r="O42" s="12">
        <f t="shared" si="21"/>
        <v>208554785.71924654</v>
      </c>
      <c r="P42" s="12">
        <f t="shared" si="14"/>
        <v>20855478571.924652</v>
      </c>
      <c r="Q42" s="12">
        <f t="shared" si="15"/>
        <v>7507972285.8928757</v>
      </c>
      <c r="R42" s="12">
        <f t="shared" si="16"/>
        <v>10010629714.523834</v>
      </c>
      <c r="X42" s="12">
        <f t="shared" si="24"/>
        <v>9410759000.9440002</v>
      </c>
      <c r="Y42" s="12">
        <f t="shared" si="25"/>
        <v>55808837.151284926</v>
      </c>
      <c r="Z42" s="12">
        <f t="shared" si="30"/>
        <v>9354950163.7927151</v>
      </c>
      <c r="AA42" s="12">
        <f t="shared" si="19"/>
        <v>38374080572.341362</v>
      </c>
      <c r="AB42" s="12">
        <f t="shared" si="31"/>
        <v>34536672515.107224</v>
      </c>
    </row>
    <row r="43" spans="1:28" ht="15.75" thickBot="1" x14ac:dyDescent="0.25">
      <c r="G43" s="9">
        <v>22</v>
      </c>
      <c r="K43" s="9">
        <f t="shared" si="26"/>
        <v>94500000</v>
      </c>
      <c r="L43" s="9">
        <f t="shared" si="27"/>
        <v>96000000</v>
      </c>
      <c r="M43" s="12">
        <f t="shared" si="28"/>
        <v>190500000</v>
      </c>
      <c r="N43" s="12">
        <f t="shared" si="32"/>
        <v>25169168.576786261</v>
      </c>
      <c r="O43" s="12">
        <f t="shared" si="21"/>
        <v>215669168.57678625</v>
      </c>
      <c r="P43" s="12">
        <f t="shared" si="14"/>
        <v>21566916857.678623</v>
      </c>
      <c r="Q43" s="12">
        <f t="shared" si="15"/>
        <v>7764090068.7643051</v>
      </c>
      <c r="R43" s="12">
        <f t="shared" si="16"/>
        <v>10352120091.68574</v>
      </c>
      <c r="X43" s="12">
        <f t="shared" si="24"/>
        <v>10822372851.0856</v>
      </c>
      <c r="Y43" s="12">
        <f t="shared" si="25"/>
        <v>57483102.265823476</v>
      </c>
      <c r="Z43" s="12">
        <f t="shared" si="30"/>
        <v>10764889748.819777</v>
      </c>
      <c r="AA43" s="12">
        <f t="shared" si="19"/>
        <v>39683127018.128662</v>
      </c>
      <c r="AB43" s="12">
        <f t="shared" si="31"/>
        <v>35714814316.315796</v>
      </c>
    </row>
    <row r="44" spans="1:28" ht="15.75" thickBot="1" x14ac:dyDescent="0.25">
      <c r="G44" s="9">
        <v>23</v>
      </c>
      <c r="K44" s="9">
        <f t="shared" si="26"/>
        <v>96750000.000000015</v>
      </c>
      <c r="L44" s="9">
        <f t="shared" si="27"/>
        <v>99000000.000000015</v>
      </c>
      <c r="M44" s="12">
        <f t="shared" si="28"/>
        <v>195750000.00000003</v>
      </c>
      <c r="N44" s="12">
        <f t="shared" si="32"/>
        <v>27182702.062929165</v>
      </c>
      <c r="O44" s="12">
        <f t="shared" si="21"/>
        <v>222932702.06292918</v>
      </c>
      <c r="P44" s="12">
        <f t="shared" si="14"/>
        <v>22293270206.292919</v>
      </c>
      <c r="Q44" s="12">
        <f t="shared" si="15"/>
        <v>8025577274.2654505</v>
      </c>
      <c r="R44" s="12">
        <f t="shared" si="16"/>
        <v>10700769699.020601</v>
      </c>
      <c r="X44" s="12">
        <f t="shared" si="24"/>
        <v>12445728778.74844</v>
      </c>
      <c r="Y44" s="12">
        <f t="shared" si="25"/>
        <v>59207595.333798185</v>
      </c>
      <c r="Z44" s="12">
        <f t="shared" si="30"/>
        <v>12386521183.414642</v>
      </c>
      <c r="AA44" s="12">
        <f t="shared" si="19"/>
        <v>41019617179.578972</v>
      </c>
      <c r="AB44" s="12">
        <f t="shared" si="31"/>
        <v>36917655461.621078</v>
      </c>
    </row>
    <row r="45" spans="1:28" ht="15.75" thickBot="1" x14ac:dyDescent="0.25">
      <c r="G45" s="9">
        <v>24</v>
      </c>
      <c r="K45" s="9">
        <f t="shared" si="26"/>
        <v>99000000.000000015</v>
      </c>
      <c r="L45" s="9">
        <f t="shared" si="27"/>
        <v>102000000.00000001</v>
      </c>
      <c r="M45" s="12">
        <f t="shared" si="28"/>
        <v>201000000.00000003</v>
      </c>
      <c r="N45" s="12">
        <f t="shared" si="32"/>
        <v>29357318.2279635</v>
      </c>
      <c r="O45" s="12">
        <f t="shared" si="21"/>
        <v>230357318.22796354</v>
      </c>
      <c r="P45" s="12">
        <f t="shared" si="14"/>
        <v>23035731822.796352</v>
      </c>
      <c r="Q45" s="12">
        <f t="shared" si="15"/>
        <v>8292863456.206687</v>
      </c>
      <c r="R45" s="12">
        <f t="shared" si="16"/>
        <v>11057151274.942249</v>
      </c>
      <c r="X45" s="12">
        <f t="shared" si="24"/>
        <v>14312588095.560705</v>
      </c>
      <c r="Y45" s="12">
        <f t="shared" si="25"/>
        <v>60983823.193812132</v>
      </c>
      <c r="Z45" s="12">
        <f t="shared" si="30"/>
        <v>14251604272.366894</v>
      </c>
      <c r="AA45" s="12">
        <f t="shared" si="19"/>
        <v>42385746553.94529</v>
      </c>
      <c r="AB45" s="12">
        <f t="shared" si="31"/>
        <v>38147171898.550758</v>
      </c>
    </row>
    <row r="46" spans="1:28" ht="15.75" thickBot="1" x14ac:dyDescent="0.25">
      <c r="G46" s="9">
        <v>25</v>
      </c>
      <c r="K46" s="9">
        <f t="shared" si="26"/>
        <v>101250000</v>
      </c>
      <c r="L46" s="9">
        <f t="shared" si="27"/>
        <v>105000000</v>
      </c>
      <c r="M46" s="12">
        <f t="shared" si="28"/>
        <v>206250000</v>
      </c>
      <c r="N46" s="12">
        <f t="shared" si="32"/>
        <v>31705903.686200581</v>
      </c>
      <c r="O46" s="12">
        <f t="shared" si="21"/>
        <v>237955903.68620059</v>
      </c>
      <c r="P46" s="12">
        <f t="shared" si="14"/>
        <v>23795590368.62006</v>
      </c>
      <c r="Q46" s="12">
        <f t="shared" si="15"/>
        <v>8566412532.7032213</v>
      </c>
      <c r="R46" s="12">
        <f t="shared" si="16"/>
        <v>11421883376.937628</v>
      </c>
      <c r="X46" s="12">
        <f t="shared" si="24"/>
        <v>16459476309.89481</v>
      </c>
      <c r="Y46" s="12">
        <f t="shared" si="25"/>
        <v>62813337.889626496</v>
      </c>
      <c r="Z46" s="12">
        <f t="shared" si="30"/>
        <v>16396662972.005184</v>
      </c>
      <c r="AA46" s="12">
        <f t="shared" si="19"/>
        <v>43783886278.26091</v>
      </c>
      <c r="AB46" s="12">
        <f t="shared" si="31"/>
        <v>39405497650.434822</v>
      </c>
    </row>
    <row r="47" spans="1:28" ht="15.75" thickBot="1" x14ac:dyDescent="0.25">
      <c r="G47" s="9">
        <v>26</v>
      </c>
      <c r="K47" s="9">
        <f t="shared" si="26"/>
        <v>103499999.99999999</v>
      </c>
      <c r="L47" s="9">
        <f t="shared" si="27"/>
        <v>108000000</v>
      </c>
      <c r="M47" s="12">
        <f t="shared" si="28"/>
        <v>211500000</v>
      </c>
      <c r="N47" s="12">
        <f t="shared" si="32"/>
        <v>34242375.981096633</v>
      </c>
      <c r="O47" s="12">
        <f t="shared" si="21"/>
        <v>245742375.98109663</v>
      </c>
      <c r="P47" s="12">
        <f t="shared" si="14"/>
        <v>24574237598.109661</v>
      </c>
      <c r="Q47" s="12">
        <f t="shared" si="15"/>
        <v>8846725535.319479</v>
      </c>
      <c r="R47" s="12">
        <f t="shared" si="16"/>
        <v>11795634047.092638</v>
      </c>
      <c r="X47" s="12">
        <f t="shared" si="24"/>
        <v>18928397756.379028</v>
      </c>
      <c r="Y47" s="12">
        <f t="shared" si="25"/>
        <v>64697738.026315294</v>
      </c>
      <c r="Z47" s="12">
        <f t="shared" si="30"/>
        <v>18863700018.352715</v>
      </c>
      <c r="AA47" s="12">
        <f t="shared" si="19"/>
        <v>45216597180.521774</v>
      </c>
      <c r="AB47" s="12">
        <f t="shared" si="31"/>
        <v>40694937462.469597</v>
      </c>
    </row>
    <row r="48" spans="1:28" ht="15.75" thickBot="1" x14ac:dyDescent="0.25">
      <c r="G48" s="9">
        <v>27</v>
      </c>
      <c r="K48" s="9">
        <f t="shared" si="26"/>
        <v>105750000</v>
      </c>
      <c r="L48" s="9">
        <f t="shared" si="27"/>
        <v>111000000</v>
      </c>
      <c r="M48" s="12">
        <f t="shared" si="28"/>
        <v>216750000</v>
      </c>
      <c r="N48" s="12">
        <f t="shared" si="32"/>
        <v>36981766.059584364</v>
      </c>
      <c r="O48" s="12">
        <f t="shared" si="21"/>
        <v>253731766.05958438</v>
      </c>
      <c r="P48" s="12">
        <f t="shared" si="14"/>
        <v>25373176605.958439</v>
      </c>
      <c r="Q48" s="12">
        <f t="shared" si="15"/>
        <v>9134343578.1450386</v>
      </c>
      <c r="R48" s="12">
        <f t="shared" si="16"/>
        <v>12179124770.86005</v>
      </c>
      <c r="X48" s="12">
        <f t="shared" si="24"/>
        <v>21767657419.83588</v>
      </c>
      <c r="Y48" s="12">
        <f t="shared" si="25"/>
        <v>66638670.167104758</v>
      </c>
      <c r="Z48" s="12">
        <f t="shared" si="30"/>
        <v>21701018749.668774</v>
      </c>
      <c r="AA48" s="12">
        <f t="shared" si="19"/>
        <v>46686644954.963531</v>
      </c>
      <c r="AB48" s="12">
        <f t="shared" si="31"/>
        <v>42017980459.467178</v>
      </c>
    </row>
    <row r="49" spans="7:28" ht="15.75" thickBot="1" x14ac:dyDescent="0.25">
      <c r="G49" s="9">
        <v>28</v>
      </c>
      <c r="K49" s="9">
        <f t="shared" si="26"/>
        <v>108000000.00000001</v>
      </c>
      <c r="L49" s="9">
        <f t="shared" si="27"/>
        <v>114000000.00000001</v>
      </c>
      <c r="M49" s="12">
        <f t="shared" si="28"/>
        <v>222000000.00000003</v>
      </c>
      <c r="N49" s="12">
        <f t="shared" si="32"/>
        <v>39940307.344351113</v>
      </c>
      <c r="O49" s="12">
        <f t="shared" si="21"/>
        <v>261940307.34435114</v>
      </c>
      <c r="P49" s="12">
        <f t="shared" si="14"/>
        <v>26194030734.435116</v>
      </c>
      <c r="Q49" s="12">
        <f t="shared" si="15"/>
        <v>9429851064.3966408</v>
      </c>
      <c r="R49" s="12">
        <f t="shared" si="16"/>
        <v>12573134752.528854</v>
      </c>
      <c r="X49" s="12">
        <f t="shared" si="24"/>
        <v>25032806032.81126</v>
      </c>
      <c r="Y49" s="12">
        <f t="shared" si="25"/>
        <v>68637830.272117898</v>
      </c>
      <c r="Z49" s="12">
        <f t="shared" si="30"/>
        <v>24964168202.539143</v>
      </c>
      <c r="AA49" s="12">
        <f t="shared" si="19"/>
        <v>48197016551.360611</v>
      </c>
      <c r="AB49" s="12">
        <f t="shared" si="31"/>
        <v>43377314896.224548</v>
      </c>
    </row>
    <row r="50" spans="7:28" ht="15.75" thickBot="1" x14ac:dyDescent="0.25">
      <c r="G50" s="9">
        <v>29</v>
      </c>
      <c r="K50" s="9">
        <f t="shared" si="26"/>
        <v>110250000.00000001</v>
      </c>
      <c r="L50" s="9">
        <f t="shared" si="27"/>
        <v>117000000.00000001</v>
      </c>
      <c r="M50" s="12">
        <f t="shared" si="28"/>
        <v>227250000.00000003</v>
      </c>
      <c r="N50" s="12">
        <f t="shared" si="32"/>
        <v>43135531.931899205</v>
      </c>
      <c r="O50" s="12">
        <f t="shared" si="21"/>
        <v>270385531.93189925</v>
      </c>
      <c r="P50" s="12">
        <f t="shared" si="14"/>
        <v>27038553193.189926</v>
      </c>
      <c r="Q50" s="12">
        <f t="shared" si="15"/>
        <v>9733879149.5483723</v>
      </c>
      <c r="R50" s="12">
        <f t="shared" si="16"/>
        <v>12978505532.731163</v>
      </c>
      <c r="X50" s="12">
        <f t="shared" si="24"/>
        <v>28787726937.732948</v>
      </c>
      <c r="Y50" s="12">
        <f t="shared" si="25"/>
        <v>70696965.18028143</v>
      </c>
      <c r="Z50" s="12">
        <f t="shared" si="30"/>
        <v>28717029972.552666</v>
      </c>
      <c r="AA50" s="12">
        <f t="shared" si="19"/>
        <v>49750937875.46946</v>
      </c>
      <c r="AB50" s="12">
        <f t="shared" si="31"/>
        <v>44775844087.922516</v>
      </c>
    </row>
    <row r="51" spans="7:28" ht="15.75" thickBot="1" x14ac:dyDescent="0.25">
      <c r="G51" s="9">
        <v>30</v>
      </c>
      <c r="K51" s="9">
        <f t="shared" si="26"/>
        <v>112500000</v>
      </c>
      <c r="L51" s="9">
        <f t="shared" si="27"/>
        <v>120000000</v>
      </c>
      <c r="M51" s="12">
        <f t="shared" si="28"/>
        <v>232500000</v>
      </c>
      <c r="N51" s="12">
        <f t="shared" si="32"/>
        <v>46586374.486451142</v>
      </c>
      <c r="O51" s="12">
        <f t="shared" si="21"/>
        <v>279086374.48645115</v>
      </c>
      <c r="P51" s="12">
        <f t="shared" si="14"/>
        <v>27908637448.645115</v>
      </c>
      <c r="Q51" s="12">
        <f t="shared" si="15"/>
        <v>10047109481.512241</v>
      </c>
      <c r="R51" s="12">
        <f t="shared" si="16"/>
        <v>13396145975.349655</v>
      </c>
      <c r="X51" s="12">
        <f t="shared" si="24"/>
        <v>33105885978.392887</v>
      </c>
      <c r="Y51" s="12">
        <f t="shared" si="25"/>
        <v>72817874.13568987</v>
      </c>
      <c r="Z51" s="12">
        <f t="shared" si="30"/>
        <v>33033068104.257198</v>
      </c>
      <c r="AA51" s="12">
        <f t="shared" si="19"/>
        <v>51351892905.507011</v>
      </c>
      <c r="AB51" s="12">
        <f t="shared" si="31"/>
        <v>46216703614.956314</v>
      </c>
    </row>
    <row r="52" spans="7:28" ht="15.75" thickBot="1" x14ac:dyDescent="0.25">
      <c r="G52" s="9">
        <v>31</v>
      </c>
      <c r="K52" s="9">
        <f t="shared" si="26"/>
        <v>114749999.99999999</v>
      </c>
      <c r="L52" s="9">
        <f t="shared" si="27"/>
        <v>122999999.99999999</v>
      </c>
      <c r="M52" s="12">
        <f t="shared" si="28"/>
        <v>237749999.99999997</v>
      </c>
      <c r="N52" s="12">
        <f t="shared" si="32"/>
        <v>50313284.445367239</v>
      </c>
      <c r="O52" s="12">
        <f t="shared" si="21"/>
        <v>288063284.44536722</v>
      </c>
      <c r="P52" s="12">
        <f t="shared" si="14"/>
        <v>28806328444.53672</v>
      </c>
      <c r="Q52" s="12">
        <f t="shared" si="15"/>
        <v>10370278240.03322</v>
      </c>
      <c r="R52" s="12">
        <f t="shared" si="16"/>
        <v>13827037653.377626</v>
      </c>
      <c r="X52" s="12">
        <f t="shared" si="24"/>
        <v>38071768875.151817</v>
      </c>
      <c r="Y52" s="12">
        <f t="shared" si="25"/>
        <v>75002410.359760568</v>
      </c>
      <c r="Z52" s="12">
        <f t="shared" si="30"/>
        <v>37996766464.792053</v>
      </c>
      <c r="AA52" s="12">
        <f t="shared" si="19"/>
        <v>53003644337.947571</v>
      </c>
      <c r="AB52" s="12">
        <f t="shared" si="31"/>
        <v>47703279904.152817</v>
      </c>
    </row>
    <row r="53" spans="7:28" ht="15.75" thickBot="1" x14ac:dyDescent="0.25">
      <c r="G53" s="9">
        <v>32</v>
      </c>
      <c r="K53" s="9">
        <f t="shared" si="26"/>
        <v>117000000</v>
      </c>
      <c r="L53" s="9">
        <f t="shared" si="27"/>
        <v>126000000</v>
      </c>
      <c r="M53" s="12">
        <f t="shared" si="28"/>
        <v>243000000</v>
      </c>
      <c r="N53" s="12">
        <f t="shared" si="32"/>
        <v>54338347.200996622</v>
      </c>
      <c r="O53" s="12">
        <f t="shared" si="21"/>
        <v>297338347.20099664</v>
      </c>
      <c r="P53" s="12">
        <f t="shared" si="14"/>
        <v>29733834720.099663</v>
      </c>
      <c r="Q53" s="12">
        <f t="shared" si="15"/>
        <v>10704180499.235878</v>
      </c>
      <c r="R53" s="12">
        <f t="shared" si="16"/>
        <v>14272240665.647839</v>
      </c>
      <c r="X53" s="12">
        <f t="shared" si="24"/>
        <v>43782534206.424583</v>
      </c>
      <c r="Y53" s="12">
        <f t="shared" si="25"/>
        <v>77252482.670553386</v>
      </c>
      <c r="Z53" s="12">
        <f t="shared" si="30"/>
        <v>43705281723.754028</v>
      </c>
      <c r="AA53" s="12">
        <f t="shared" si="19"/>
        <v>54710255884.983383</v>
      </c>
      <c r="AB53" s="12">
        <f t="shared" si="31"/>
        <v>49239230296.485046</v>
      </c>
    </row>
    <row r="54" spans="7:28" ht="15.75" thickBot="1" x14ac:dyDescent="0.25">
      <c r="G54" s="9">
        <v>33</v>
      </c>
      <c r="K54" s="9">
        <f t="shared" si="26"/>
        <v>119250000.00000001</v>
      </c>
      <c r="L54" s="9">
        <f t="shared" si="27"/>
        <v>129000000.00000001</v>
      </c>
      <c r="M54" s="12">
        <f t="shared" si="28"/>
        <v>248250000.00000003</v>
      </c>
      <c r="N54" s="12">
        <f t="shared" si="32"/>
        <v>58685414.977076359</v>
      </c>
      <c r="O54" s="12">
        <f t="shared" si="21"/>
        <v>306935414.97707641</v>
      </c>
      <c r="P54" s="12">
        <f t="shared" si="14"/>
        <v>30693541497.707642</v>
      </c>
      <c r="Q54" s="12">
        <f t="shared" si="15"/>
        <v>11049674939.174751</v>
      </c>
      <c r="R54" s="12">
        <f t="shared" si="16"/>
        <v>14732899918.899668</v>
      </c>
      <c r="X54" s="12">
        <f t="shared" si="24"/>
        <v>50349914337.388268</v>
      </c>
      <c r="Y54" s="12">
        <f t="shared" si="25"/>
        <v>79570057.150669992</v>
      </c>
      <c r="Z54" s="12">
        <f t="shared" si="30"/>
        <v>50270344280.237595</v>
      </c>
      <c r="AA54" s="12">
        <f t="shared" si="19"/>
        <v>56476116355.782059</v>
      </c>
      <c r="AB54" s="12">
        <f t="shared" si="31"/>
        <v>50828504720.20385</v>
      </c>
    </row>
    <row r="55" spans="7:28" ht="15.75" thickBot="1" x14ac:dyDescent="0.25">
      <c r="G55" s="9">
        <v>34</v>
      </c>
      <c r="K55" s="9">
        <f t="shared" si="26"/>
        <v>121500000.00000001</v>
      </c>
      <c r="L55" s="9">
        <f t="shared" si="27"/>
        <v>132000000.00000001</v>
      </c>
      <c r="M55" s="12">
        <f t="shared" si="28"/>
        <v>253500000.00000003</v>
      </c>
      <c r="N55" s="12">
        <f t="shared" si="32"/>
        <v>63380248.175242469</v>
      </c>
      <c r="O55" s="12">
        <f t="shared" si="21"/>
        <v>316880248.17524248</v>
      </c>
      <c r="P55" s="12">
        <f t="shared" si="14"/>
        <v>31688024817.52425</v>
      </c>
      <c r="Q55" s="12">
        <f t="shared" si="15"/>
        <v>11407688934.308729</v>
      </c>
      <c r="R55" s="12">
        <f t="shared" si="16"/>
        <v>15210251912.41164</v>
      </c>
      <c r="X55" s="12">
        <f t="shared" si="24"/>
        <v>57902401487.996506</v>
      </c>
      <c r="Y55" s="12">
        <f t="shared" si="25"/>
        <v>81957158.865190089</v>
      </c>
      <c r="Z55" s="12">
        <f t="shared" si="30"/>
        <v>57820444329.131317</v>
      </c>
      <c r="AA55" s="12">
        <f t="shared" si="19"/>
        <v>58305965664.244614</v>
      </c>
      <c r="AB55" s="12">
        <f t="shared" si="31"/>
        <v>52475369097.820152</v>
      </c>
    </row>
    <row r="56" spans="7:28" ht="15.75" thickBot="1" x14ac:dyDescent="0.25">
      <c r="G56" s="9">
        <v>35</v>
      </c>
      <c r="K56" s="9">
        <f t="shared" si="26"/>
        <v>123750000</v>
      </c>
      <c r="L56" s="9">
        <f t="shared" si="27"/>
        <v>135000000</v>
      </c>
      <c r="M56" s="12">
        <f t="shared" si="28"/>
        <v>258750000</v>
      </c>
      <c r="N56" s="12">
        <f t="shared" si="32"/>
        <v>68450668.029261872</v>
      </c>
      <c r="O56" s="12">
        <f t="shared" si="21"/>
        <v>327200668.02926189</v>
      </c>
      <c r="P56" s="12">
        <f t="shared" si="14"/>
        <v>32720066802.926189</v>
      </c>
      <c r="Q56" s="12">
        <f t="shared" si="15"/>
        <v>11779224049.053429</v>
      </c>
      <c r="R56" s="12">
        <f t="shared" si="16"/>
        <v>15705632065.404572</v>
      </c>
      <c r="X56" s="12">
        <f t="shared" si="24"/>
        <v>66587761711.195976</v>
      </c>
      <c r="Y56" s="12">
        <f t="shared" si="25"/>
        <v>84415873.63114579</v>
      </c>
      <c r="Z56" s="12">
        <f t="shared" si="30"/>
        <v>66503345837.564827</v>
      </c>
      <c r="AA56" s="12">
        <f t="shared" si="19"/>
        <v>60204922917.384186</v>
      </c>
      <c r="AB56" s="12">
        <f t="shared" si="31"/>
        <v>54184430625.645767</v>
      </c>
    </row>
    <row r="57" spans="7:28" ht="15.75" thickBot="1" x14ac:dyDescent="0.25">
      <c r="G57" s="9">
        <v>36</v>
      </c>
      <c r="K57" s="9">
        <f t="shared" si="26"/>
        <v>125999999.99999999</v>
      </c>
      <c r="L57" s="9">
        <f t="shared" si="27"/>
        <v>138000000</v>
      </c>
      <c r="M57" s="12">
        <f t="shared" si="28"/>
        <v>264000000</v>
      </c>
      <c r="N57" s="12">
        <f t="shared" si="32"/>
        <v>73926721.471602827</v>
      </c>
      <c r="O57" s="12">
        <f t="shared" si="21"/>
        <v>337926721.4716028</v>
      </c>
      <c r="P57" s="12">
        <f t="shared" si="14"/>
        <v>33792672147.160278</v>
      </c>
      <c r="Q57" s="12">
        <f t="shared" si="15"/>
        <v>12165361972.977701</v>
      </c>
      <c r="R57" s="12">
        <f t="shared" si="16"/>
        <v>16220482630.636934</v>
      </c>
      <c r="X57" s="12">
        <f t="shared" si="24"/>
        <v>76575925967.875366</v>
      </c>
      <c r="Y57" s="12">
        <f t="shared" si="25"/>
        <v>86948349.840080172</v>
      </c>
      <c r="Z57" s="12">
        <f t="shared" si="30"/>
        <v>76488977618.035294</v>
      </c>
      <c r="AA57" s="12">
        <f t="shared" si="19"/>
        <v>62178516750.774918</v>
      </c>
      <c r="AB57" s="12">
        <f t="shared" si="31"/>
        <v>55960665075.697426</v>
      </c>
    </row>
    <row r="58" spans="7:28" ht="15.75" thickBot="1" x14ac:dyDescent="0.25">
      <c r="G58" s="9">
        <v>37</v>
      </c>
      <c r="K58" s="9">
        <f t="shared" si="26"/>
        <v>128250000</v>
      </c>
      <c r="L58" s="9">
        <f t="shared" si="27"/>
        <v>141000000</v>
      </c>
      <c r="M58" s="12">
        <f t="shared" si="28"/>
        <v>269250000</v>
      </c>
      <c r="N58" s="12">
        <f t="shared" si="32"/>
        <v>79840859.189331055</v>
      </c>
      <c r="O58" s="12">
        <f t="shared" si="21"/>
        <v>349090859.18933105</v>
      </c>
      <c r="P58" s="12">
        <f t="shared" si="14"/>
        <v>34909085918.933105</v>
      </c>
      <c r="Q58" s="12">
        <f t="shared" si="15"/>
        <v>12567270930.815918</v>
      </c>
      <c r="R58" s="12">
        <f t="shared" si="16"/>
        <v>16756361241.087891</v>
      </c>
      <c r="X58" s="12">
        <f t="shared" si="24"/>
        <v>88062314863.056671</v>
      </c>
      <c r="Y58" s="12">
        <f t="shared" si="25"/>
        <v>89556800.335282579</v>
      </c>
      <c r="Z58" s="12">
        <f t="shared" si="30"/>
        <v>87972758062.72139</v>
      </c>
      <c r="AA58" s="12">
        <f t="shared" si="19"/>
        <v>64232718090.836914</v>
      </c>
      <c r="AB58" s="12">
        <f t="shared" si="31"/>
        <v>57809446281.75322</v>
      </c>
    </row>
    <row r="59" spans="7:28" ht="15.75" thickBot="1" x14ac:dyDescent="0.25">
      <c r="G59" s="9">
        <v>38</v>
      </c>
      <c r="K59" s="9">
        <f t="shared" si="26"/>
        <v>130500000.00000001</v>
      </c>
      <c r="L59" s="9">
        <f t="shared" si="27"/>
        <v>144000000.00000003</v>
      </c>
      <c r="M59" s="12">
        <f t="shared" si="28"/>
        <v>274500000.00000006</v>
      </c>
      <c r="N59" s="12">
        <f t="shared" si="32"/>
        <v>86228127.924477547</v>
      </c>
      <c r="O59" s="12">
        <f t="shared" si="21"/>
        <v>360728127.92447758</v>
      </c>
      <c r="P59" s="12">
        <f t="shared" si="14"/>
        <v>36072812792.447754</v>
      </c>
      <c r="Q59" s="12">
        <f t="shared" si="15"/>
        <v>12986212605.281193</v>
      </c>
      <c r="R59" s="12">
        <f t="shared" si="16"/>
        <v>17314950140.374924</v>
      </c>
      <c r="X59" s="12">
        <f t="shared" si="24"/>
        <v>101271662092.51517</v>
      </c>
      <c r="Y59" s="12">
        <f t="shared" si="25"/>
        <v>92243504.345341057</v>
      </c>
      <c r="Z59" s="12">
        <f t="shared" si="30"/>
        <v>101179418588.16983</v>
      </c>
      <c r="AA59" s="12">
        <f t="shared" si="19"/>
        <v>66373975538.103867</v>
      </c>
      <c r="AB59" s="12">
        <f t="shared" si="31"/>
        <v>59736577984.29348</v>
      </c>
    </row>
    <row r="60" spans="7:28" ht="15.75" thickBot="1" x14ac:dyDescent="0.25">
      <c r="G60" s="9">
        <v>39</v>
      </c>
      <c r="K60" s="9">
        <f t="shared" si="26"/>
        <v>132750000.00000001</v>
      </c>
      <c r="L60" s="9">
        <f t="shared" si="27"/>
        <v>147000000</v>
      </c>
      <c r="M60" s="12">
        <f t="shared" si="28"/>
        <v>279750000</v>
      </c>
      <c r="N60" s="12">
        <f t="shared" si="32"/>
        <v>93126378.158435762</v>
      </c>
      <c r="O60" s="12">
        <f t="shared" si="21"/>
        <v>372876378.15843576</v>
      </c>
      <c r="P60" s="12">
        <f t="shared" si="14"/>
        <v>37287637815.843575</v>
      </c>
      <c r="Q60" s="12">
        <f t="shared" si="15"/>
        <v>13423549613.703688</v>
      </c>
      <c r="R60" s="12">
        <f t="shared" si="16"/>
        <v>17898066151.604916</v>
      </c>
      <c r="X60" s="12">
        <f t="shared" si="24"/>
        <v>116462411406.39244</v>
      </c>
      <c r="Y60" s="12">
        <f t="shared" si="25"/>
        <v>95010809.475701287</v>
      </c>
      <c r="Z60" s="12">
        <f t="shared" si="30"/>
        <v>116367400596.91673</v>
      </c>
      <c r="AA60" s="12">
        <f t="shared" si="19"/>
        <v>68609253581.152176</v>
      </c>
      <c r="AB60" s="12">
        <f t="shared" si="31"/>
        <v>61748328223.036957</v>
      </c>
    </row>
    <row r="61" spans="7:28" ht="15.75" thickBot="1" x14ac:dyDescent="0.25">
      <c r="G61" s="9">
        <v>40</v>
      </c>
      <c r="K61" s="9">
        <f t="shared" si="26"/>
        <v>135000000</v>
      </c>
      <c r="L61" s="9">
        <f t="shared" si="27"/>
        <v>150000000</v>
      </c>
      <c r="M61" s="12">
        <f t="shared" si="28"/>
        <v>285000000</v>
      </c>
      <c r="N61" s="12">
        <f t="shared" si="32"/>
        <v>100576488.41111062</v>
      </c>
      <c r="O61" s="12">
        <f t="shared" si="21"/>
        <v>385576488.41111064</v>
      </c>
      <c r="P61" s="12">
        <f t="shared" si="14"/>
        <v>38557648841.111061</v>
      </c>
      <c r="Q61" s="12">
        <f t="shared" si="15"/>
        <v>13880753582.799984</v>
      </c>
      <c r="R61" s="12">
        <f t="shared" si="16"/>
        <v>18507671443.733311</v>
      </c>
      <c r="X61" s="12">
        <f t="shared" si="24"/>
        <v>133931773117.3513</v>
      </c>
      <c r="Y61" s="12">
        <f t="shared" si="25"/>
        <v>97861133.759972334</v>
      </c>
      <c r="Z61" s="12">
        <f t="shared" si="30"/>
        <v>133833911983.59132</v>
      </c>
      <c r="AA61" s="12">
        <f t="shared" si="19"/>
        <v>70946073867.644348</v>
      </c>
      <c r="AB61" s="12">
        <f t="shared" si="31"/>
        <v>63851466480.879913</v>
      </c>
    </row>
    <row r="62" spans="7:28" ht="15.75" thickBot="1" x14ac:dyDescent="0.25">
      <c r="G62" s="9">
        <v>41</v>
      </c>
      <c r="K62" s="9">
        <f t="shared" si="26"/>
        <v>137250000</v>
      </c>
      <c r="L62" s="9">
        <f t="shared" si="27"/>
        <v>153000000.00000003</v>
      </c>
      <c r="M62" s="12">
        <f t="shared" si="28"/>
        <v>290250000</v>
      </c>
      <c r="N62" s="12">
        <f t="shared" si="32"/>
        <v>108622607.48399948</v>
      </c>
      <c r="O62" s="12">
        <f t="shared" si="21"/>
        <v>398872607.48399949</v>
      </c>
      <c r="P62" s="12">
        <f t="shared" si="14"/>
        <v>39887260748.399948</v>
      </c>
      <c r="Q62" s="12">
        <f t="shared" si="15"/>
        <v>14359413869.423981</v>
      </c>
      <c r="R62" s="12">
        <f t="shared" si="16"/>
        <v>19145885159.231976</v>
      </c>
    </row>
    <row r="63" spans="7:28" ht="15.75" thickBot="1" x14ac:dyDescent="0.25">
      <c r="G63" s="9">
        <v>42</v>
      </c>
      <c r="K63" s="9">
        <f t="shared" si="26"/>
        <v>139500000</v>
      </c>
      <c r="L63" s="9">
        <f t="shared" si="27"/>
        <v>156000000</v>
      </c>
      <c r="M63" s="12">
        <f t="shared" si="28"/>
        <v>295500000</v>
      </c>
      <c r="N63" s="12">
        <f t="shared" si="32"/>
        <v>117312416.08271945</v>
      </c>
      <c r="O63" s="12">
        <f t="shared" si="21"/>
        <v>412812416.08271945</v>
      </c>
      <c r="P63" s="12">
        <f t="shared" si="14"/>
        <v>41281241608.271942</v>
      </c>
      <c r="Q63" s="12">
        <f t="shared" si="15"/>
        <v>14861246978.9779</v>
      </c>
      <c r="R63" s="12">
        <f t="shared" si="16"/>
        <v>19814995971.970535</v>
      </c>
    </row>
    <row r="64" spans="7:28" ht="15.75" thickBot="1" x14ac:dyDescent="0.25">
      <c r="G64" s="9">
        <v>43</v>
      </c>
      <c r="K64" s="9">
        <f t="shared" si="26"/>
        <v>141750000</v>
      </c>
      <c r="L64" s="9">
        <f t="shared" si="27"/>
        <v>159000000</v>
      </c>
      <c r="M64" s="12">
        <f t="shared" si="28"/>
        <v>300750000</v>
      </c>
      <c r="N64" s="12">
        <f t="shared" si="32"/>
        <v>126697409.36933701</v>
      </c>
      <c r="O64" s="12">
        <f t="shared" si="21"/>
        <v>427447409.36933702</v>
      </c>
      <c r="P64" s="12">
        <f t="shared" si="14"/>
        <v>42744740936.933701</v>
      </c>
      <c r="Q64" s="12">
        <f t="shared" si="15"/>
        <v>15388106737.296133</v>
      </c>
      <c r="R64" s="12">
        <f t="shared" si="16"/>
        <v>20517475649.728176</v>
      </c>
    </row>
    <row r="65" spans="7:18" ht="15.75" thickBot="1" x14ac:dyDescent="0.25">
      <c r="G65" s="9">
        <v>44</v>
      </c>
      <c r="K65" s="9">
        <f t="shared" si="26"/>
        <v>144000000</v>
      </c>
      <c r="L65" s="9">
        <f t="shared" si="27"/>
        <v>162000000</v>
      </c>
      <c r="M65" s="12">
        <f t="shared" si="28"/>
        <v>306000000</v>
      </c>
      <c r="N65" s="12">
        <f t="shared" si="32"/>
        <v>136833202.11888397</v>
      </c>
      <c r="O65" s="12">
        <f t="shared" si="21"/>
        <v>442833202.11888397</v>
      </c>
      <c r="P65" s="12">
        <f t="shared" si="14"/>
        <v>44283320211.888397</v>
      </c>
      <c r="Q65" s="12">
        <f t="shared" si="15"/>
        <v>15941995276.279823</v>
      </c>
      <c r="R65" s="12">
        <f t="shared" si="16"/>
        <v>21255993701.706429</v>
      </c>
    </row>
    <row r="66" spans="7:18" ht="15.75" thickBot="1" x14ac:dyDescent="0.25">
      <c r="G66" s="9">
        <v>45</v>
      </c>
      <c r="K66" s="9">
        <f t="shared" si="26"/>
        <v>146250000</v>
      </c>
      <c r="L66" s="9">
        <f t="shared" si="27"/>
        <v>165000000</v>
      </c>
      <c r="M66" s="12">
        <f t="shared" si="28"/>
        <v>311250000</v>
      </c>
      <c r="N66" s="12">
        <f t="shared" si="32"/>
        <v>147779858.28839469</v>
      </c>
      <c r="O66" s="12">
        <f t="shared" si="21"/>
        <v>459029858.28839469</v>
      </c>
      <c r="P66" s="12">
        <f t="shared" si="14"/>
        <v>45902985828.83947</v>
      </c>
      <c r="Q66" s="12">
        <f t="shared" si="15"/>
        <v>16525074898.38221</v>
      </c>
      <c r="R66" s="12">
        <f t="shared" si="16"/>
        <v>22033433197.842945</v>
      </c>
    </row>
    <row r="67" spans="7:18" ht="15.75" thickBot="1" x14ac:dyDescent="0.25">
      <c r="G67" s="9">
        <v>46</v>
      </c>
      <c r="K67" s="9">
        <f t="shared" si="26"/>
        <v>148500000</v>
      </c>
      <c r="L67" s="9">
        <f t="shared" si="27"/>
        <v>168000000.00000003</v>
      </c>
      <c r="M67" s="12">
        <f t="shared" si="28"/>
        <v>316500000</v>
      </c>
      <c r="N67" s="12">
        <f t="shared" si="32"/>
        <v>159602246.95146626</v>
      </c>
      <c r="O67" s="12">
        <f t="shared" si="21"/>
        <v>476102246.95146626</v>
      </c>
      <c r="P67" s="12">
        <f t="shared" si="14"/>
        <v>47610224695.146629</v>
      </c>
      <c r="Q67" s="12">
        <f t="shared" si="15"/>
        <v>17139680890.252785</v>
      </c>
      <c r="R67" s="12">
        <f t="shared" si="16"/>
        <v>22852907853.67038</v>
      </c>
    </row>
    <row r="68" spans="7:18" ht="15.75" thickBot="1" x14ac:dyDescent="0.25">
      <c r="G68" s="9">
        <v>47</v>
      </c>
      <c r="K68" s="9">
        <f t="shared" si="26"/>
        <v>150750000</v>
      </c>
      <c r="L68" s="9">
        <f t="shared" si="27"/>
        <v>171000000</v>
      </c>
      <c r="M68" s="12">
        <f t="shared" si="28"/>
        <v>321750000</v>
      </c>
      <c r="N68" s="12">
        <f t="shared" si="32"/>
        <v>172370426.70758358</v>
      </c>
      <c r="O68" s="12">
        <f t="shared" si="21"/>
        <v>494120426.70758355</v>
      </c>
      <c r="P68" s="12">
        <f t="shared" si="14"/>
        <v>49412042670.758354</v>
      </c>
      <c r="Q68" s="12">
        <f t="shared" si="15"/>
        <v>17788335361.473007</v>
      </c>
      <c r="R68" s="12">
        <f t="shared" si="16"/>
        <v>23717780481.964012</v>
      </c>
    </row>
    <row r="69" spans="7:18" ht="15.75" thickBot="1" x14ac:dyDescent="0.25">
      <c r="G69" s="9">
        <v>48</v>
      </c>
      <c r="K69" s="9">
        <f t="shared" si="26"/>
        <v>153000000.00000003</v>
      </c>
      <c r="L69" s="9">
        <f t="shared" si="27"/>
        <v>174000000.00000003</v>
      </c>
      <c r="M69" s="12">
        <f t="shared" si="28"/>
        <v>327000000.00000006</v>
      </c>
      <c r="N69" s="12">
        <f t="shared" si="32"/>
        <v>186160060.84419027</v>
      </c>
      <c r="O69" s="12">
        <f t="shared" si="21"/>
        <v>513160060.84419036</v>
      </c>
      <c r="P69" s="12">
        <f t="shared" si="14"/>
        <v>51316006084.419037</v>
      </c>
      <c r="Q69" s="12">
        <f t="shared" si="15"/>
        <v>18473762190.390854</v>
      </c>
      <c r="R69" s="12">
        <f t="shared" si="16"/>
        <v>24631682920.521137</v>
      </c>
    </row>
    <row r="70" spans="7:18" ht="15.75" thickBot="1" x14ac:dyDescent="0.25">
      <c r="G70" s="9">
        <v>49</v>
      </c>
      <c r="K70" s="9">
        <f t="shared" si="26"/>
        <v>155250000</v>
      </c>
      <c r="L70" s="9">
        <f t="shared" si="27"/>
        <v>177000000</v>
      </c>
      <c r="M70" s="12">
        <f t="shared" si="28"/>
        <v>332250000</v>
      </c>
      <c r="N70" s="12">
        <f t="shared" si="32"/>
        <v>201052865.7117255</v>
      </c>
      <c r="O70" s="12">
        <f t="shared" si="21"/>
        <v>533302865.71172547</v>
      </c>
      <c r="P70" s="12">
        <f t="shared" si="14"/>
        <v>53330286571.172546</v>
      </c>
      <c r="Q70" s="12">
        <f t="shared" si="15"/>
        <v>19198903165.622116</v>
      </c>
      <c r="R70" s="12">
        <f t="shared" si="16"/>
        <v>25598537554.162823</v>
      </c>
    </row>
    <row r="71" spans="7:18" ht="15.75" thickBot="1" x14ac:dyDescent="0.25">
      <c r="G71" s="9">
        <v>50</v>
      </c>
      <c r="K71" s="9">
        <f t="shared" si="26"/>
        <v>157500000</v>
      </c>
      <c r="L71" s="9">
        <f t="shared" si="27"/>
        <v>180000000</v>
      </c>
      <c r="M71" s="12">
        <f t="shared" si="28"/>
        <v>337500000</v>
      </c>
      <c r="N71" s="12">
        <f t="shared" si="32"/>
        <v>217137094.96866354</v>
      </c>
      <c r="O71" s="12">
        <f t="shared" si="21"/>
        <v>554637094.96866357</v>
      </c>
      <c r="P71" s="12">
        <f t="shared" si="14"/>
        <v>55463709496.866356</v>
      </c>
      <c r="Q71" s="12">
        <f t="shared" si="15"/>
        <v>19966935418.871887</v>
      </c>
      <c r="R71" s="12">
        <f t="shared" si="16"/>
        <v>26622580558.49585</v>
      </c>
    </row>
    <row r="72" spans="7:18" ht="15.75" thickBot="1" x14ac:dyDescent="0.25">
      <c r="G72" s="9">
        <v>51</v>
      </c>
      <c r="K72" s="9">
        <f t="shared" si="26"/>
        <v>159750000</v>
      </c>
      <c r="L72" s="9">
        <f t="shared" si="27"/>
        <v>183000000.00000003</v>
      </c>
      <c r="M72" s="12">
        <f t="shared" si="28"/>
        <v>342750000</v>
      </c>
      <c r="N72" s="12">
        <f t="shared" si="32"/>
        <v>234508062.56615666</v>
      </c>
      <c r="O72" s="12">
        <f t="shared" si="21"/>
        <v>577258062.56615663</v>
      </c>
      <c r="P72" s="12">
        <f t="shared" si="14"/>
        <v>57725806256.615662</v>
      </c>
      <c r="Q72" s="12">
        <f t="shared" si="15"/>
        <v>20781290252.381638</v>
      </c>
      <c r="R72" s="12">
        <f t="shared" si="16"/>
        <v>27708387003.175518</v>
      </c>
    </row>
    <row r="73" spans="7:18" ht="15.75" thickBot="1" x14ac:dyDescent="0.25">
      <c r="G73" s="9">
        <v>52</v>
      </c>
      <c r="K73" s="9">
        <f t="shared" si="26"/>
        <v>162000000</v>
      </c>
      <c r="L73" s="9">
        <f t="shared" si="27"/>
        <v>186000000</v>
      </c>
      <c r="M73" s="12">
        <f t="shared" si="28"/>
        <v>348000000</v>
      </c>
      <c r="N73" s="12">
        <f t="shared" si="32"/>
        <v>253268707.57144919</v>
      </c>
      <c r="O73" s="12">
        <f t="shared" si="21"/>
        <v>601268707.57144916</v>
      </c>
      <c r="P73" s="12">
        <f t="shared" si="14"/>
        <v>60126870757.144913</v>
      </c>
      <c r="Q73" s="12">
        <f t="shared" si="15"/>
        <v>21645673472.57217</v>
      </c>
      <c r="R73" s="12">
        <f t="shared" si="16"/>
        <v>28860897963.429558</v>
      </c>
    </row>
    <row r="74" spans="7:18" ht="15.75" thickBot="1" x14ac:dyDescent="0.25">
      <c r="G74" s="9">
        <v>53</v>
      </c>
      <c r="K74" s="9">
        <f t="shared" si="26"/>
        <v>164250000.00000003</v>
      </c>
      <c r="L74" s="9">
        <f t="shared" si="27"/>
        <v>189000000.00000003</v>
      </c>
      <c r="M74" s="12">
        <f t="shared" si="28"/>
        <v>353250000.00000006</v>
      </c>
      <c r="N74" s="12">
        <f t="shared" si="32"/>
        <v>273530204.17716515</v>
      </c>
      <c r="O74" s="12">
        <f t="shared" si="21"/>
        <v>626780204.17716527</v>
      </c>
      <c r="P74" s="12">
        <f t="shared" si="14"/>
        <v>62678020417.71653</v>
      </c>
      <c r="Q74" s="12">
        <f t="shared" si="15"/>
        <v>22564087350.377949</v>
      </c>
      <c r="R74" s="12">
        <f t="shared" si="16"/>
        <v>30085449800.503933</v>
      </c>
    </row>
    <row r="75" spans="7:18" ht="15.75" thickBot="1" x14ac:dyDescent="0.25">
      <c r="G75" s="9">
        <v>54</v>
      </c>
      <c r="K75" s="9">
        <f t="shared" si="26"/>
        <v>166500000</v>
      </c>
      <c r="L75" s="9">
        <f t="shared" si="27"/>
        <v>192000000</v>
      </c>
      <c r="M75" s="12">
        <f t="shared" si="28"/>
        <v>358500000</v>
      </c>
      <c r="N75" s="12">
        <f t="shared" si="32"/>
        <v>295412620.51133835</v>
      </c>
      <c r="O75" s="12">
        <f t="shared" si="21"/>
        <v>653912620.51133835</v>
      </c>
      <c r="P75" s="12">
        <f t="shared" si="14"/>
        <v>65391262051.133835</v>
      </c>
      <c r="Q75" s="12">
        <f t="shared" si="15"/>
        <v>23540854338.40818</v>
      </c>
      <c r="R75" s="12">
        <f t="shared" si="16"/>
        <v>31387805784.544243</v>
      </c>
    </row>
    <row r="76" spans="7:18" ht="15.75" thickBot="1" x14ac:dyDescent="0.25">
      <c r="G76" s="9">
        <v>55</v>
      </c>
      <c r="K76" s="9">
        <f t="shared" si="26"/>
        <v>168750000</v>
      </c>
      <c r="L76" s="9">
        <f t="shared" si="27"/>
        <v>195000000</v>
      </c>
      <c r="M76" s="12">
        <f t="shared" si="28"/>
        <v>363750000</v>
      </c>
      <c r="N76" s="12">
        <f t="shared" si="32"/>
        <v>319045630.15224546</v>
      </c>
      <c r="O76" s="12">
        <f t="shared" si="21"/>
        <v>682795630.15224552</v>
      </c>
      <c r="P76" s="12">
        <f t="shared" si="14"/>
        <v>68279563015.224548</v>
      </c>
      <c r="Q76" s="12">
        <f t="shared" si="15"/>
        <v>24580642685.480839</v>
      </c>
      <c r="R76" s="12">
        <f t="shared" si="16"/>
        <v>32774190247.307785</v>
      </c>
    </row>
    <row r="77" spans="7:18" ht="15.75" thickBot="1" x14ac:dyDescent="0.25">
      <c r="G77" s="9">
        <v>56</v>
      </c>
      <c r="K77" s="9">
        <f t="shared" si="26"/>
        <v>171000000</v>
      </c>
      <c r="L77" s="9">
        <f t="shared" si="27"/>
        <v>198000000.00000003</v>
      </c>
      <c r="M77" s="12">
        <f t="shared" si="28"/>
        <v>369000000</v>
      </c>
      <c r="N77" s="12">
        <f t="shared" si="32"/>
        <v>344569280.56442511</v>
      </c>
      <c r="O77" s="12">
        <f t="shared" si="21"/>
        <v>713569280.56442511</v>
      </c>
      <c r="P77" s="12">
        <f t="shared" si="14"/>
        <v>71356928056.442505</v>
      </c>
      <c r="Q77" s="12">
        <f t="shared" si="15"/>
        <v>25688494100.319305</v>
      </c>
      <c r="R77" s="12">
        <f t="shared" si="16"/>
        <v>34251325467.092407</v>
      </c>
    </row>
    <row r="78" spans="7:18" ht="15.75" thickBot="1" x14ac:dyDescent="0.25">
      <c r="G78" s="9">
        <v>57</v>
      </c>
      <c r="K78" s="9">
        <f t="shared" si="26"/>
        <v>173250000</v>
      </c>
      <c r="L78" s="9">
        <f t="shared" si="27"/>
        <v>201000000</v>
      </c>
      <c r="M78" s="12">
        <f t="shared" si="28"/>
        <v>374250000</v>
      </c>
      <c r="N78" s="12">
        <f t="shared" si="32"/>
        <v>372134823.00957912</v>
      </c>
      <c r="O78" s="12">
        <f t="shared" si="21"/>
        <v>746384823.00957918</v>
      </c>
      <c r="P78" s="12">
        <f t="shared" si="14"/>
        <v>74638482300.957916</v>
      </c>
      <c r="Q78" s="12">
        <f t="shared" si="15"/>
        <v>26869853628.344849</v>
      </c>
      <c r="R78" s="12">
        <f t="shared" si="16"/>
        <v>35826471504.459801</v>
      </c>
    </row>
    <row r="79" spans="7:18" ht="15.75" thickBot="1" x14ac:dyDescent="0.25">
      <c r="G79" s="9">
        <v>58</v>
      </c>
      <c r="K79" s="9">
        <f t="shared" si="26"/>
        <v>175500000.00000003</v>
      </c>
      <c r="L79" s="9">
        <f t="shared" si="27"/>
        <v>204000000.00000003</v>
      </c>
      <c r="M79" s="12">
        <f t="shared" si="28"/>
        <v>379500000.00000006</v>
      </c>
      <c r="N79" s="12">
        <f t="shared" si="32"/>
        <v>401905608.85034549</v>
      </c>
      <c r="O79" s="12">
        <f t="shared" si="21"/>
        <v>781405608.85034561</v>
      </c>
      <c r="P79" s="12">
        <f t="shared" si="14"/>
        <v>78140560885.034561</v>
      </c>
      <c r="Q79" s="12">
        <f t="shared" si="15"/>
        <v>28130601918.612442</v>
      </c>
      <c r="R79" s="12">
        <f t="shared" si="16"/>
        <v>37507469224.816589</v>
      </c>
    </row>
    <row r="80" spans="7:18" ht="15.75" thickBot="1" x14ac:dyDescent="0.25">
      <c r="G80" s="9">
        <v>59</v>
      </c>
      <c r="K80" s="9">
        <f t="shared" si="26"/>
        <v>177750000</v>
      </c>
      <c r="L80" s="9">
        <f t="shared" si="27"/>
        <v>207000000</v>
      </c>
      <c r="M80" s="12">
        <f t="shared" si="28"/>
        <v>384750000</v>
      </c>
      <c r="N80" s="12">
        <f t="shared" si="32"/>
        <v>434058057.55837315</v>
      </c>
      <c r="O80" s="12">
        <f t="shared" si="21"/>
        <v>818808057.55837321</v>
      </c>
      <c r="P80" s="12">
        <f t="shared" si="14"/>
        <v>81880805755.837326</v>
      </c>
      <c r="Q80" s="12">
        <f t="shared" si="15"/>
        <v>29477090072.101437</v>
      </c>
      <c r="R80" s="12">
        <f t="shared" si="16"/>
        <v>39302786762.80191</v>
      </c>
    </row>
    <row r="81" spans="7:18" ht="15.75" thickBot="1" x14ac:dyDescent="0.25">
      <c r="G81" s="9">
        <v>60</v>
      </c>
      <c r="K81" s="9">
        <f t="shared" si="26"/>
        <v>180000000</v>
      </c>
      <c r="L81" s="9">
        <f t="shared" si="27"/>
        <v>210000000</v>
      </c>
      <c r="M81" s="12">
        <f t="shared" si="28"/>
        <v>390000000</v>
      </c>
      <c r="N81" s="12">
        <f t="shared" si="32"/>
        <v>468782702.16304302</v>
      </c>
      <c r="O81" s="12">
        <f t="shared" si="21"/>
        <v>858782702.16304302</v>
      </c>
      <c r="P81" s="12">
        <f t="shared" si="14"/>
        <v>85878270216.304306</v>
      </c>
      <c r="Q81" s="12">
        <f t="shared" si="15"/>
        <v>30916177277.869549</v>
      </c>
      <c r="R81" s="12">
        <f t="shared" si="16"/>
        <v>41221569703.826065</v>
      </c>
    </row>
    <row r="82" spans="7:18" ht="15.75" thickBot="1" x14ac:dyDescent="0.25">
      <c r="G82" s="9">
        <v>61</v>
      </c>
      <c r="K82" s="9">
        <f t="shared" si="26"/>
        <v>182250000.00000003</v>
      </c>
      <c r="L82" s="9">
        <f t="shared" si="27"/>
        <v>213000000.00000003</v>
      </c>
      <c r="M82" s="12">
        <f t="shared" si="28"/>
        <v>395250000.00000006</v>
      </c>
      <c r="N82" s="12">
        <f t="shared" si="32"/>
        <v>506285318.33608651</v>
      </c>
      <c r="O82" s="12">
        <f t="shared" si="21"/>
        <v>901535318.33608651</v>
      </c>
      <c r="P82" s="12">
        <f t="shared" si="14"/>
        <v>90153531833.608658</v>
      </c>
      <c r="Q82" s="12">
        <f t="shared" si="15"/>
        <v>32455271460.099113</v>
      </c>
      <c r="R82" s="12">
        <f t="shared" si="16"/>
        <v>43273695280.132156</v>
      </c>
    </row>
    <row r="83" spans="7:18" ht="15.75" thickBot="1" x14ac:dyDescent="0.25">
      <c r="G83" s="9">
        <v>62</v>
      </c>
      <c r="K83" s="9">
        <f t="shared" si="26"/>
        <v>184499999.99999997</v>
      </c>
      <c r="L83" s="9">
        <f t="shared" si="27"/>
        <v>216000000</v>
      </c>
      <c r="M83" s="12">
        <f t="shared" si="28"/>
        <v>400500000</v>
      </c>
      <c r="N83" s="12">
        <f t="shared" si="32"/>
        <v>546788143.80297351</v>
      </c>
      <c r="O83" s="12">
        <f t="shared" si="21"/>
        <v>947288143.80297351</v>
      </c>
      <c r="P83" s="12">
        <f t="shared" si="14"/>
        <v>94728814380.297348</v>
      </c>
      <c r="Q83" s="12">
        <f t="shared" si="15"/>
        <v>34102373176.907047</v>
      </c>
      <c r="R83" s="12">
        <f t="shared" si="16"/>
        <v>45469830902.542725</v>
      </c>
    </row>
    <row r="84" spans="7:18" ht="15.75" thickBot="1" x14ac:dyDescent="0.25">
      <c r="G84" s="9">
        <v>63</v>
      </c>
      <c r="K84" s="9">
        <f t="shared" si="26"/>
        <v>186750000.00000003</v>
      </c>
      <c r="L84" s="9">
        <f t="shared" si="27"/>
        <v>219000000.00000003</v>
      </c>
      <c r="M84" s="12">
        <f t="shared" si="28"/>
        <v>405750000.00000006</v>
      </c>
      <c r="N84" s="12">
        <f t="shared" si="32"/>
        <v>590531195.3072114</v>
      </c>
      <c r="O84" s="12">
        <f t="shared" si="21"/>
        <v>996281195.3072114</v>
      </c>
      <c r="P84" s="12">
        <f t="shared" si="14"/>
        <v>99628119530.721146</v>
      </c>
      <c r="Q84" s="12">
        <f t="shared" si="15"/>
        <v>35866123031.059608</v>
      </c>
      <c r="R84" s="12">
        <f t="shared" si="16"/>
        <v>47821497374.746147</v>
      </c>
    </row>
    <row r="85" spans="7:18" ht="15.75" thickBot="1" x14ac:dyDescent="0.25">
      <c r="G85" s="9">
        <v>64</v>
      </c>
      <c r="K85" s="9">
        <f t="shared" si="26"/>
        <v>189000000</v>
      </c>
      <c r="L85" s="9">
        <f t="shared" si="27"/>
        <v>222000000</v>
      </c>
      <c r="M85" s="12">
        <f t="shared" si="28"/>
        <v>411000000</v>
      </c>
      <c r="N85" s="12">
        <f t="shared" si="32"/>
        <v>637773690.93178833</v>
      </c>
      <c r="O85" s="12">
        <f t="shared" si="21"/>
        <v>1048773690.9317883</v>
      </c>
      <c r="P85" s="12">
        <f t="shared" ref="P85:P86" si="33">$O85*$B$17</f>
        <v>104877369093.17883</v>
      </c>
      <c r="Q85" s="12">
        <f t="shared" ref="Q85:Q86" si="34">$O85*$B$18</f>
        <v>37755852873.54438</v>
      </c>
      <c r="R85" s="12">
        <f t="shared" ref="R85:R86" si="35">$O85*$C$18</f>
        <v>50341137164.725838</v>
      </c>
    </row>
    <row r="86" spans="7:18" ht="15.75" thickBot="1" x14ac:dyDescent="0.25">
      <c r="G86" s="9">
        <v>65</v>
      </c>
      <c r="K86" s="9">
        <f t="shared" si="26"/>
        <v>191250000</v>
      </c>
      <c r="L86" s="9">
        <f t="shared" si="27"/>
        <v>225000000</v>
      </c>
      <c r="M86" s="12">
        <f t="shared" si="28"/>
        <v>416250000</v>
      </c>
      <c r="N86" s="12">
        <f t="shared" si="32"/>
        <v>688795586.20633149</v>
      </c>
      <c r="O86" s="12">
        <f t="shared" ref="O86" si="36">N86+M86</f>
        <v>1105045586.2063315</v>
      </c>
      <c r="P86" s="12">
        <f t="shared" si="33"/>
        <v>110504558620.63315</v>
      </c>
      <c r="Q86" s="12">
        <f t="shared" si="34"/>
        <v>39781641103.427933</v>
      </c>
      <c r="R86" s="12">
        <f t="shared" si="35"/>
        <v>53042188137.903915</v>
      </c>
    </row>
  </sheetData>
  <mergeCells count="3">
    <mergeCell ref="J1:L1"/>
    <mergeCell ref="J19:L19"/>
    <mergeCell ref="S19:U1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ICF (Q1)</vt:lpstr>
      <vt:lpstr>NPV,IRR (Q2)</vt:lpstr>
      <vt:lpstr>ALTERNIUM LIFE&gt;10YR (Q3)</vt:lpstr>
      <vt:lpstr>VALUES FOR (Q3)</vt:lpstr>
      <vt:lpstr>INFLATION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JATIN</dc:creator>
  <cp:lastModifiedBy>Jatin Modi</cp:lastModifiedBy>
  <dcterms:created xsi:type="dcterms:W3CDTF">2022-02-13T05:17:13Z</dcterms:created>
  <dcterms:modified xsi:type="dcterms:W3CDTF">2022-02-19T18:55:43Z</dcterms:modified>
</cp:coreProperties>
</file>