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e4c78fa3ef12c1c5/Desktop/"/>
    </mc:Choice>
  </mc:AlternateContent>
  <xr:revisionPtr revIDLastSave="7" documentId="8_{084B0CC6-1FEC-4E1E-B799-D03B14A441A6}" xr6:coauthVersionLast="47" xr6:coauthVersionMax="47" xr10:uidLastSave="{A6CB6E90-DAB9-4681-AB49-18E7BDC90DA1}"/>
  <bookViews>
    <workbookView xWindow="-108" yWindow="-108" windowWidth="23256" windowHeight="12456" activeTab="1" xr2:uid="{E7131D56-1F84-4A4C-8870-9A638F30C1CE}"/>
  </bookViews>
  <sheets>
    <sheet name="QUESTION1" sheetId="2" r:id="rId1"/>
    <sheet name="QUESTION 2" sheetId="7" r:id="rId2"/>
    <sheet name="QUESTION 3" sheetId="8" r:id="rId3"/>
    <sheet name="QUESTION3" sheetId="9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42" i="2" l="1"/>
  <c r="K58" i="7"/>
  <c r="K59" i="7"/>
  <c r="D57" i="7"/>
  <c r="I57" i="7"/>
  <c r="K57" i="7"/>
  <c r="I58" i="7"/>
  <c r="AC15" i="8"/>
  <c r="AC16" i="8"/>
  <c r="AC17" i="8"/>
  <c r="AC18" i="8"/>
  <c r="AC19" i="8"/>
  <c r="AC20" i="8"/>
  <c r="AC21" i="8"/>
  <c r="AC22" i="8"/>
  <c r="AC23" i="8"/>
  <c r="AC24" i="8"/>
  <c r="AC25" i="8"/>
  <c r="AC26" i="8"/>
  <c r="AC27" i="8"/>
  <c r="AC28" i="8"/>
  <c r="AC14" i="8"/>
  <c r="I27" i="9"/>
  <c r="D33" i="9" s="1"/>
  <c r="I18" i="9"/>
  <c r="I17" i="9"/>
  <c r="I16" i="9"/>
  <c r="I12" i="9"/>
  <c r="I10" i="9"/>
  <c r="Q24" i="8"/>
  <c r="Q25" i="8"/>
  <c r="R25" i="8" s="1"/>
  <c r="N69" i="8" s="1"/>
  <c r="Q26" i="8"/>
  <c r="Q27" i="8"/>
  <c r="R27" i="8" s="1"/>
  <c r="N71" i="8" s="1"/>
  <c r="Q28" i="8"/>
  <c r="K76" i="9"/>
  <c r="K68" i="9"/>
  <c r="I47" i="9"/>
  <c r="K47" i="9" s="1"/>
  <c r="BN24" i="8"/>
  <c r="H12" i="9"/>
  <c r="H16" i="9" s="1"/>
  <c r="H10" i="9"/>
  <c r="I43" i="9"/>
  <c r="I39" i="9"/>
  <c r="K39" i="9" s="1"/>
  <c r="I35" i="9"/>
  <c r="K35" i="9" s="1"/>
  <c r="I29" i="9"/>
  <c r="I42" i="9" s="1"/>
  <c r="K42" i="9" s="1"/>
  <c r="K47" i="8"/>
  <c r="K48" i="8"/>
  <c r="K49" i="8"/>
  <c r="K50" i="8"/>
  <c r="K51" i="8"/>
  <c r="I47" i="8"/>
  <c r="I48" i="8" s="1"/>
  <c r="I49" i="8" s="1"/>
  <c r="I50" i="8" s="1"/>
  <c r="I51" i="8" s="1"/>
  <c r="H47" i="8"/>
  <c r="H48" i="8" s="1"/>
  <c r="H49" i="8" s="1"/>
  <c r="H50" i="8" s="1"/>
  <c r="H51" i="8" s="1"/>
  <c r="D47" i="8"/>
  <c r="D48" i="8" s="1"/>
  <c r="D49" i="8" s="1"/>
  <c r="D50" i="8" s="1"/>
  <c r="D51" i="8" s="1"/>
  <c r="BB24" i="8"/>
  <c r="BB25" i="8" s="1"/>
  <c r="BB26" i="8" s="1"/>
  <c r="BB27" i="8" s="1"/>
  <c r="BB28" i="8" s="1"/>
  <c r="AX24" i="8"/>
  <c r="AX25" i="8" s="1"/>
  <c r="AX26" i="8" s="1"/>
  <c r="AX27" i="8" s="1"/>
  <c r="AX28" i="8" s="1"/>
  <c r="AW24" i="8"/>
  <c r="AW25" i="8"/>
  <c r="AW26" i="8" s="1"/>
  <c r="AW27" i="8" s="1"/>
  <c r="AW28" i="8" s="1"/>
  <c r="AS24" i="8"/>
  <c r="AS25" i="8" s="1"/>
  <c r="AS26" i="8" s="1"/>
  <c r="AS27" i="8" s="1"/>
  <c r="AS28" i="8" s="1"/>
  <c r="AQ24" i="8"/>
  <c r="AQ25" i="8" s="1"/>
  <c r="AQ26" i="8" s="1"/>
  <c r="AQ27" i="8" s="1"/>
  <c r="AQ28" i="8" s="1"/>
  <c r="AM24" i="8"/>
  <c r="BL24" i="8" s="1"/>
  <c r="BM24" i="8" s="1"/>
  <c r="AM25" i="8"/>
  <c r="V69" i="8" s="1"/>
  <c r="BK25" i="8" s="1"/>
  <c r="BL25" i="8" s="1"/>
  <c r="BM25" i="8" s="1"/>
  <c r="AM26" i="8"/>
  <c r="V70" i="8" s="1"/>
  <c r="BK26" i="8" s="1"/>
  <c r="BL26" i="8" s="1"/>
  <c r="BM26" i="8" s="1"/>
  <c r="AM27" i="8"/>
  <c r="V71" i="8" s="1"/>
  <c r="BK27" i="8" s="1"/>
  <c r="BL27" i="8" s="1"/>
  <c r="BM27" i="8" s="1"/>
  <c r="AM28" i="8"/>
  <c r="V72" i="8" s="1"/>
  <c r="BK28" i="8" s="1"/>
  <c r="BL28" i="8" s="1"/>
  <c r="BM28" i="8" s="1"/>
  <c r="AI22" i="8"/>
  <c r="AI24" i="8"/>
  <c r="AI23" i="8"/>
  <c r="AI25" i="8"/>
  <c r="AI26" i="8"/>
  <c r="AI27" i="8"/>
  <c r="AI28" i="8"/>
  <c r="R24" i="8"/>
  <c r="N68" i="8" s="1"/>
  <c r="R26" i="8"/>
  <c r="N70" i="8" s="1"/>
  <c r="R28" i="8"/>
  <c r="N72" i="8" s="1"/>
  <c r="P24" i="8"/>
  <c r="P25" i="8"/>
  <c r="P26" i="8" s="1"/>
  <c r="P27" i="8" s="1"/>
  <c r="P28" i="8" s="1"/>
  <c r="O24" i="8"/>
  <c r="O25" i="8" s="1"/>
  <c r="O26" i="8" s="1"/>
  <c r="O27" i="8" s="1"/>
  <c r="O28" i="8" s="1"/>
  <c r="J24" i="8"/>
  <c r="J25" i="8"/>
  <c r="J26" i="8"/>
  <c r="J27" i="8"/>
  <c r="J28" i="8"/>
  <c r="H24" i="8"/>
  <c r="H25" i="8"/>
  <c r="H26" i="8" s="1"/>
  <c r="H27" i="8" s="1"/>
  <c r="H28" i="8" s="1"/>
  <c r="G24" i="8"/>
  <c r="G25" i="8" s="1"/>
  <c r="G26" i="8" s="1"/>
  <c r="G27" i="8" s="1"/>
  <c r="G28" i="8" s="1"/>
  <c r="C24" i="8"/>
  <c r="C25" i="8" s="1"/>
  <c r="C26" i="8" s="1"/>
  <c r="C27" i="8" s="1"/>
  <c r="C28" i="8" s="1"/>
  <c r="J23" i="8"/>
  <c r="K35" i="7"/>
  <c r="K36" i="7"/>
  <c r="K37" i="7"/>
  <c r="K38" i="7"/>
  <c r="K39" i="7"/>
  <c r="K40" i="7"/>
  <c r="K41" i="7"/>
  <c r="K42" i="7"/>
  <c r="K34" i="7"/>
  <c r="I37" i="8"/>
  <c r="Q14" i="8" s="1"/>
  <c r="R14" i="8" s="1"/>
  <c r="D37" i="8"/>
  <c r="D38" i="8" s="1"/>
  <c r="H36" i="8"/>
  <c r="H37" i="8" s="1"/>
  <c r="H38" i="8" s="1"/>
  <c r="H39" i="8" s="1"/>
  <c r="H40" i="8" s="1"/>
  <c r="H41" i="8" s="1"/>
  <c r="H42" i="8" s="1"/>
  <c r="H43" i="8" s="1"/>
  <c r="H44" i="8" s="1"/>
  <c r="H45" i="8" s="1"/>
  <c r="H46" i="8" s="1"/>
  <c r="AM23" i="8"/>
  <c r="AM22" i="8"/>
  <c r="AM21" i="8"/>
  <c r="AI21" i="8"/>
  <c r="AM20" i="8"/>
  <c r="AI20" i="8"/>
  <c r="AM19" i="8"/>
  <c r="AI19" i="8"/>
  <c r="AM18" i="8"/>
  <c r="AI18" i="8"/>
  <c r="AM17" i="8"/>
  <c r="AI17" i="8"/>
  <c r="AM16" i="8"/>
  <c r="AI16" i="8"/>
  <c r="AM15" i="8"/>
  <c r="AI15" i="8"/>
  <c r="O15" i="8"/>
  <c r="O16" i="8" s="1"/>
  <c r="BB14" i="8"/>
  <c r="BB15" i="8" s="1"/>
  <c r="BB16" i="8" s="1"/>
  <c r="BB17" i="8" s="1"/>
  <c r="BB18" i="8" s="1"/>
  <c r="BB19" i="8" s="1"/>
  <c r="BB20" i="8" s="1"/>
  <c r="BB21" i="8" s="1"/>
  <c r="BB22" i="8" s="1"/>
  <c r="BB23" i="8" s="1"/>
  <c r="AX14" i="8"/>
  <c r="AX15" i="8" s="1"/>
  <c r="AX16" i="8" s="1"/>
  <c r="AX17" i="8" s="1"/>
  <c r="AX18" i="8" s="1"/>
  <c r="AX19" i="8" s="1"/>
  <c r="AX20" i="8" s="1"/>
  <c r="AX21" i="8" s="1"/>
  <c r="AX22" i="8" s="1"/>
  <c r="AX23" i="8" s="1"/>
  <c r="AW14" i="8"/>
  <c r="AW15" i="8" s="1"/>
  <c r="AW16" i="8" s="1"/>
  <c r="AW17" i="8" s="1"/>
  <c r="AW18" i="8" s="1"/>
  <c r="AW19" i="8" s="1"/>
  <c r="AW20" i="8" s="1"/>
  <c r="AW21" i="8" s="1"/>
  <c r="AW22" i="8" s="1"/>
  <c r="AW23" i="8" s="1"/>
  <c r="AS14" i="8"/>
  <c r="AS15" i="8" s="1"/>
  <c r="AS16" i="8" s="1"/>
  <c r="AS17" i="8" s="1"/>
  <c r="AS18" i="8" s="1"/>
  <c r="AS19" i="8" s="1"/>
  <c r="AS20" i="8" s="1"/>
  <c r="AS21" i="8" s="1"/>
  <c r="AS22" i="8" s="1"/>
  <c r="AS23" i="8" s="1"/>
  <c r="AQ14" i="8"/>
  <c r="AQ15" i="8" s="1"/>
  <c r="AQ16" i="8" s="1"/>
  <c r="AQ17" i="8" s="1"/>
  <c r="AQ18" i="8" s="1"/>
  <c r="AQ19" i="8" s="1"/>
  <c r="AQ20" i="8" s="1"/>
  <c r="AQ21" i="8" s="1"/>
  <c r="AQ22" i="8" s="1"/>
  <c r="AQ23" i="8" s="1"/>
  <c r="AM14" i="8"/>
  <c r="AI14" i="8"/>
  <c r="P14" i="8"/>
  <c r="P15" i="8" s="1"/>
  <c r="H14" i="8"/>
  <c r="H15" i="8" s="1"/>
  <c r="H16" i="8" s="1"/>
  <c r="H17" i="8" s="1"/>
  <c r="H18" i="8" s="1"/>
  <c r="H19" i="8" s="1"/>
  <c r="H20" i="8" s="1"/>
  <c r="H21" i="8" s="1"/>
  <c r="H22" i="8" s="1"/>
  <c r="H23" i="8" s="1"/>
  <c r="G14" i="8"/>
  <c r="G15" i="8" s="1"/>
  <c r="G16" i="8" s="1"/>
  <c r="G17" i="8" s="1"/>
  <c r="G18" i="8" s="1"/>
  <c r="G19" i="8" s="1"/>
  <c r="G20" i="8" s="1"/>
  <c r="G21" i="8" s="1"/>
  <c r="G22" i="8" s="1"/>
  <c r="G23" i="8" s="1"/>
  <c r="C14" i="8"/>
  <c r="C15" i="8" s="1"/>
  <c r="AM13" i="8"/>
  <c r="J13" i="8"/>
  <c r="V51" i="2"/>
  <c r="BN26" i="8" l="1"/>
  <c r="BN25" i="8"/>
  <c r="BN28" i="8"/>
  <c r="BN27" i="8"/>
  <c r="I46" i="9"/>
  <c r="K46" i="9" s="1"/>
  <c r="I37" i="9"/>
  <c r="K37" i="9" s="1"/>
  <c r="I41" i="9"/>
  <c r="K41" i="9" s="1"/>
  <c r="I45" i="9"/>
  <c r="K45" i="9" s="1"/>
  <c r="I33" i="9"/>
  <c r="I48" i="9"/>
  <c r="K48" i="9" s="1"/>
  <c r="I44" i="9"/>
  <c r="K44" i="9" s="1"/>
  <c r="H17" i="9"/>
  <c r="H18" i="9" s="1"/>
  <c r="D61" i="9"/>
  <c r="K33" i="9"/>
  <c r="I34" i="9"/>
  <c r="K34" i="9" s="1"/>
  <c r="I36" i="9"/>
  <c r="K36" i="9" s="1"/>
  <c r="I38" i="9"/>
  <c r="K38" i="9" s="1"/>
  <c r="I40" i="9"/>
  <c r="K40" i="9" s="1"/>
  <c r="P16" i="8"/>
  <c r="P17" i="8" s="1"/>
  <c r="P18" i="8" s="1"/>
  <c r="P19" i="8" s="1"/>
  <c r="P20" i="8" s="1"/>
  <c r="P21" i="8" s="1"/>
  <c r="P22" i="8" s="1"/>
  <c r="P23" i="8" s="1"/>
  <c r="O17" i="8"/>
  <c r="K37" i="8"/>
  <c r="C16" i="8"/>
  <c r="J15" i="8"/>
  <c r="K38" i="8"/>
  <c r="J14" i="8"/>
  <c r="K36" i="8"/>
  <c r="N57" i="8" s="1"/>
  <c r="BF13" i="8" s="1"/>
  <c r="V57" i="8" s="1"/>
  <c r="BK13" i="8" s="1"/>
  <c r="BL13" i="8" s="1"/>
  <c r="I38" i="8"/>
  <c r="D39" i="8"/>
  <c r="K43" i="9" l="1"/>
  <c r="K49" i="9" s="1"/>
  <c r="BM13" i="8"/>
  <c r="BN13" i="8" s="1"/>
  <c r="D40" i="8"/>
  <c r="C17" i="8"/>
  <c r="J16" i="8"/>
  <c r="Q15" i="8"/>
  <c r="R15" i="8" s="1"/>
  <c r="N59" i="8" s="1"/>
  <c r="BF15" i="8" s="1"/>
  <c r="V59" i="8" s="1"/>
  <c r="BK15" i="8" s="1"/>
  <c r="BL15" i="8" s="1"/>
  <c r="I39" i="8"/>
  <c r="N58" i="8"/>
  <c r="BF14" i="8" s="1"/>
  <c r="V58" i="8" s="1"/>
  <c r="BK14" i="8" s="1"/>
  <c r="BL14" i="8" s="1"/>
  <c r="O18" i="8"/>
  <c r="BM15" i="8" l="1"/>
  <c r="BN15" i="8" s="1"/>
  <c r="BM14" i="8"/>
  <c r="BN14" i="8" s="1"/>
  <c r="J17" i="8"/>
  <c r="C18" i="8"/>
  <c r="Q16" i="8"/>
  <c r="R16" i="8" s="1"/>
  <c r="I40" i="8"/>
  <c r="K40" i="8" s="1"/>
  <c r="D41" i="8"/>
  <c r="K39" i="8"/>
  <c r="N60" i="8" s="1"/>
  <c r="BF16" i="8" s="1"/>
  <c r="V60" i="8" s="1"/>
  <c r="BK16" i="8" s="1"/>
  <c r="BL16" i="8" s="1"/>
  <c r="O19" i="8"/>
  <c r="BM16" i="8" l="1"/>
  <c r="BN16" i="8"/>
  <c r="J18" i="8"/>
  <c r="C19" i="8"/>
  <c r="O20" i="8"/>
  <c r="Q17" i="8"/>
  <c r="R17" i="8" s="1"/>
  <c r="N61" i="8" s="1"/>
  <c r="BF17" i="8" s="1"/>
  <c r="V61" i="8" s="1"/>
  <c r="BK17" i="8" s="1"/>
  <c r="BL17" i="8" s="1"/>
  <c r="I41" i="8"/>
  <c r="D42" i="8"/>
  <c r="BM17" i="8" l="1"/>
  <c r="BN17" i="8"/>
  <c r="D43" i="8"/>
  <c r="O21" i="8"/>
  <c r="Q18" i="8"/>
  <c r="R18" i="8" s="1"/>
  <c r="I42" i="8"/>
  <c r="C20" i="8"/>
  <c r="J19" i="8"/>
  <c r="K41" i="8"/>
  <c r="N62" i="8"/>
  <c r="BF18" i="8" s="1"/>
  <c r="V62" i="8" s="1"/>
  <c r="BK18" i="8" s="1"/>
  <c r="BL18" i="8" s="1"/>
  <c r="O22" i="8" l="1"/>
  <c r="C21" i="8"/>
  <c r="J20" i="8"/>
  <c r="BM18" i="8"/>
  <c r="BN18" i="8" s="1"/>
  <c r="Q19" i="8"/>
  <c r="R19" i="8" s="1"/>
  <c r="I43" i="8"/>
  <c r="D44" i="8"/>
  <c r="K42" i="8"/>
  <c r="N63" i="8" s="1"/>
  <c r="BF19" i="8" s="1"/>
  <c r="V63" i="8" s="1"/>
  <c r="BK19" i="8" s="1"/>
  <c r="BL19" i="8" s="1"/>
  <c r="K43" i="8" l="1"/>
  <c r="Q20" i="8"/>
  <c r="R20" i="8" s="1"/>
  <c r="N64" i="8" s="1"/>
  <c r="BF20" i="8" s="1"/>
  <c r="V64" i="8" s="1"/>
  <c r="BK20" i="8" s="1"/>
  <c r="BL20" i="8" s="1"/>
  <c r="O23" i="8"/>
  <c r="BM19" i="8"/>
  <c r="BN19" i="8" s="1"/>
  <c r="I44" i="8"/>
  <c r="K44" i="8" s="1"/>
  <c r="J21" i="8"/>
  <c r="C22" i="8"/>
  <c r="D45" i="8"/>
  <c r="BM20" i="8" l="1"/>
  <c r="BN20" i="8" s="1"/>
  <c r="Q21" i="8"/>
  <c r="R21" i="8" s="1"/>
  <c r="I45" i="8"/>
  <c r="K45" i="8" s="1"/>
  <c r="J22" i="8"/>
  <c r="C23" i="8"/>
  <c r="N65" i="8"/>
  <c r="BF21" i="8" s="1"/>
  <c r="V65" i="8" s="1"/>
  <c r="BK21" i="8" s="1"/>
  <c r="BL21" i="8" s="1"/>
  <c r="D46" i="8"/>
  <c r="BM21" i="8" l="1"/>
  <c r="BN21" i="8" s="1"/>
  <c r="Q22" i="8"/>
  <c r="R22" i="8" s="1"/>
  <c r="N66" i="8" s="1"/>
  <c r="BF22" i="8" s="1"/>
  <c r="V66" i="8" s="1"/>
  <c r="BK22" i="8" s="1"/>
  <c r="BL22" i="8" s="1"/>
  <c r="I46" i="8"/>
  <c r="R23" i="8" l="1"/>
  <c r="Q23" i="8"/>
  <c r="BM22" i="8"/>
  <c r="BN22" i="8" s="1"/>
  <c r="K46" i="8"/>
  <c r="N67" i="8" s="1"/>
  <c r="V67" i="8" l="1"/>
  <c r="BK23" i="8" s="1"/>
  <c r="BL23" i="8" s="1"/>
  <c r="BM23" i="8" s="1"/>
  <c r="BN23" i="8" s="1"/>
  <c r="BF23" i="8"/>
  <c r="BK23" i="2" l="1"/>
  <c r="I34" i="2"/>
  <c r="O41" i="2" s="1"/>
  <c r="BF13" i="2" s="1"/>
  <c r="V41" i="2" s="1"/>
  <c r="BK13" i="2" s="1"/>
  <c r="G35" i="2"/>
  <c r="Q14" i="2" s="1"/>
  <c r="F35" i="2"/>
  <c r="F36" i="2" s="1"/>
  <c r="F37" i="2" s="1"/>
  <c r="F38" i="2" s="1"/>
  <c r="F39" i="2" s="1"/>
  <c r="F40" i="2" s="1"/>
  <c r="F41" i="2" s="1"/>
  <c r="F42" i="2" s="1"/>
  <c r="F43" i="2" s="1"/>
  <c r="F44" i="2" s="1"/>
  <c r="F34" i="2"/>
  <c r="B35" i="2"/>
  <c r="I35" i="2" s="1"/>
  <c r="H15" i="2"/>
  <c r="H16" i="2"/>
  <c r="H17" i="2"/>
  <c r="H18" i="2"/>
  <c r="H19" i="2" s="1"/>
  <c r="H20" i="2" s="1"/>
  <c r="H21" i="2" s="1"/>
  <c r="H22" i="2" s="1"/>
  <c r="H23" i="2" s="1"/>
  <c r="H14" i="2"/>
  <c r="G15" i="2"/>
  <c r="G16" i="2" s="1"/>
  <c r="G17" i="2" s="1"/>
  <c r="G18" i="2" s="1"/>
  <c r="G19" i="2" s="1"/>
  <c r="G20" i="2" s="1"/>
  <c r="G21" i="2" s="1"/>
  <c r="G22" i="2" s="1"/>
  <c r="G23" i="2" s="1"/>
  <c r="G14" i="2"/>
  <c r="AM13" i="2"/>
  <c r="AI15" i="2"/>
  <c r="AI16" i="2"/>
  <c r="AI17" i="2"/>
  <c r="AI18" i="2"/>
  <c r="AI19" i="2"/>
  <c r="AI20" i="2"/>
  <c r="AI21" i="2"/>
  <c r="AI22" i="2"/>
  <c r="AI23" i="2"/>
  <c r="AI14" i="2"/>
  <c r="P16" i="2"/>
  <c r="P17" i="2" s="1"/>
  <c r="P18" i="2" s="1"/>
  <c r="P19" i="2" s="1"/>
  <c r="P20" i="2" s="1"/>
  <c r="P21" i="2" s="1"/>
  <c r="P22" i="2" s="1"/>
  <c r="P23" i="2" s="1"/>
  <c r="P15" i="2"/>
  <c r="P14" i="2"/>
  <c r="O15" i="2"/>
  <c r="O16" i="2" s="1"/>
  <c r="O17" i="2" s="1"/>
  <c r="O18" i="2" s="1"/>
  <c r="O19" i="2" s="1"/>
  <c r="O20" i="2" s="1"/>
  <c r="O21" i="2" s="1"/>
  <c r="O22" i="2" s="1"/>
  <c r="O23" i="2" s="1"/>
  <c r="J13" i="2"/>
  <c r="C15" i="2"/>
  <c r="C16" i="2" s="1"/>
  <c r="C17" i="2" s="1"/>
  <c r="C18" i="2" s="1"/>
  <c r="C19" i="2" s="1"/>
  <c r="C20" i="2" s="1"/>
  <c r="C21" i="2" s="1"/>
  <c r="C22" i="2" s="1"/>
  <c r="C23" i="2" s="1"/>
  <c r="C14" i="2"/>
  <c r="K69" i="7"/>
  <c r="E52" i="7"/>
  <c r="I66" i="7" s="1"/>
  <c r="K66" i="7" s="1"/>
  <c r="E29" i="7"/>
  <c r="I43" i="7" s="1"/>
  <c r="F27" i="7"/>
  <c r="H10" i="7"/>
  <c r="H8" i="7"/>
  <c r="AM15" i="2"/>
  <c r="AM16" i="2"/>
  <c r="AM17" i="2"/>
  <c r="AM18" i="2"/>
  <c r="AM19" i="2"/>
  <c r="AM20" i="2"/>
  <c r="AM21" i="2"/>
  <c r="AM22" i="2"/>
  <c r="AM23" i="2"/>
  <c r="AM14" i="2"/>
  <c r="BB15" i="2"/>
  <c r="BB16" i="2" s="1"/>
  <c r="BB17" i="2" s="1"/>
  <c r="BB18" i="2" s="1"/>
  <c r="BB19" i="2" s="1"/>
  <c r="BB20" i="2" s="1"/>
  <c r="BB21" i="2" s="1"/>
  <c r="BB22" i="2" s="1"/>
  <c r="BB23" i="2" s="1"/>
  <c r="BB14" i="2"/>
  <c r="AX15" i="2"/>
  <c r="AX16" i="2" s="1"/>
  <c r="AX17" i="2" s="1"/>
  <c r="AX18" i="2" s="1"/>
  <c r="AX19" i="2" s="1"/>
  <c r="AX20" i="2" s="1"/>
  <c r="AX21" i="2" s="1"/>
  <c r="AX22" i="2" s="1"/>
  <c r="AX23" i="2" s="1"/>
  <c r="AX14" i="2"/>
  <c r="AW15" i="2"/>
  <c r="AW16" i="2" s="1"/>
  <c r="AW17" i="2" s="1"/>
  <c r="AW18" i="2" s="1"/>
  <c r="AW19" i="2" s="1"/>
  <c r="AW20" i="2" s="1"/>
  <c r="AW21" i="2" s="1"/>
  <c r="AW22" i="2" s="1"/>
  <c r="AW23" i="2" s="1"/>
  <c r="AW14" i="2"/>
  <c r="AS15" i="2"/>
  <c r="AS16" i="2" s="1"/>
  <c r="AS17" i="2" s="1"/>
  <c r="AS18" i="2" s="1"/>
  <c r="AS19" i="2" s="1"/>
  <c r="AS20" i="2" s="1"/>
  <c r="AS21" i="2" s="1"/>
  <c r="AS22" i="2" s="1"/>
  <c r="AS23" i="2" s="1"/>
  <c r="AS14" i="2"/>
  <c r="AQ15" i="2"/>
  <c r="AQ16" i="2"/>
  <c r="AQ17" i="2" s="1"/>
  <c r="AQ18" i="2" s="1"/>
  <c r="AQ19" i="2" s="1"/>
  <c r="AQ20" i="2" s="1"/>
  <c r="AQ21" i="2" s="1"/>
  <c r="AQ22" i="2" s="1"/>
  <c r="AQ23" i="2" s="1"/>
  <c r="AQ14" i="2"/>
  <c r="H12" i="7" l="1"/>
  <c r="H16" i="7" s="1"/>
  <c r="H17" i="7" s="1"/>
  <c r="H18" i="7" s="1"/>
  <c r="D43" i="7" s="1"/>
  <c r="K43" i="7" s="1"/>
  <c r="B36" i="2"/>
  <c r="G36" i="2"/>
  <c r="D33" i="7"/>
  <c r="K33" i="7" s="1"/>
  <c r="R14" i="2"/>
  <c r="BF14" i="2" s="1"/>
  <c r="V42" i="2" s="1"/>
  <c r="BK14" i="2" s="1"/>
  <c r="BL14" i="2" s="1"/>
  <c r="J15" i="2"/>
  <c r="J14" i="2"/>
  <c r="I36" i="7"/>
  <c r="I59" i="7"/>
  <c r="I61" i="7"/>
  <c r="K61" i="7" s="1"/>
  <c r="I63" i="7"/>
  <c r="K63" i="7" s="1"/>
  <c r="I65" i="7"/>
  <c r="K65" i="7" s="1"/>
  <c r="I67" i="7"/>
  <c r="K67" i="7" s="1"/>
  <c r="I38" i="7"/>
  <c r="I42" i="7"/>
  <c r="I34" i="7"/>
  <c r="I40" i="7"/>
  <c r="I33" i="7"/>
  <c r="I35" i="7"/>
  <c r="I37" i="7"/>
  <c r="I39" i="7"/>
  <c r="I41" i="7"/>
  <c r="I60" i="7"/>
  <c r="K60" i="7" s="1"/>
  <c r="I62" i="7"/>
  <c r="K62" i="7" s="1"/>
  <c r="I64" i="7"/>
  <c r="K64" i="7" s="1"/>
  <c r="BL23" i="2"/>
  <c r="BL13" i="2"/>
  <c r="Q15" i="2" l="1"/>
  <c r="G37" i="2"/>
  <c r="B37" i="2"/>
  <c r="I36" i="2"/>
  <c r="K45" i="7"/>
  <c r="BM14" i="2"/>
  <c r="BN14" i="2" s="1"/>
  <c r="BM23" i="2"/>
  <c r="BN23" i="2" s="1"/>
  <c r="BM13" i="2"/>
  <c r="BN13" i="2" s="1"/>
  <c r="R15" i="2"/>
  <c r="J16" i="2"/>
  <c r="B38" i="2" l="1"/>
  <c r="I37" i="2"/>
  <c r="O43" i="2"/>
  <c r="BF15" i="2" s="1"/>
  <c r="V43" i="2" s="1"/>
  <c r="BK15" i="2" s="1"/>
  <c r="BL15" i="2" s="1"/>
  <c r="BM15" i="2" s="1"/>
  <c r="BN15" i="2" s="1"/>
  <c r="G38" i="2"/>
  <c r="Q16" i="2"/>
  <c r="R16" i="2"/>
  <c r="O44" i="2" s="1"/>
  <c r="BF16" i="2" s="1"/>
  <c r="V44" i="2" s="1"/>
  <c r="BK16" i="2" s="1"/>
  <c r="BL16" i="2" s="1"/>
  <c r="BM16" i="2" s="1"/>
  <c r="BN16" i="2" s="1"/>
  <c r="J17" i="2"/>
  <c r="G39" i="2" l="1"/>
  <c r="Q17" i="2"/>
  <c r="B39" i="2"/>
  <c r="I38" i="2"/>
  <c r="R17" i="2"/>
  <c r="J18" i="2"/>
  <c r="B40" i="2" l="1"/>
  <c r="I39" i="2"/>
  <c r="O45" i="2"/>
  <c r="BF17" i="2" s="1"/>
  <c r="V45" i="2" s="1"/>
  <c r="BK17" i="2" s="1"/>
  <c r="BL17" i="2" s="1"/>
  <c r="BM17" i="2" s="1"/>
  <c r="BN17" i="2" s="1"/>
  <c r="G40" i="2"/>
  <c r="Q18" i="2"/>
  <c r="R18" i="2" s="1"/>
  <c r="O46" i="2" s="1"/>
  <c r="BF18" i="2" s="1"/>
  <c r="V46" i="2" s="1"/>
  <c r="BK18" i="2" s="1"/>
  <c r="BL18" i="2" s="1"/>
  <c r="BM18" i="2" s="1"/>
  <c r="BN18" i="2" s="1"/>
  <c r="J19" i="2"/>
  <c r="G41" i="2" l="1"/>
  <c r="Q19" i="2"/>
  <c r="B41" i="2"/>
  <c r="I40" i="2"/>
  <c r="R19" i="2"/>
  <c r="O47" i="2" s="1"/>
  <c r="BF19" i="2" s="1"/>
  <c r="V47" i="2" s="1"/>
  <c r="BK19" i="2" s="1"/>
  <c r="BL19" i="2" s="1"/>
  <c r="BM19" i="2" s="1"/>
  <c r="BN19" i="2" s="1"/>
  <c r="J20" i="2"/>
  <c r="B42" i="2" l="1"/>
  <c r="I41" i="2"/>
  <c r="G42" i="2"/>
  <c r="Q20" i="2"/>
  <c r="R20" i="2" s="1"/>
  <c r="O48" i="2" s="1"/>
  <c r="BF20" i="2" s="1"/>
  <c r="V48" i="2" s="1"/>
  <c r="BK20" i="2" s="1"/>
  <c r="BL20" i="2" s="1"/>
  <c r="BM20" i="2" s="1"/>
  <c r="BN20" i="2" s="1"/>
  <c r="J21" i="2"/>
  <c r="G43" i="2" l="1"/>
  <c r="Q21" i="2"/>
  <c r="R21" i="2" s="1"/>
  <c r="O49" i="2" s="1"/>
  <c r="BF21" i="2" s="1"/>
  <c r="V49" i="2" s="1"/>
  <c r="BK21" i="2" s="1"/>
  <c r="BL21" i="2" s="1"/>
  <c r="BM21" i="2" s="1"/>
  <c r="BN21" i="2" s="1"/>
  <c r="B43" i="2"/>
  <c r="I42" i="2"/>
  <c r="J23" i="2"/>
  <c r="J22" i="2"/>
  <c r="B44" i="2" l="1"/>
  <c r="I43" i="2"/>
  <c r="G44" i="2"/>
  <c r="Q22" i="2"/>
  <c r="R22" i="2" s="1"/>
  <c r="O50" i="2" s="1"/>
  <c r="BF22" i="2" s="1"/>
  <c r="V50" i="2" s="1"/>
  <c r="BK22" i="2" s="1"/>
  <c r="BL22" i="2" s="1"/>
  <c r="BM22" i="2" s="1"/>
  <c r="BN22" i="2" s="1"/>
  <c r="Q23" i="2" l="1"/>
  <c r="R23" i="2" s="1"/>
  <c r="I44" i="2"/>
  <c r="O51" i="2" l="1"/>
  <c r="K77" i="9"/>
  <c r="E56" i="9"/>
  <c r="I70" i="9" l="1"/>
  <c r="K70" i="9" s="1"/>
  <c r="I76" i="9"/>
  <c r="I72" i="9"/>
  <c r="K72" i="9" s="1"/>
  <c r="I69" i="9"/>
  <c r="K69" i="9" s="1"/>
  <c r="I63" i="9"/>
  <c r="K63" i="9" s="1"/>
  <c r="I67" i="9"/>
  <c r="K67" i="9" s="1"/>
  <c r="I62" i="9"/>
  <c r="K62" i="9" s="1"/>
  <c r="I65" i="9"/>
  <c r="K65" i="9" s="1"/>
  <c r="I73" i="9"/>
  <c r="K73" i="9" s="1"/>
  <c r="I64" i="9"/>
  <c r="K64" i="9" s="1"/>
  <c r="I61" i="9"/>
  <c r="K61" i="9" s="1"/>
  <c r="I74" i="9"/>
  <c r="K74" i="9" s="1"/>
  <c r="I71" i="9"/>
  <c r="K71" i="9" s="1"/>
  <c r="I68" i="9"/>
  <c r="I66" i="9"/>
  <c r="K66" i="9" s="1"/>
  <c r="I75" i="9"/>
  <c r="K75" i="9" s="1"/>
  <c r="E57" i="9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nehul jain</author>
  </authors>
  <commentList>
    <comment ref="BL12" authorId="0" shapeId="0" xr:uid="{B75D8B76-4099-4A10-A12F-F0AAC1BE5217}">
      <text>
        <r>
          <rPr>
            <b/>
            <sz val="9"/>
            <color indexed="81"/>
            <rFont val="Tahoma"/>
            <family val="2"/>
          </rPr>
          <t>nehul jain:</t>
        </r>
        <r>
          <rPr>
            <sz val="9"/>
            <color indexed="81"/>
            <rFont val="Tahoma"/>
            <family val="2"/>
          </rPr>
          <t xml:space="preserve">
tax bracket-10%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nehul jain</author>
  </authors>
  <commentList>
    <comment ref="BL12" authorId="0" shapeId="0" xr:uid="{93C5D76B-BB0A-4730-9881-27E8253C0CE7}">
      <text>
        <r>
          <rPr>
            <b/>
            <sz val="9"/>
            <color indexed="81"/>
            <rFont val="Tahoma"/>
            <family val="2"/>
          </rPr>
          <t>nehul jain:</t>
        </r>
        <r>
          <rPr>
            <sz val="9"/>
            <color indexed="81"/>
            <rFont val="Tahoma"/>
            <family val="2"/>
          </rPr>
          <t xml:space="preserve">
tax bracket-10%
</t>
        </r>
      </text>
    </comment>
  </commentList>
</comments>
</file>

<file path=xl/sharedStrings.xml><?xml version="1.0" encoding="utf-8"?>
<sst xmlns="http://schemas.openxmlformats.org/spreadsheetml/2006/main" count="201" uniqueCount="84">
  <si>
    <t>Pricing and unit cost</t>
  </si>
  <si>
    <t>Year</t>
  </si>
  <si>
    <t>Cost of servicing</t>
  </si>
  <si>
    <t>year</t>
  </si>
  <si>
    <t>Flat charge</t>
  </si>
  <si>
    <t>total</t>
  </si>
  <si>
    <t>New participants on alterium</t>
  </si>
  <si>
    <t>participants(millions)</t>
  </si>
  <si>
    <t>TOTAL REVENUE</t>
  </si>
  <si>
    <t>Revenue</t>
  </si>
  <si>
    <t>Research and development cost</t>
  </si>
  <si>
    <t>(150) million</t>
  </si>
  <si>
    <t>intoductory cost</t>
  </si>
  <si>
    <t>Introductory cost in millions</t>
  </si>
  <si>
    <t>depreciation</t>
  </si>
  <si>
    <t>general and administrative cost</t>
  </si>
  <si>
    <t>gorss company G&amp;A in millions</t>
  </si>
  <si>
    <t>allocated to alterium</t>
  </si>
  <si>
    <t>alterium G&amp;A</t>
  </si>
  <si>
    <t>Total G&amp;A</t>
  </si>
  <si>
    <t>Advertising expenses</t>
  </si>
  <si>
    <t>Without alterium</t>
  </si>
  <si>
    <t>with alterium</t>
  </si>
  <si>
    <t>server cost</t>
  </si>
  <si>
    <t>Cost of Server in millions</t>
  </si>
  <si>
    <t>no. of participants in  millions</t>
  </si>
  <si>
    <t>We require new server in 2025&amp;2032 as the server capaity is exceeding in these years</t>
  </si>
  <si>
    <t>8 cost of saving in current pool</t>
  </si>
  <si>
    <t>saving in millions</t>
  </si>
  <si>
    <t>TOTAL EXPENSES</t>
  </si>
  <si>
    <t>YEAR</t>
  </si>
  <si>
    <t>EXPENSES IN MILLIONS</t>
  </si>
  <si>
    <t>REVENUE</t>
  </si>
  <si>
    <t>EXPENSES</t>
  </si>
  <si>
    <t>AFTER TAX INCERMENTAL CASH FLOWS</t>
  </si>
  <si>
    <t>Revenue in millions</t>
  </si>
  <si>
    <t>Expenses in millions</t>
  </si>
  <si>
    <t>Taxable Income in millions</t>
  </si>
  <si>
    <t>Tax in millions</t>
  </si>
  <si>
    <t>After tax incremental cash flows</t>
  </si>
  <si>
    <t>INVESTMENT ANALYSIS CASE STUDY</t>
  </si>
  <si>
    <t>UNIVERSAL SWAP</t>
  </si>
  <si>
    <t>PROJECT ESTIMATION-ALTERIUM POOL</t>
  </si>
  <si>
    <t>IRR</t>
  </si>
  <si>
    <t>NET PRESENT VALUE PROFILE &amp; IRR</t>
  </si>
  <si>
    <t>At the end of the 10th year all the working capital &amp; investment in other assets can be sold at the book value</t>
  </si>
  <si>
    <t>Cost of Capital</t>
  </si>
  <si>
    <t>Working capital at the beginning of 10th year (In millions)</t>
  </si>
  <si>
    <t>Working capital at the end of 10th year (In millions)</t>
  </si>
  <si>
    <t>Value of infrastructure at the end of 10th year (In millions)</t>
  </si>
  <si>
    <t>Value of 2 servers at the end of 10th year (In millions)</t>
  </si>
  <si>
    <t>Total Cash obtained after selling all of the above (In millions)</t>
  </si>
  <si>
    <t>Revenue at the end of 10th year (In millions)</t>
  </si>
  <si>
    <t>Expenses at the end of the 10th year (In millions)</t>
  </si>
  <si>
    <t>Net Profit obtained after selling the assets (In millions)</t>
  </si>
  <si>
    <t>Tax (In millions)</t>
  </si>
  <si>
    <t>After Tax Incrementel Cashflow (In millions)</t>
  </si>
  <si>
    <t>Expenses in Year 2022</t>
  </si>
  <si>
    <t>Research &amp; Develpoment costs (In millions)</t>
  </si>
  <si>
    <t>Cost of Infrastructure (In milions)</t>
  </si>
  <si>
    <t>Advertising Costs (In millions)</t>
  </si>
  <si>
    <t>General &amp; Administrative costs (In millions)</t>
  </si>
  <si>
    <t>Working Capital (In  millions)</t>
  </si>
  <si>
    <t>Cost saving due to Alternium (In millions)</t>
  </si>
  <si>
    <t>Total Expenses (In millions)</t>
  </si>
  <si>
    <t>Discounting factor (v)</t>
  </si>
  <si>
    <t>Time</t>
  </si>
  <si>
    <t>After-Tax Incremental Cashflows (In millions)</t>
  </si>
  <si>
    <t>Discounting factor</t>
  </si>
  <si>
    <t>Present Value (In Millions)</t>
  </si>
  <si>
    <t>Net Present Value (In Millions)</t>
  </si>
  <si>
    <t>IRR is obtained when Net Present Value becomes 0</t>
  </si>
  <si>
    <t>Discounting Factor(v)</t>
  </si>
  <si>
    <t>Net Present Value (In millions)</t>
  </si>
  <si>
    <t>USA and Russia participannts (In millions)</t>
  </si>
  <si>
    <t>International participannts (In millions)</t>
  </si>
  <si>
    <t>9. Working Capital</t>
  </si>
  <si>
    <t>Working Capital</t>
  </si>
  <si>
    <t>Working capital at the beginning of 15th year (In millions)</t>
  </si>
  <si>
    <t>Working capital at the end of 15th year (In millions)</t>
  </si>
  <si>
    <t>Value of infrastructure at the end of 15th year (In millions)</t>
  </si>
  <si>
    <t>Value of 2 servers at the end of 15th year (In millions)</t>
  </si>
  <si>
    <t>Revenue at the end of 15th year (In millions)</t>
  </si>
  <si>
    <t>Expenses at the end of the 15th year (In millions)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</si>
</sst>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₹&quot;\ #,##0.00;[Red]&quot;₹&quot;\ \-#,##0.00"/>
    <numFmt numFmtId="164" formatCode="0.000"/>
    <numFmt numFmtId="166" formatCode="0.000%"/>
  </numFmts>
  <fonts count="3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1"/>
      <color theme="9"/>
      <name val="Calibri"/>
      <family val="2"/>
      <scheme val="minor"/>
    </font>
    <font>
      <sz val="8"/>
      <name val="Calibri"/>
      <family val="2"/>
      <scheme val="minor"/>
    </font>
    <font>
      <b/>
      <sz val="18"/>
      <color theme="9"/>
      <name val="Calibri"/>
      <family val="2"/>
      <scheme val="minor"/>
    </font>
    <font>
      <sz val="16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sz val="20"/>
      <color theme="1"/>
      <name val="Calibri"/>
      <family val="2"/>
      <scheme val="minor"/>
    </font>
    <font>
      <sz val="22"/>
      <color theme="4" tint="0.39997558519241921"/>
      <name val="Calibri"/>
      <family val="2"/>
      <scheme val="minor"/>
    </font>
    <font>
      <sz val="11"/>
      <color theme="4" tint="0.3999755851924192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24"/>
      <color theme="9"/>
      <name val="Calibri"/>
      <family val="2"/>
      <scheme val="minor"/>
    </font>
    <font>
      <sz val="18"/>
      <color theme="8"/>
      <name val="Calibri"/>
      <family val="2"/>
      <scheme val="minor"/>
    </font>
    <font>
      <sz val="11"/>
      <color theme="8"/>
      <name val="Calibri"/>
      <family val="2"/>
      <scheme val="minor"/>
    </font>
    <font>
      <sz val="16"/>
      <color theme="8"/>
      <name val="Calibri"/>
      <family val="2"/>
      <scheme val="minor"/>
    </font>
    <font>
      <sz val="11"/>
      <color theme="7"/>
      <name val="Calibri"/>
      <family val="2"/>
      <scheme val="minor"/>
    </font>
    <font>
      <sz val="22"/>
      <color theme="7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color theme="5" tint="-0.249977111117893"/>
      <name val="Lucida Calligraphy"/>
      <family val="4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6"/>
      <color theme="8" tint="0.39997558519241921"/>
      <name val="Calibri"/>
      <family val="2"/>
      <scheme val="minor"/>
    </font>
    <font>
      <sz val="16"/>
      <color theme="8" tint="0.39997558519241921"/>
      <name val="Calibri"/>
      <family val="2"/>
      <scheme val="minor"/>
    </font>
    <font>
      <b/>
      <sz val="20"/>
      <color theme="8" tint="0.39997558519241921"/>
      <name val="Calibri"/>
      <family val="2"/>
      <scheme val="minor"/>
    </font>
    <font>
      <sz val="20"/>
      <color theme="8" tint="0.39997558519241921"/>
      <name val="Calibri"/>
      <family val="2"/>
      <scheme val="minor"/>
    </font>
    <font>
      <b/>
      <sz val="20"/>
      <color theme="4"/>
      <name val="Castellar"/>
      <family val="1"/>
    </font>
    <font>
      <sz val="11"/>
      <color theme="9"/>
      <name val="Calibri"/>
      <family val="2"/>
      <scheme val="minor"/>
    </font>
    <font>
      <sz val="14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0">
    <xf numFmtId="0" fontId="0" fillId="0" borderId="0" xfId="0"/>
    <xf numFmtId="0" fontId="2" fillId="0" borderId="0" xfId="0" applyFont="1"/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/>
    <xf numFmtId="0" fontId="1" fillId="0" borderId="0" xfId="0" applyFont="1"/>
    <xf numFmtId="0" fontId="3" fillId="3" borderId="1" xfId="0" applyFont="1" applyFill="1" applyBorder="1"/>
    <xf numFmtId="0" fontId="6" fillId="4" borderId="1" xfId="0" applyFont="1" applyFill="1" applyBorder="1"/>
    <xf numFmtId="0" fontId="7" fillId="4" borderId="1" xfId="0" applyFont="1" applyFill="1" applyBorder="1"/>
    <xf numFmtId="0" fontId="8" fillId="3" borderId="0" xfId="0" applyFont="1" applyFill="1"/>
    <xf numFmtId="0" fontId="8" fillId="3" borderId="1" xfId="0" applyFont="1" applyFill="1" applyBorder="1"/>
    <xf numFmtId="0" fontId="8" fillId="3" borderId="1" xfId="0" applyFont="1" applyFill="1" applyBorder="1" applyAlignment="1">
      <alignment horizontal="center"/>
    </xf>
    <xf numFmtId="0" fontId="7" fillId="5" borderId="1" xfId="0" applyFont="1" applyFill="1" applyBorder="1"/>
    <xf numFmtId="0" fontId="0" fillId="5" borderId="1" xfId="0" applyFill="1" applyBorder="1"/>
    <xf numFmtId="0" fontId="7" fillId="4" borderId="3" xfId="0" applyFont="1" applyFill="1" applyBorder="1"/>
    <xf numFmtId="0" fontId="10" fillId="2" borderId="1" xfId="0" applyFont="1" applyFill="1" applyBorder="1" applyAlignment="1">
      <alignment horizontal="left"/>
    </xf>
    <xf numFmtId="0" fontId="11" fillId="2" borderId="1" xfId="0" applyFont="1" applyFill="1" applyBorder="1" applyAlignment="1">
      <alignment horizontal="left"/>
    </xf>
    <xf numFmtId="0" fontId="9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3" borderId="2" xfId="0" applyFill="1" applyBorder="1"/>
    <xf numFmtId="0" fontId="14" fillId="3" borderId="7" xfId="0" applyFont="1" applyFill="1" applyBorder="1"/>
    <xf numFmtId="0" fontId="14" fillId="3" borderId="7" xfId="0" applyFont="1" applyFill="1" applyBorder="1" applyAlignment="1">
      <alignment horizontal="center"/>
    </xf>
    <xf numFmtId="0" fontId="14" fillId="3" borderId="3" xfId="0" applyFont="1" applyFill="1" applyBorder="1"/>
    <xf numFmtId="0" fontId="15" fillId="7" borderId="4" xfId="0" applyFont="1" applyFill="1" applyBorder="1" applyAlignment="1">
      <alignment horizontal="left"/>
    </xf>
    <xf numFmtId="0" fontId="16" fillId="7" borderId="6" xfId="0" applyFont="1" applyFill="1" applyBorder="1" applyAlignment="1">
      <alignment horizontal="left"/>
    </xf>
    <xf numFmtId="0" fontId="16" fillId="7" borderId="5" xfId="0" applyFont="1" applyFill="1" applyBorder="1" applyAlignment="1">
      <alignment horizontal="left"/>
    </xf>
    <xf numFmtId="0" fontId="17" fillId="7" borderId="2" xfId="0" applyFont="1" applyFill="1" applyBorder="1"/>
    <xf numFmtId="0" fontId="16" fillId="7" borderId="7" xfId="0" applyFont="1" applyFill="1" applyBorder="1"/>
    <xf numFmtId="0" fontId="17" fillId="7" borderId="7" xfId="0" applyFont="1" applyFill="1" applyBorder="1" applyAlignment="1">
      <alignment horizontal="center"/>
    </xf>
    <xf numFmtId="0" fontId="17" fillId="7" borderId="3" xfId="0" applyFont="1" applyFill="1" applyBorder="1" applyAlignment="1">
      <alignment horizontal="center"/>
    </xf>
    <xf numFmtId="0" fontId="19" fillId="6" borderId="1" xfId="0" applyFont="1" applyFill="1" applyBorder="1" applyAlignment="1">
      <alignment horizontal="center" vertical="center"/>
    </xf>
    <xf numFmtId="0" fontId="18" fillId="6" borderId="2" xfId="0" applyFont="1" applyFill="1" applyBorder="1"/>
    <xf numFmtId="0" fontId="19" fillId="6" borderId="7" xfId="0" applyFont="1" applyFill="1" applyBorder="1" applyAlignment="1">
      <alignment horizontal="center"/>
    </xf>
    <xf numFmtId="0" fontId="18" fillId="6" borderId="3" xfId="0" applyFont="1" applyFill="1" applyBorder="1"/>
    <xf numFmtId="8" fontId="0" fillId="0" borderId="0" xfId="0" applyNumberFormat="1"/>
    <xf numFmtId="9" fontId="0" fillId="0" borderId="0" xfId="0" applyNumberFormat="1"/>
    <xf numFmtId="0" fontId="0" fillId="0" borderId="1" xfId="0" applyFill="1" applyBorder="1"/>
    <xf numFmtId="164" fontId="0" fillId="0" borderId="1" xfId="0" applyNumberFormat="1" applyBorder="1" applyAlignment="1">
      <alignment horizontal="center"/>
    </xf>
    <xf numFmtId="164" fontId="0" fillId="0" borderId="1" xfId="0" applyNumberFormat="1" applyBorder="1" applyAlignment="1">
      <alignment horizontal="center" vertical="center"/>
    </xf>
    <xf numFmtId="0" fontId="3" fillId="3" borderId="1" xfId="0" applyFont="1" applyFill="1" applyBorder="1" applyAlignment="1">
      <alignment horizontal="center"/>
    </xf>
    <xf numFmtId="0" fontId="22" fillId="0" borderId="0" xfId="0" applyFont="1" applyAlignment="1">
      <alignment horizontal="center"/>
    </xf>
    <xf numFmtId="0" fontId="23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164" fontId="0" fillId="0" borderId="0" xfId="0" applyNumberFormat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3" xfId="0" applyBorder="1" applyAlignment="1">
      <alignment horizontal="center"/>
    </xf>
    <xf numFmtId="0" fontId="20" fillId="0" borderId="0" xfId="0" applyFont="1" applyAlignment="1">
      <alignment horizontal="center"/>
    </xf>
    <xf numFmtId="0" fontId="24" fillId="0" borderId="0" xfId="0" applyFont="1"/>
    <xf numFmtId="166" fontId="0" fillId="0" borderId="0" xfId="0" applyNumberFormat="1" applyAlignment="1">
      <alignment horizontal="center"/>
    </xf>
    <xf numFmtId="0" fontId="24" fillId="0" borderId="0" xfId="0" applyFont="1" applyAlignment="1">
      <alignment horizontal="center"/>
    </xf>
    <xf numFmtId="166" fontId="9" fillId="0" borderId="0" xfId="0" applyNumberFormat="1" applyFont="1" applyAlignment="1">
      <alignment horizontal="center"/>
    </xf>
    <xf numFmtId="164" fontId="0" fillId="0" borderId="2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9" xfId="0" applyBorder="1" applyAlignment="1">
      <alignment horizontal="center"/>
    </xf>
    <xf numFmtId="0" fontId="7" fillId="0" borderId="1" xfId="0" applyFont="1" applyFill="1" applyBorder="1"/>
    <xf numFmtId="0" fontId="0" fillId="3" borderId="1" xfId="0" applyFill="1" applyBorder="1"/>
    <xf numFmtId="0" fontId="0" fillId="0" borderId="11" xfId="0" applyBorder="1"/>
    <xf numFmtId="0" fontId="0" fillId="0" borderId="0" xfId="0" applyBorder="1"/>
    <xf numFmtId="0" fontId="0" fillId="0" borderId="11" xfId="0" applyBorder="1" applyAlignment="1">
      <alignment horizontal="center"/>
    </xf>
    <xf numFmtId="0" fontId="0" fillId="0" borderId="0" xfId="0" applyBorder="1" applyAlignment="1">
      <alignment horizontal="center"/>
    </xf>
    <xf numFmtId="164" fontId="0" fillId="0" borderId="0" xfId="0" applyNumberFormat="1" applyBorder="1" applyAlignment="1">
      <alignment horizontal="center"/>
    </xf>
    <xf numFmtId="164" fontId="0" fillId="0" borderId="0" xfId="0" applyNumberFormat="1" applyBorder="1" applyAlignment="1">
      <alignment horizontal="center" vertical="center"/>
    </xf>
    <xf numFmtId="164" fontId="0" fillId="0" borderId="0" xfId="0" applyNumberFormat="1" applyBorder="1" applyAlignment="1">
      <alignment horizontal="center" vertical="center"/>
    </xf>
    <xf numFmtId="0" fontId="0" fillId="0" borderId="2" xfId="0" applyBorder="1"/>
    <xf numFmtId="0" fontId="0" fillId="0" borderId="4" xfId="0" applyBorder="1"/>
    <xf numFmtId="0" fontId="0" fillId="0" borderId="3" xfId="0" applyBorder="1"/>
    <xf numFmtId="0" fontId="0" fillId="0" borderId="5" xfId="0" applyBorder="1"/>
    <xf numFmtId="0" fontId="3" fillId="3" borderId="11" xfId="0" applyFont="1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" xfId="0" applyBorder="1" applyAlignment="1"/>
    <xf numFmtId="0" fontId="24" fillId="0" borderId="0" xfId="0" applyFont="1" applyAlignment="1"/>
    <xf numFmtId="0" fontId="3" fillId="3" borderId="2" xfId="0" applyFont="1" applyFill="1" applyBorder="1" applyAlignment="1"/>
    <xf numFmtId="0" fontId="3" fillId="4" borderId="8" xfId="0" applyFont="1" applyFill="1" applyBorder="1" applyAlignment="1"/>
    <xf numFmtId="0" fontId="5" fillId="3" borderId="1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27" fillId="7" borderId="1" xfId="0" applyFont="1" applyFill="1" applyBorder="1" applyAlignment="1">
      <alignment horizontal="center"/>
    </xf>
    <xf numFmtId="166" fontId="28" fillId="7" borderId="1" xfId="0" applyNumberFormat="1" applyFont="1" applyFill="1" applyBorder="1" applyAlignment="1">
      <alignment horizontal="center"/>
    </xf>
    <xf numFmtId="0" fontId="25" fillId="7" borderId="1" xfId="0" applyFont="1" applyFill="1" applyBorder="1" applyAlignment="1">
      <alignment horizontal="center"/>
    </xf>
    <xf numFmtId="0" fontId="26" fillId="7" borderId="1" xfId="0" applyFont="1" applyFill="1" applyBorder="1" applyAlignment="1">
      <alignment horizontal="center"/>
    </xf>
    <xf numFmtId="0" fontId="29" fillId="0" borderId="0" xfId="0" applyFont="1" applyAlignment="1">
      <alignment horizontal="center"/>
    </xf>
    <xf numFmtId="0" fontId="3" fillId="3" borderId="14" xfId="0" applyFont="1" applyFill="1" applyBorder="1"/>
    <xf numFmtId="0" fontId="5" fillId="3" borderId="10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30" fillId="3" borderId="1" xfId="0" applyFont="1" applyFill="1" applyBorder="1" applyAlignment="1">
      <alignment horizontal="center"/>
    </xf>
    <xf numFmtId="0" fontId="30" fillId="3" borderId="1" xfId="0" applyFont="1" applyFill="1" applyBorder="1"/>
    <xf numFmtId="0" fontId="30" fillId="3" borderId="1" xfId="0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9" fontId="0" fillId="2" borderId="0" xfId="0" applyNumberFormat="1" applyFill="1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left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left"/>
    </xf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horizontal="left"/>
    </xf>
    <xf numFmtId="0" fontId="3" fillId="2" borderId="0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0" xfId="0" applyFont="1" applyFill="1"/>
    <xf numFmtId="0" fontId="3" fillId="2" borderId="0" xfId="0" applyNumberFormat="1" applyFont="1" applyFill="1" applyAlignment="1">
      <alignment horizontal="center"/>
    </xf>
    <xf numFmtId="0" fontId="1" fillId="2" borderId="0" xfId="0" applyFont="1" applyFill="1"/>
    <xf numFmtId="164" fontId="3" fillId="2" borderId="0" xfId="0" applyNumberFormat="1" applyFont="1" applyFill="1" applyAlignment="1">
      <alignment horizontal="center"/>
    </xf>
    <xf numFmtId="0" fontId="22" fillId="2" borderId="0" xfId="0" applyFont="1" applyFill="1" applyAlignment="1">
      <alignment horizontal="center"/>
    </xf>
    <xf numFmtId="9" fontId="3" fillId="2" borderId="0" xfId="0" applyNumberFormat="1" applyFont="1" applyFill="1" applyAlignment="1">
      <alignment horizontal="center"/>
    </xf>
    <xf numFmtId="0" fontId="31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0" fillId="2" borderId="1" xfId="0" applyFill="1" applyBorder="1"/>
    <xf numFmtId="0" fontId="21" fillId="2" borderId="0" xfId="0" applyFont="1" applyFill="1" applyAlignment="1">
      <alignment horizontal="center"/>
    </xf>
    <xf numFmtId="164" fontId="0" fillId="2" borderId="0" xfId="0" applyNumberFormat="1" applyFill="1" applyAlignment="1">
      <alignment horizontal="center"/>
    </xf>
    <xf numFmtId="164" fontId="0" fillId="2" borderId="0" xfId="0" applyNumberFormat="1" applyFill="1" applyAlignment="1">
      <alignment horizontal="left"/>
    </xf>
    <xf numFmtId="0" fontId="0" fillId="8" borderId="1" xfId="0" applyFill="1" applyBorder="1" applyAlignment="1">
      <alignment horizontal="center"/>
    </xf>
    <xf numFmtId="0" fontId="0" fillId="8" borderId="1" xfId="0" applyFill="1" applyBorder="1" applyAlignment="1">
      <alignment horizontal="center"/>
    </xf>
    <xf numFmtId="0" fontId="0" fillId="8" borderId="1" xfId="0" applyFill="1" applyBorder="1"/>
    <xf numFmtId="0" fontId="0" fillId="8" borderId="0" xfId="0" applyFill="1" applyBorder="1" applyAlignment="1">
      <alignment horizontal="center"/>
    </xf>
    <xf numFmtId="0" fontId="0" fillId="8" borderId="0" xfId="0" applyFill="1" applyBorder="1" applyAlignment="1">
      <alignment horizontal="center"/>
    </xf>
    <xf numFmtId="0" fontId="0" fillId="8" borderId="0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F394B1-843C-4B5F-A769-9E24783010EA}">
  <dimension ref="A1:BN72"/>
  <sheetViews>
    <sheetView topLeftCell="L28" workbookViewId="0">
      <selection activeCell="L53" sqref="L53"/>
    </sheetView>
  </sheetViews>
  <sheetFormatPr defaultRowHeight="14.4" x14ac:dyDescent="0.3"/>
  <cols>
    <col min="7" max="7" width="9.77734375" customWidth="1"/>
    <col min="12" max="12" width="13.33203125" customWidth="1"/>
    <col min="15" max="15" width="26.77734375" customWidth="1"/>
    <col min="16" max="16" width="9.6640625" customWidth="1"/>
    <col min="17" max="17" width="15.6640625" customWidth="1"/>
    <col min="18" max="18" width="13" customWidth="1"/>
    <col min="22" max="22" width="26.44140625" customWidth="1"/>
    <col min="28" max="28" width="24.44140625" customWidth="1"/>
    <col min="29" max="29" width="17.44140625" customWidth="1"/>
    <col min="33" max="33" width="22.77734375" customWidth="1"/>
    <col min="35" max="35" width="12.77734375" customWidth="1"/>
    <col min="49" max="49" width="22" customWidth="1"/>
    <col min="50" max="50" width="25.21875" customWidth="1"/>
    <col min="54" max="54" width="18.5546875" customWidth="1"/>
    <col min="60" max="60" width="7.6640625" customWidth="1"/>
    <col min="61" max="61" width="22.109375" customWidth="1"/>
    <col min="62" max="62" width="17.109375" customWidth="1"/>
    <col min="63" max="63" width="22.77734375" customWidth="1"/>
    <col min="64" max="64" width="22.109375" customWidth="1"/>
    <col min="65" max="65" width="17.21875" customWidth="1"/>
    <col min="66" max="66" width="29.88671875" customWidth="1"/>
    <col min="68" max="68" width="11.88671875" customWidth="1"/>
  </cols>
  <sheetData>
    <row r="1" spans="2:66" ht="31.2" x14ac:dyDescent="0.6">
      <c r="G1" s="24"/>
      <c r="H1" s="25"/>
      <c r="I1" s="25"/>
      <c r="J1" s="25"/>
      <c r="K1" s="26" t="s">
        <v>40</v>
      </c>
      <c r="L1" s="26"/>
      <c r="M1" s="26"/>
      <c r="N1" s="27"/>
    </row>
    <row r="2" spans="2:66" ht="25.8" x14ac:dyDescent="0.5">
      <c r="H2" s="28" t="s">
        <v>41</v>
      </c>
      <c r="I2" s="29"/>
      <c r="J2" s="30"/>
      <c r="L2" s="22"/>
    </row>
    <row r="3" spans="2:66" ht="21" x14ac:dyDescent="0.4">
      <c r="H3" s="31" t="s">
        <v>42</v>
      </c>
      <c r="I3" s="32"/>
      <c r="J3" s="32"/>
      <c r="K3" s="33"/>
      <c r="L3" s="34"/>
      <c r="M3" s="23"/>
      <c r="N3" s="23"/>
    </row>
    <row r="6" spans="2:66" ht="28.8" x14ac:dyDescent="0.55000000000000004">
      <c r="J6" s="36"/>
      <c r="K6" s="37" t="s">
        <v>32</v>
      </c>
      <c r="L6" s="38"/>
      <c r="AB6" s="35" t="s">
        <v>33</v>
      </c>
    </row>
    <row r="10" spans="2:66" ht="28.8" x14ac:dyDescent="0.55000000000000004">
      <c r="B10" s="1">
        <v>1</v>
      </c>
      <c r="C10" s="1" t="s">
        <v>0</v>
      </c>
      <c r="D10" s="1"/>
      <c r="N10" s="1">
        <v>2</v>
      </c>
      <c r="O10" s="1" t="s">
        <v>6</v>
      </c>
      <c r="P10" s="1"/>
      <c r="Q10" s="1"/>
      <c r="U10" s="12">
        <v>3</v>
      </c>
      <c r="V10" s="12" t="s">
        <v>10</v>
      </c>
      <c r="W10" s="13"/>
      <c r="X10" s="13"/>
      <c r="AA10" s="1">
        <v>4</v>
      </c>
      <c r="AB10" s="1" t="s">
        <v>12</v>
      </c>
      <c r="AC10" s="1"/>
      <c r="AF10" s="1">
        <v>5</v>
      </c>
      <c r="AG10" s="1" t="s">
        <v>15</v>
      </c>
      <c r="AH10" s="1"/>
      <c r="AP10" s="1">
        <v>6</v>
      </c>
      <c r="AQ10" s="1" t="s">
        <v>20</v>
      </c>
      <c r="AR10" s="1"/>
      <c r="AV10" s="1">
        <v>7</v>
      </c>
      <c r="AW10" s="1" t="s">
        <v>23</v>
      </c>
      <c r="AX10" s="1"/>
      <c r="BA10" s="1" t="s">
        <v>27</v>
      </c>
      <c r="BB10" s="1"/>
      <c r="BC10" s="1"/>
      <c r="BE10" s="117" t="s">
        <v>76</v>
      </c>
      <c r="BF10" s="117"/>
      <c r="BG10" s="117"/>
      <c r="BH10" s="117"/>
      <c r="BJ10" s="20" t="s">
        <v>34</v>
      </c>
      <c r="BK10" s="21"/>
      <c r="BL10" s="21"/>
      <c r="BM10" s="21"/>
    </row>
    <row r="12" spans="2:66" x14ac:dyDescent="0.3">
      <c r="B12" s="6" t="s">
        <v>3</v>
      </c>
      <c r="C12" s="44" t="s">
        <v>74</v>
      </c>
      <c r="D12" s="44"/>
      <c r="E12" s="44"/>
      <c r="F12" s="44"/>
      <c r="G12" s="6" t="s">
        <v>4</v>
      </c>
      <c r="H12" s="44" t="s">
        <v>2</v>
      </c>
      <c r="I12" s="44"/>
      <c r="J12" s="44" t="s">
        <v>5</v>
      </c>
      <c r="K12" s="44"/>
      <c r="N12" s="6" t="s">
        <v>3</v>
      </c>
      <c r="O12" s="6" t="s">
        <v>7</v>
      </c>
      <c r="P12" s="6" t="s">
        <v>4</v>
      </c>
      <c r="Q12" s="6" t="s">
        <v>2</v>
      </c>
      <c r="R12" s="6" t="s">
        <v>5</v>
      </c>
      <c r="V12" t="s">
        <v>11</v>
      </c>
      <c r="AA12" s="15" t="s">
        <v>3</v>
      </c>
      <c r="AB12" s="15" t="s">
        <v>13</v>
      </c>
      <c r="AC12" s="16" t="s">
        <v>14</v>
      </c>
      <c r="AF12" s="15" t="s">
        <v>3</v>
      </c>
      <c r="AG12" s="15" t="s">
        <v>16</v>
      </c>
      <c r="AH12" s="15"/>
      <c r="AI12" s="15" t="s">
        <v>17</v>
      </c>
      <c r="AJ12" s="15"/>
      <c r="AK12" s="15" t="s">
        <v>18</v>
      </c>
      <c r="AL12" s="15"/>
      <c r="AM12" s="15" t="s">
        <v>19</v>
      </c>
      <c r="AP12" s="15" t="s">
        <v>3</v>
      </c>
      <c r="AQ12" s="15" t="s">
        <v>21</v>
      </c>
      <c r="AR12" s="15"/>
      <c r="AS12" s="15" t="s">
        <v>22</v>
      </c>
      <c r="AT12" s="14"/>
      <c r="AV12" s="15" t="s">
        <v>3</v>
      </c>
      <c r="AW12" s="15" t="s">
        <v>24</v>
      </c>
      <c r="AX12" s="15" t="s">
        <v>25</v>
      </c>
      <c r="BA12" s="15" t="s">
        <v>3</v>
      </c>
      <c r="BB12" s="15" t="s">
        <v>28</v>
      </c>
      <c r="BC12" s="19"/>
      <c r="BE12" s="119" t="s">
        <v>1</v>
      </c>
      <c r="BF12" s="118" t="s">
        <v>77</v>
      </c>
      <c r="BG12" s="118"/>
      <c r="BI12" s="11" t="s">
        <v>1</v>
      </c>
      <c r="BJ12" s="11" t="s">
        <v>35</v>
      </c>
      <c r="BK12" s="11" t="s">
        <v>36</v>
      </c>
      <c r="BL12" s="11" t="s">
        <v>37</v>
      </c>
      <c r="BM12" s="11" t="s">
        <v>38</v>
      </c>
      <c r="BN12" s="11" t="s">
        <v>39</v>
      </c>
    </row>
    <row r="13" spans="2:66" x14ac:dyDescent="0.3">
      <c r="B13" s="2">
        <v>2022</v>
      </c>
      <c r="C13" s="42">
        <v>49.613</v>
      </c>
      <c r="D13" s="42"/>
      <c r="E13" s="42"/>
      <c r="F13" s="42"/>
      <c r="G13" s="4">
        <v>100</v>
      </c>
      <c r="H13" s="42">
        <v>-36</v>
      </c>
      <c r="I13" s="42"/>
      <c r="J13" s="43">
        <f>C13*(G13+H13)</f>
        <v>3175.232</v>
      </c>
      <c r="K13" s="43"/>
      <c r="N13" s="9">
        <v>2022</v>
      </c>
      <c r="O13" s="9"/>
      <c r="P13" s="9"/>
      <c r="Q13" s="9">
        <v>0</v>
      </c>
      <c r="R13" s="9">
        <v>0</v>
      </c>
      <c r="AA13" s="9">
        <v>2022</v>
      </c>
      <c r="AB13" s="9">
        <v>-1000</v>
      </c>
      <c r="AC13" s="9">
        <v>0</v>
      </c>
      <c r="AF13" s="9">
        <v>2022</v>
      </c>
      <c r="AG13" s="9">
        <v>-400</v>
      </c>
      <c r="AH13" s="9"/>
      <c r="AI13" s="9">
        <v>-40</v>
      </c>
      <c r="AJ13" s="9"/>
      <c r="AK13" s="9">
        <v>-40</v>
      </c>
      <c r="AL13" s="9"/>
      <c r="AM13" s="9">
        <f>AG13+AI13+AK13</f>
        <v>-480</v>
      </c>
      <c r="AP13" s="9">
        <v>2022</v>
      </c>
      <c r="AQ13" s="9">
        <v>-500</v>
      </c>
      <c r="AR13" s="9"/>
      <c r="AS13" s="9">
        <v>-500</v>
      </c>
      <c r="AV13" s="9">
        <v>2022</v>
      </c>
      <c r="AW13" s="9">
        <v>-600</v>
      </c>
      <c r="AX13" s="9">
        <v>34.991999999999997</v>
      </c>
      <c r="BA13" s="9">
        <v>2022</v>
      </c>
      <c r="BB13" s="2">
        <v>30</v>
      </c>
      <c r="BE13" s="9">
        <v>2022</v>
      </c>
      <c r="BF13" s="51">
        <f>(0.05+0.1+0.06)*-O41</f>
        <v>-994.39872000000014</v>
      </c>
      <c r="BG13" s="53"/>
      <c r="BI13" s="9">
        <v>2022</v>
      </c>
      <c r="BJ13" s="9">
        <v>4735.232</v>
      </c>
      <c r="BK13" s="9">
        <f>V41</f>
        <v>-4074.3987200000001</v>
      </c>
      <c r="BL13" s="9">
        <f>BJ13+BK13</f>
        <v>660.83327999999983</v>
      </c>
      <c r="BM13" s="9">
        <f>BL13*(0.1)</f>
        <v>66.08332799999998</v>
      </c>
      <c r="BN13" s="9">
        <f>BL13-BM13</f>
        <v>594.74995199999989</v>
      </c>
    </row>
    <row r="14" spans="2:66" x14ac:dyDescent="0.3">
      <c r="B14" s="2">
        <v>2023</v>
      </c>
      <c r="C14" s="42">
        <f>C13*(1+0.05)</f>
        <v>52.093650000000004</v>
      </c>
      <c r="D14" s="42"/>
      <c r="E14" s="42"/>
      <c r="F14" s="42"/>
      <c r="G14" s="4">
        <f>G13*1.015</f>
        <v>101.49999999999999</v>
      </c>
      <c r="H14" s="42">
        <f>H13*1.015</f>
        <v>-36.54</v>
      </c>
      <c r="I14" s="42"/>
      <c r="J14" s="43">
        <f t="shared" ref="J14:J23" si="0">C14*(G14+H14)</f>
        <v>3384.0035039999993</v>
      </c>
      <c r="K14" s="43"/>
      <c r="N14" s="9">
        <v>2023</v>
      </c>
      <c r="O14" s="9">
        <v>5</v>
      </c>
      <c r="P14" s="9">
        <f>50</f>
        <v>50</v>
      </c>
      <c r="Q14" s="9">
        <f>0.6*G35</f>
        <v>-29.231999999999999</v>
      </c>
      <c r="R14" s="9">
        <f>O14*(P14+Q14)</f>
        <v>103.84</v>
      </c>
      <c r="AA14" s="9">
        <v>2023</v>
      </c>
      <c r="AB14" s="9">
        <v>0</v>
      </c>
      <c r="AC14" s="9">
        <v>80</v>
      </c>
      <c r="AF14" s="9">
        <v>2023</v>
      </c>
      <c r="AG14" s="9">
        <v>-420</v>
      </c>
      <c r="AH14" s="9"/>
      <c r="AI14" s="9">
        <f>0.1*AG14</f>
        <v>-42</v>
      </c>
      <c r="AJ14" s="9"/>
      <c r="AK14" s="9">
        <v>-40</v>
      </c>
      <c r="AL14" s="9"/>
      <c r="AM14" s="9">
        <f>AG14+AK14</f>
        <v>-460</v>
      </c>
      <c r="AP14" s="9">
        <v>2023</v>
      </c>
      <c r="AQ14">
        <f>AQ13*(1.05)</f>
        <v>-525</v>
      </c>
      <c r="AR14" s="9"/>
      <c r="AS14" s="9">
        <f>AS13*(1.15)</f>
        <v>-575</v>
      </c>
      <c r="AV14" s="9">
        <v>2023</v>
      </c>
      <c r="AW14" s="9">
        <f>AW13*(1.015)</f>
        <v>-608.99999999999989</v>
      </c>
      <c r="AX14" s="9">
        <f>AX13*(1.08)</f>
        <v>37.791359999999997</v>
      </c>
      <c r="BA14" s="9">
        <v>2023</v>
      </c>
      <c r="BB14" s="2">
        <f>BB13*(1.03)</f>
        <v>30.900000000000002</v>
      </c>
      <c r="BE14" s="9">
        <v>2023</v>
      </c>
      <c r="BF14" s="51">
        <f>(0.05+0.1+0.06)*-O42</f>
        <v>-1098.2125358399999</v>
      </c>
      <c r="BG14" s="53"/>
      <c r="BI14" s="9">
        <v>2023</v>
      </c>
      <c r="BJ14" s="9">
        <v>5229.5835039999993</v>
      </c>
      <c r="BK14" s="9">
        <f>V42</f>
        <v>-3267.2125358399999</v>
      </c>
      <c r="BL14" s="9">
        <f t="shared" ref="BL14:BL23" si="1">BJ14+BK14</f>
        <v>1962.3709681599994</v>
      </c>
      <c r="BM14" s="9">
        <f t="shared" ref="BM14:BM23" si="2">BL14*(0.1)</f>
        <v>196.23709681599996</v>
      </c>
      <c r="BN14" s="9">
        <f t="shared" ref="BN14:BN23" si="3">BL14-BM14</f>
        <v>1766.1338713439995</v>
      </c>
    </row>
    <row r="15" spans="2:66" x14ac:dyDescent="0.3">
      <c r="B15" s="2">
        <v>2024</v>
      </c>
      <c r="C15" s="42">
        <f t="shared" ref="C15:C23" si="4">C14*(1+0.05)</f>
        <v>54.698332500000006</v>
      </c>
      <c r="D15" s="42"/>
      <c r="E15" s="42"/>
      <c r="F15" s="42"/>
      <c r="G15" s="5">
        <f t="shared" ref="G15:G28" si="5">G14*1.015</f>
        <v>103.02249999999998</v>
      </c>
      <c r="H15" s="42">
        <f t="shared" ref="H15:H23" si="6">H14*1.015</f>
        <v>-37.088099999999997</v>
      </c>
      <c r="I15" s="42"/>
      <c r="J15" s="43">
        <f t="shared" si="0"/>
        <v>3606.5017343879995</v>
      </c>
      <c r="K15" s="43"/>
      <c r="N15" s="9">
        <v>2024</v>
      </c>
      <c r="O15" s="9">
        <f t="shared" ref="O15:O28" si="7">O14*(1+0.08)</f>
        <v>5.4</v>
      </c>
      <c r="P15" s="9">
        <f>P14*(1+0.015)</f>
        <v>50.749999999999993</v>
      </c>
      <c r="Q15" s="9">
        <f>0.6*G36</f>
        <v>-29.670479999999994</v>
      </c>
      <c r="R15" s="9">
        <f t="shared" ref="R15:R28" si="8">O15*(P15+Q15)</f>
        <v>113.829408</v>
      </c>
      <c r="AA15" s="9">
        <v>2024</v>
      </c>
      <c r="AB15" s="9">
        <v>0</v>
      </c>
      <c r="AC15" s="9">
        <v>80</v>
      </c>
      <c r="AF15" s="9">
        <v>2024</v>
      </c>
      <c r="AG15" s="9">
        <v>-441</v>
      </c>
      <c r="AH15" s="9"/>
      <c r="AI15" s="9">
        <f t="shared" ref="AI15:AI23" si="9">0.1*AG15</f>
        <v>-44.1</v>
      </c>
      <c r="AJ15" s="9"/>
      <c r="AK15" s="9">
        <v>-40</v>
      </c>
      <c r="AL15" s="9"/>
      <c r="AM15" s="9">
        <f t="shared" ref="AM15:AM23" si="10">AG15+AK15</f>
        <v>-481</v>
      </c>
      <c r="AP15" s="9">
        <v>2024</v>
      </c>
      <c r="AQ15">
        <f t="shared" ref="AQ15:AQ23" si="11">AQ14*(1.05)</f>
        <v>-551.25</v>
      </c>
      <c r="AR15" s="9"/>
      <c r="AS15" s="9">
        <f t="shared" ref="AS15:AS23" si="12">AS14*(1.15)</f>
        <v>-661.25</v>
      </c>
      <c r="AV15" s="9">
        <v>2024</v>
      </c>
      <c r="AW15" s="9">
        <f t="shared" ref="AW15:AW23" si="13">AW14*(1.015)</f>
        <v>-618.13499999999988</v>
      </c>
      <c r="AX15" s="9">
        <f t="shared" ref="AX15:AX23" si="14">AX14*(1.08)</f>
        <v>40.8146688</v>
      </c>
      <c r="BA15" s="9">
        <v>2024</v>
      </c>
      <c r="BB15" s="2">
        <f t="shared" ref="BB15:BB23" si="15">BB14*(1.03)</f>
        <v>31.827000000000002</v>
      </c>
      <c r="BE15" s="9">
        <v>2024</v>
      </c>
      <c r="BF15" s="51">
        <f>(0.05+0.1+0.06)*-O43</f>
        <v>-1189.6466090014799</v>
      </c>
      <c r="BG15" s="53"/>
      <c r="BI15" s="9">
        <v>2024</v>
      </c>
      <c r="BJ15" s="9">
        <v>5664.9838523879989</v>
      </c>
      <c r="BK15" s="9">
        <f>V43</f>
        <v>-3501.2816090014794</v>
      </c>
      <c r="BL15" s="9">
        <f t="shared" si="1"/>
        <v>2163.7022433865195</v>
      </c>
      <c r="BM15" s="9">
        <f t="shared" si="2"/>
        <v>216.37022433865195</v>
      </c>
      <c r="BN15" s="9">
        <f t="shared" si="3"/>
        <v>1947.3320190478676</v>
      </c>
    </row>
    <row r="16" spans="2:66" x14ac:dyDescent="0.3">
      <c r="B16" s="2">
        <v>2025</v>
      </c>
      <c r="C16" s="42">
        <f t="shared" si="4"/>
        <v>57.43324912500001</v>
      </c>
      <c r="D16" s="42"/>
      <c r="E16" s="42"/>
      <c r="F16" s="42"/>
      <c r="G16" s="5">
        <f t="shared" si="5"/>
        <v>104.56783749999997</v>
      </c>
      <c r="H16" s="42">
        <f t="shared" si="6"/>
        <v>-37.644421499999993</v>
      </c>
      <c r="I16" s="42"/>
      <c r="J16" s="43">
        <f t="shared" si="0"/>
        <v>3843.6292234240104</v>
      </c>
      <c r="K16" s="43"/>
      <c r="N16" s="9">
        <v>2025</v>
      </c>
      <c r="O16" s="9">
        <f t="shared" si="7"/>
        <v>5.8320000000000007</v>
      </c>
      <c r="P16" s="9">
        <f t="shared" ref="P16:P28" si="16">P15*(1+0.015)</f>
        <v>51.51124999999999</v>
      </c>
      <c r="Q16" s="9">
        <f>0.6*G37</f>
        <v>-30.115537199999991</v>
      </c>
      <c r="R16" s="9">
        <f t="shared" si="8"/>
        <v>124.77979704960001</v>
      </c>
      <c r="AA16" s="9">
        <v>2025</v>
      </c>
      <c r="AB16" s="9">
        <v>0</v>
      </c>
      <c r="AC16" s="9">
        <v>80</v>
      </c>
      <c r="AF16" s="9">
        <v>2025</v>
      </c>
      <c r="AG16" s="9">
        <v>-463.05</v>
      </c>
      <c r="AH16" s="9"/>
      <c r="AI16" s="9">
        <f t="shared" si="9"/>
        <v>-46.305000000000007</v>
      </c>
      <c r="AJ16" s="9"/>
      <c r="AK16" s="9">
        <v>-40</v>
      </c>
      <c r="AL16" s="9"/>
      <c r="AM16" s="9">
        <f t="shared" si="10"/>
        <v>-503.05</v>
      </c>
      <c r="AP16" s="9">
        <v>2025</v>
      </c>
      <c r="AQ16">
        <f t="shared" si="11"/>
        <v>-578.8125</v>
      </c>
      <c r="AR16" s="9"/>
      <c r="AS16" s="9">
        <f t="shared" si="12"/>
        <v>-760.43749999999989</v>
      </c>
      <c r="AV16" s="17">
        <v>2025</v>
      </c>
      <c r="AW16" s="9">
        <f t="shared" si="13"/>
        <v>-627.40702499999986</v>
      </c>
      <c r="AX16" s="9">
        <f t="shared" si="14"/>
        <v>44.079842304000003</v>
      </c>
      <c r="BA16" s="9">
        <v>2025</v>
      </c>
      <c r="BB16" s="2">
        <f t="shared" si="15"/>
        <v>32.78181</v>
      </c>
      <c r="BE16" s="9">
        <v>2025</v>
      </c>
      <c r="BF16" s="51">
        <f>(0.05+0.1+0.06)*-O44</f>
        <v>-1289.3188919496081</v>
      </c>
      <c r="BG16" s="53"/>
      <c r="BI16" s="9">
        <v>2025</v>
      </c>
      <c r="BJ16" s="9">
        <v>6139.6137711886095</v>
      </c>
      <c r="BK16" s="9">
        <f>V44</f>
        <v>-3759.0259169496076</v>
      </c>
      <c r="BL16" s="9">
        <f t="shared" si="1"/>
        <v>2380.5878542390019</v>
      </c>
      <c r="BM16" s="9">
        <f t="shared" si="2"/>
        <v>238.05878542390019</v>
      </c>
      <c r="BN16" s="9">
        <f t="shared" si="3"/>
        <v>2142.5290688151017</v>
      </c>
    </row>
    <row r="17" spans="2:66" x14ac:dyDescent="0.3">
      <c r="B17" s="2">
        <v>2026</v>
      </c>
      <c r="C17" s="42">
        <f t="shared" si="4"/>
        <v>60.30491158125001</v>
      </c>
      <c r="D17" s="42"/>
      <c r="E17" s="42"/>
      <c r="F17" s="42"/>
      <c r="G17" s="5">
        <f t="shared" si="5"/>
        <v>106.13635506249996</v>
      </c>
      <c r="H17" s="42">
        <f t="shared" si="6"/>
        <v>-38.209087822499988</v>
      </c>
      <c r="I17" s="42"/>
      <c r="J17" s="43">
        <f t="shared" si="0"/>
        <v>4096.3478448641381</v>
      </c>
      <c r="K17" s="43"/>
      <c r="N17" s="9">
        <v>2026</v>
      </c>
      <c r="O17" s="9">
        <f t="shared" si="7"/>
        <v>6.298560000000001</v>
      </c>
      <c r="P17" s="9">
        <f t="shared" si="16"/>
        <v>52.283918749999984</v>
      </c>
      <c r="Q17" s="9">
        <f>0.6*G38</f>
        <v>-30.567270257999986</v>
      </c>
      <c r="R17" s="9">
        <f t="shared" si="8"/>
        <v>136.78361352577153</v>
      </c>
      <c r="AA17" s="9">
        <v>2026</v>
      </c>
      <c r="AB17" s="9">
        <v>0</v>
      </c>
      <c r="AC17" s="9">
        <v>80</v>
      </c>
      <c r="AF17" s="9">
        <v>2026</v>
      </c>
      <c r="AG17" s="9">
        <v>-486.20250000000004</v>
      </c>
      <c r="AH17" s="9"/>
      <c r="AI17" s="9">
        <f t="shared" si="9"/>
        <v>-48.620250000000006</v>
      </c>
      <c r="AJ17" s="9"/>
      <c r="AK17" s="9">
        <v>-40</v>
      </c>
      <c r="AL17" s="9"/>
      <c r="AM17" s="9">
        <f t="shared" si="10"/>
        <v>-526.2025000000001</v>
      </c>
      <c r="AP17" s="9">
        <v>2026</v>
      </c>
      <c r="AQ17">
        <f t="shared" si="11"/>
        <v>-607.75312500000007</v>
      </c>
      <c r="AR17" s="9"/>
      <c r="AS17" s="9">
        <f t="shared" si="12"/>
        <v>-874.50312499999984</v>
      </c>
      <c r="AV17" s="9">
        <v>2026</v>
      </c>
      <c r="AW17" s="9">
        <f t="shared" si="13"/>
        <v>-636.81813037499978</v>
      </c>
      <c r="AX17" s="9">
        <f t="shared" si="14"/>
        <v>47.606229688320006</v>
      </c>
      <c r="BA17" s="9">
        <v>2026</v>
      </c>
      <c r="BB17" s="2">
        <f t="shared" si="15"/>
        <v>33.765264299999998</v>
      </c>
      <c r="BE17" s="9">
        <v>2026</v>
      </c>
      <c r="BF17" s="51">
        <f>(0.05+0.1+0.06)*-O45</f>
        <v>-1398.0291281382736</v>
      </c>
      <c r="BG17" s="53"/>
      <c r="BI17" s="9">
        <v>2026</v>
      </c>
      <c r="BJ17" s="9">
        <v>6657.2815625632065</v>
      </c>
      <c r="BK17" s="9">
        <f>V45</f>
        <v>-4043.3060085132729</v>
      </c>
      <c r="BL17" s="9">
        <f t="shared" si="1"/>
        <v>2613.9755540499336</v>
      </c>
      <c r="BM17" s="9">
        <f t="shared" si="2"/>
        <v>261.3975554049934</v>
      </c>
      <c r="BN17" s="9">
        <f t="shared" si="3"/>
        <v>2352.5779986449402</v>
      </c>
    </row>
    <row r="18" spans="2:66" x14ac:dyDescent="0.3">
      <c r="B18" s="2">
        <v>2027</v>
      </c>
      <c r="C18" s="42">
        <f t="shared" si="4"/>
        <v>63.320157160312512</v>
      </c>
      <c r="D18" s="42"/>
      <c r="E18" s="42"/>
      <c r="F18" s="42"/>
      <c r="G18" s="5">
        <f t="shared" si="5"/>
        <v>107.72840038843745</v>
      </c>
      <c r="H18" s="42">
        <f t="shared" si="6"/>
        <v>-38.782224139837481</v>
      </c>
      <c r="I18" s="42"/>
      <c r="J18" s="43">
        <f t="shared" si="0"/>
        <v>4365.6827156639556</v>
      </c>
      <c r="K18" s="43"/>
      <c r="N18" s="9">
        <v>2027</v>
      </c>
      <c r="O18" s="9">
        <f t="shared" si="7"/>
        <v>6.8024448000000017</v>
      </c>
      <c r="P18" s="9">
        <f t="shared" si="16"/>
        <v>53.068177531249979</v>
      </c>
      <c r="Q18" s="9">
        <f>0.6*G39</f>
        <v>-31.025779311869982</v>
      </c>
      <c r="R18" s="9">
        <f t="shared" si="8"/>
        <v>149.94219714695075</v>
      </c>
      <c r="AA18" s="9">
        <v>2027</v>
      </c>
      <c r="AB18" s="9">
        <v>0</v>
      </c>
      <c r="AC18" s="9">
        <v>80</v>
      </c>
      <c r="AF18" s="9">
        <v>2027</v>
      </c>
      <c r="AG18" s="9">
        <v>-510.51262500000007</v>
      </c>
      <c r="AH18" s="9"/>
      <c r="AI18" s="9">
        <f t="shared" si="9"/>
        <v>-51.051262500000007</v>
      </c>
      <c r="AJ18" s="9"/>
      <c r="AK18" s="9">
        <v>-40</v>
      </c>
      <c r="AL18" s="9"/>
      <c r="AM18" s="9">
        <f t="shared" si="10"/>
        <v>-550.51262500000007</v>
      </c>
      <c r="AP18" s="9">
        <v>2027</v>
      </c>
      <c r="AQ18">
        <f t="shared" si="11"/>
        <v>-638.14078125000015</v>
      </c>
      <c r="AR18" s="9"/>
      <c r="AS18" s="9">
        <f t="shared" si="12"/>
        <v>-1005.6785937499998</v>
      </c>
      <c r="AV18" s="9">
        <v>2027</v>
      </c>
      <c r="AW18" s="9">
        <f t="shared" si="13"/>
        <v>-646.37040233062476</v>
      </c>
      <c r="AX18" s="9">
        <f t="shared" si="14"/>
        <v>51.41472806338561</v>
      </c>
      <c r="BA18" s="9">
        <v>2027</v>
      </c>
      <c r="BB18" s="2">
        <f t="shared" si="15"/>
        <v>34.778222229000001</v>
      </c>
      <c r="BE18" s="9">
        <v>2027</v>
      </c>
      <c r="BF18" s="51">
        <f>(0.05+0.1+0.06)*-O46</f>
        <v>-1516.6595858652827</v>
      </c>
      <c r="BG18" s="53"/>
      <c r="BI18" s="9">
        <v>2027</v>
      </c>
      <c r="BJ18" s="9">
        <v>7222.1885041203932</v>
      </c>
      <c r="BK18" s="9">
        <f>V46</f>
        <v>-4357.3619881959075</v>
      </c>
      <c r="BL18" s="9">
        <f t="shared" si="1"/>
        <v>2864.8265159244856</v>
      </c>
      <c r="BM18" s="9">
        <f t="shared" si="2"/>
        <v>286.48265159244858</v>
      </c>
      <c r="BN18" s="9">
        <f t="shared" si="3"/>
        <v>2578.3438643320369</v>
      </c>
    </row>
    <row r="19" spans="2:66" x14ac:dyDescent="0.3">
      <c r="B19" s="2">
        <v>2028</v>
      </c>
      <c r="C19" s="42">
        <f t="shared" si="4"/>
        <v>66.486165018328137</v>
      </c>
      <c r="D19" s="42"/>
      <c r="E19" s="42"/>
      <c r="F19" s="42"/>
      <c r="G19" s="5">
        <f t="shared" si="5"/>
        <v>109.344326394264</v>
      </c>
      <c r="H19" s="42">
        <f t="shared" si="6"/>
        <v>-39.36395750193504</v>
      </c>
      <c r="I19" s="42"/>
      <c r="J19" s="43">
        <f t="shared" si="0"/>
        <v>4652.7263542188603</v>
      </c>
      <c r="K19" s="43"/>
      <c r="N19" s="9">
        <v>2028</v>
      </c>
      <c r="O19" s="9">
        <f t="shared" si="7"/>
        <v>7.3466403840000023</v>
      </c>
      <c r="P19" s="9">
        <f t="shared" si="16"/>
        <v>53.864200194218725</v>
      </c>
      <c r="Q19" s="9">
        <f>0.6*G40</f>
        <v>-31.491166001548027</v>
      </c>
      <c r="R19" s="9">
        <f t="shared" si="8"/>
        <v>164.36663651248745</v>
      </c>
      <c r="AA19" s="9">
        <v>2028</v>
      </c>
      <c r="AB19" s="9">
        <v>0</v>
      </c>
      <c r="AC19" s="9">
        <v>80</v>
      </c>
      <c r="AF19" s="9">
        <v>2028</v>
      </c>
      <c r="AG19" s="9">
        <v>-536.03825625000013</v>
      </c>
      <c r="AH19" s="9"/>
      <c r="AI19" s="9">
        <f t="shared" si="9"/>
        <v>-53.603825625000013</v>
      </c>
      <c r="AJ19" s="9"/>
      <c r="AK19" s="9">
        <v>-40</v>
      </c>
      <c r="AL19" s="9"/>
      <c r="AM19" s="9">
        <f t="shared" si="10"/>
        <v>-576.03825625000013</v>
      </c>
      <c r="AP19" s="9">
        <v>2028</v>
      </c>
      <c r="AQ19">
        <f t="shared" si="11"/>
        <v>-670.04782031250022</v>
      </c>
      <c r="AR19" s="9"/>
      <c r="AS19" s="9">
        <f t="shared" si="12"/>
        <v>-1156.5303828124997</v>
      </c>
      <c r="AV19" s="9">
        <v>2028</v>
      </c>
      <c r="AW19" s="9">
        <f t="shared" si="13"/>
        <v>-656.06595836558404</v>
      </c>
      <c r="AX19" s="9">
        <f t="shared" si="14"/>
        <v>55.527906308456465</v>
      </c>
      <c r="BA19" s="9">
        <v>2028</v>
      </c>
      <c r="BB19" s="2">
        <f t="shared" si="15"/>
        <v>35.821568895870001</v>
      </c>
      <c r="BE19" s="9">
        <v>2028</v>
      </c>
      <c r="BF19" s="51">
        <f>(0.05+0.1+0.06)*-O47</f>
        <v>-1646.1839604899619</v>
      </c>
      <c r="BG19" s="53"/>
      <c r="BI19" s="9">
        <v>2028</v>
      </c>
      <c r="BJ19" s="9">
        <v>7838.9712404283891</v>
      </c>
      <c r="BK19" s="9">
        <f>V47</f>
        <v>-4704.8663782305466</v>
      </c>
      <c r="BL19" s="9">
        <f t="shared" si="1"/>
        <v>3134.1048621978425</v>
      </c>
      <c r="BM19" s="9">
        <f t="shared" si="2"/>
        <v>313.41048621978427</v>
      </c>
      <c r="BN19" s="9">
        <f t="shared" si="3"/>
        <v>2820.6943759780584</v>
      </c>
    </row>
    <row r="20" spans="2:66" x14ac:dyDescent="0.3">
      <c r="B20" s="2">
        <v>2029</v>
      </c>
      <c r="C20" s="42">
        <f t="shared" si="4"/>
        <v>69.810473269244554</v>
      </c>
      <c r="D20" s="42"/>
      <c r="E20" s="42"/>
      <c r="F20" s="42"/>
      <c r="G20" s="5">
        <f t="shared" si="5"/>
        <v>110.98449129017796</v>
      </c>
      <c r="H20" s="42">
        <f t="shared" si="6"/>
        <v>-39.954416864464065</v>
      </c>
      <c r="I20" s="42"/>
      <c r="J20" s="43">
        <f t="shared" si="0"/>
        <v>4958.6431120087509</v>
      </c>
      <c r="K20" s="43"/>
      <c r="N20" s="9">
        <v>2029</v>
      </c>
      <c r="O20" s="9">
        <f t="shared" si="7"/>
        <v>7.9343716147200034</v>
      </c>
      <c r="P20" s="9">
        <f t="shared" si="16"/>
        <v>54.672163197132001</v>
      </c>
      <c r="Q20" s="9">
        <f>0.6*G41</f>
        <v>-31.963533491571244</v>
      </c>
      <c r="R20" s="9">
        <f t="shared" si="8"/>
        <v>180.17870694498873</v>
      </c>
      <c r="AA20" s="9">
        <v>2029</v>
      </c>
      <c r="AB20" s="9">
        <v>0</v>
      </c>
      <c r="AC20" s="9">
        <v>80</v>
      </c>
      <c r="AF20" s="9">
        <v>2029</v>
      </c>
      <c r="AG20" s="9">
        <v>-562.84016906250019</v>
      </c>
      <c r="AH20" s="9"/>
      <c r="AI20" s="9">
        <f t="shared" si="9"/>
        <v>-56.284016906250024</v>
      </c>
      <c r="AJ20" s="9"/>
      <c r="AK20" s="9">
        <v>-40</v>
      </c>
      <c r="AL20" s="9"/>
      <c r="AM20" s="9">
        <f t="shared" si="10"/>
        <v>-602.84016906250019</v>
      </c>
      <c r="AP20" s="9">
        <v>2029</v>
      </c>
      <c r="AQ20">
        <f t="shared" si="11"/>
        <v>-703.55021132812522</v>
      </c>
      <c r="AR20" s="9"/>
      <c r="AS20" s="9">
        <f t="shared" si="12"/>
        <v>-1330.0099402343747</v>
      </c>
      <c r="AV20" s="9">
        <v>2029</v>
      </c>
      <c r="AW20" s="9">
        <f t="shared" si="13"/>
        <v>-665.90694774106771</v>
      </c>
      <c r="AX20" s="9">
        <f t="shared" si="14"/>
        <v>59.970138813132984</v>
      </c>
      <c r="BA20" s="9">
        <v>2029</v>
      </c>
      <c r="BB20" s="2">
        <f t="shared" si="15"/>
        <v>36.896215962746105</v>
      </c>
      <c r="BE20" s="9">
        <v>2029</v>
      </c>
      <c r="BF20" s="51">
        <f>(0.05+0.1+0.06)*-O48</f>
        <v>-1787.6772657955025</v>
      </c>
      <c r="BG20" s="53"/>
      <c r="BI20" s="9">
        <v>2029</v>
      </c>
      <c r="BJ20" s="9">
        <v>8512.7488847404875</v>
      </c>
      <c r="BK20" s="9">
        <f>V48</f>
        <v>-5089.9845341615701</v>
      </c>
      <c r="BL20" s="9">
        <f t="shared" si="1"/>
        <v>3422.7643505789174</v>
      </c>
      <c r="BM20" s="9">
        <f t="shared" si="2"/>
        <v>342.27643505789177</v>
      </c>
      <c r="BN20" s="9">
        <f t="shared" si="3"/>
        <v>3080.4879155210256</v>
      </c>
    </row>
    <row r="21" spans="2:66" x14ac:dyDescent="0.3">
      <c r="B21" s="2">
        <v>2030</v>
      </c>
      <c r="C21" s="42">
        <f t="shared" si="4"/>
        <v>73.300996932706781</v>
      </c>
      <c r="D21" s="42"/>
      <c r="E21" s="42"/>
      <c r="F21" s="42"/>
      <c r="G21" s="5">
        <f t="shared" si="5"/>
        <v>112.64925865953062</v>
      </c>
      <c r="H21" s="42">
        <f t="shared" si="6"/>
        <v>-40.553733117431022</v>
      </c>
      <c r="I21" s="42"/>
      <c r="J21" s="43">
        <f t="shared" si="0"/>
        <v>5284.6738966233261</v>
      </c>
      <c r="K21" s="43"/>
      <c r="N21" s="9">
        <v>2030</v>
      </c>
      <c r="O21" s="9">
        <f t="shared" si="7"/>
        <v>8.5691213438976046</v>
      </c>
      <c r="P21" s="9">
        <f t="shared" si="16"/>
        <v>55.492245645088978</v>
      </c>
      <c r="Q21" s="9">
        <f>0.6*G42</f>
        <v>-32.442986493944808</v>
      </c>
      <c r="R21" s="9">
        <f t="shared" si="8"/>
        <v>197.5118985530967</v>
      </c>
      <c r="AA21" s="9">
        <v>2030</v>
      </c>
      <c r="AB21" s="9">
        <v>0</v>
      </c>
      <c r="AC21" s="9">
        <v>80</v>
      </c>
      <c r="AF21" s="9">
        <v>2030</v>
      </c>
      <c r="AG21" s="9">
        <v>-590.98217751562527</v>
      </c>
      <c r="AH21" s="9"/>
      <c r="AI21" s="9">
        <f t="shared" si="9"/>
        <v>-59.09821775156253</v>
      </c>
      <c r="AJ21" s="9"/>
      <c r="AK21" s="9">
        <v>-40</v>
      </c>
      <c r="AL21" s="9"/>
      <c r="AM21" s="9">
        <f t="shared" si="10"/>
        <v>-630.98217751562527</v>
      </c>
      <c r="AP21" s="9">
        <v>2030</v>
      </c>
      <c r="AQ21">
        <f t="shared" si="11"/>
        <v>-738.72772189453156</v>
      </c>
      <c r="AR21" s="9"/>
      <c r="AS21" s="9">
        <f t="shared" si="12"/>
        <v>-1529.5114312695307</v>
      </c>
      <c r="AV21" s="9">
        <v>2030</v>
      </c>
      <c r="AW21" s="9">
        <f t="shared" si="13"/>
        <v>-675.89555195718367</v>
      </c>
      <c r="AX21" s="9">
        <f t="shared" si="14"/>
        <v>64.767749918183625</v>
      </c>
      <c r="BA21" s="9">
        <v>2030</v>
      </c>
      <c r="BB21" s="2">
        <f t="shared" si="15"/>
        <v>38.003102441628492</v>
      </c>
      <c r="BE21" s="9">
        <v>2030</v>
      </c>
      <c r="BF21" s="51">
        <f>(0.05+0.1+0.06)*-O49</f>
        <v>-1942.326826466739</v>
      </c>
      <c r="BG21" s="53"/>
      <c r="BI21" s="9">
        <v>2030</v>
      </c>
      <c r="BJ21" s="9">
        <v>9249.1753641273281</v>
      </c>
      <c r="BK21" s="9">
        <f>V49</f>
        <v>-5517.4437091036107</v>
      </c>
      <c r="BL21" s="9">
        <f t="shared" si="1"/>
        <v>3731.7316550237174</v>
      </c>
      <c r="BM21" s="9">
        <f t="shared" si="2"/>
        <v>373.17316550237177</v>
      </c>
      <c r="BN21" s="9">
        <f t="shared" si="3"/>
        <v>3358.5584895213456</v>
      </c>
    </row>
    <row r="22" spans="2:66" x14ac:dyDescent="0.3">
      <c r="B22" s="2">
        <v>2031</v>
      </c>
      <c r="C22" s="42">
        <f t="shared" si="4"/>
        <v>76.966046779342122</v>
      </c>
      <c r="D22" s="42"/>
      <c r="E22" s="42"/>
      <c r="F22" s="42"/>
      <c r="G22" s="5">
        <f t="shared" si="5"/>
        <v>114.33899753942356</v>
      </c>
      <c r="H22" s="42">
        <f t="shared" si="6"/>
        <v>-41.162039114192481</v>
      </c>
      <c r="I22" s="42"/>
      <c r="J22" s="43">
        <f t="shared" si="0"/>
        <v>5632.1412053263084</v>
      </c>
      <c r="K22" s="43"/>
      <c r="N22" s="9">
        <v>2031</v>
      </c>
      <c r="O22" s="9">
        <f t="shared" si="7"/>
        <v>9.2546510514094145</v>
      </c>
      <c r="P22" s="9">
        <f t="shared" si="16"/>
        <v>56.324629329765308</v>
      </c>
      <c r="Q22" s="9">
        <f>0.6*G43</f>
        <v>-32.929631291353978</v>
      </c>
      <c r="R22" s="9">
        <f t="shared" si="8"/>
        <v>216.51254319390461</v>
      </c>
      <c r="AA22" s="9">
        <v>2031</v>
      </c>
      <c r="AB22" s="9">
        <v>0</v>
      </c>
      <c r="AC22" s="9">
        <v>80</v>
      </c>
      <c r="AF22" s="9">
        <v>2031</v>
      </c>
      <c r="AG22" s="9">
        <v>-620.53128639140652</v>
      </c>
      <c r="AH22" s="9"/>
      <c r="AI22" s="9">
        <f t="shared" si="9"/>
        <v>-62.053128639140652</v>
      </c>
      <c r="AJ22" s="9"/>
      <c r="AK22" s="9">
        <v>-40</v>
      </c>
      <c r="AL22" s="9"/>
      <c r="AM22" s="9">
        <f t="shared" si="10"/>
        <v>-660.53128639140652</v>
      </c>
      <c r="AP22" s="9">
        <v>2031</v>
      </c>
      <c r="AQ22">
        <f t="shared" si="11"/>
        <v>-775.66410798925813</v>
      </c>
      <c r="AR22" s="9"/>
      <c r="AS22" s="9">
        <f t="shared" si="12"/>
        <v>-1758.9381459599601</v>
      </c>
      <c r="AV22" s="9">
        <v>2031</v>
      </c>
      <c r="AW22" s="9">
        <f t="shared" si="13"/>
        <v>-686.03398523654141</v>
      </c>
      <c r="AX22" s="9">
        <f t="shared" si="14"/>
        <v>69.949169911638322</v>
      </c>
      <c r="BA22" s="9">
        <v>2031</v>
      </c>
      <c r="BB22" s="2">
        <f t="shared" si="15"/>
        <v>39.143195514877348</v>
      </c>
      <c r="BE22" s="9">
        <v>2031</v>
      </c>
      <c r="BF22" s="51">
        <f>(0.05+0.1+0.06)*-O50</f>
        <v>-2111.4444964733188</v>
      </c>
      <c r="BG22" s="53"/>
      <c r="BI22" s="9">
        <v>2031</v>
      </c>
      <c r="BJ22" s="9">
        <v>10054.497602253898</v>
      </c>
      <c r="BK22" s="9">
        <f>V50</f>
        <v>-5992.6120220504854</v>
      </c>
      <c r="BL22" s="9">
        <f t="shared" si="1"/>
        <v>4061.8855802034122</v>
      </c>
      <c r="BM22" s="9">
        <f t="shared" si="2"/>
        <v>406.18855802034125</v>
      </c>
      <c r="BN22" s="9">
        <f t="shared" si="3"/>
        <v>3655.6970221830711</v>
      </c>
    </row>
    <row r="23" spans="2:66" x14ac:dyDescent="0.3">
      <c r="B23" s="2">
        <v>2032</v>
      </c>
      <c r="C23" s="42">
        <f t="shared" si="4"/>
        <v>80.814349118309238</v>
      </c>
      <c r="D23" s="42"/>
      <c r="E23" s="42"/>
      <c r="F23" s="42"/>
      <c r="G23" s="5">
        <f t="shared" si="5"/>
        <v>116.0540825025149</v>
      </c>
      <c r="H23" s="42">
        <f t="shared" si="6"/>
        <v>-41.779469700905366</v>
      </c>
      <c r="I23" s="42"/>
      <c r="J23" s="43">
        <f t="shared" si="0"/>
        <v>6002.4544895765139</v>
      </c>
      <c r="K23" s="43"/>
      <c r="N23" s="9">
        <v>2032</v>
      </c>
      <c r="O23" s="9">
        <f t="shared" si="7"/>
        <v>9.9950231355221675</v>
      </c>
      <c r="P23" s="9">
        <f t="shared" si="16"/>
        <v>57.16949876971178</v>
      </c>
      <c r="Q23" s="9">
        <f>0.6*G44</f>
        <v>-33.42357576072429</v>
      </c>
      <c r="R23" s="9">
        <f t="shared" si="8"/>
        <v>237.34104984915811</v>
      </c>
      <c r="AA23" s="9">
        <v>2032</v>
      </c>
      <c r="AB23" s="9">
        <v>0</v>
      </c>
      <c r="AC23" s="9">
        <v>80</v>
      </c>
      <c r="AF23" s="9">
        <v>2032</v>
      </c>
      <c r="AG23" s="9">
        <v>-651.55785071097682</v>
      </c>
      <c r="AH23" s="9"/>
      <c r="AI23" s="9">
        <f t="shared" si="9"/>
        <v>-65.155785071097682</v>
      </c>
      <c r="AJ23" s="9"/>
      <c r="AK23" s="9">
        <v>-40</v>
      </c>
      <c r="AL23" s="9"/>
      <c r="AM23" s="9">
        <f t="shared" si="10"/>
        <v>-691.55785071097682</v>
      </c>
      <c r="AP23" s="9">
        <v>2032</v>
      </c>
      <c r="AQ23">
        <f t="shared" si="11"/>
        <v>-814.44731338872111</v>
      </c>
      <c r="AR23" s="9"/>
      <c r="AS23" s="9">
        <f t="shared" si="12"/>
        <v>-2022.7788678539539</v>
      </c>
      <c r="AV23" s="18">
        <v>2032</v>
      </c>
      <c r="AW23" s="9">
        <f t="shared" si="13"/>
        <v>-696.3244950150895</v>
      </c>
      <c r="AX23" s="9">
        <f t="shared" si="14"/>
        <v>75.545103504569397</v>
      </c>
      <c r="BA23" s="9">
        <v>2032</v>
      </c>
      <c r="BB23" s="2">
        <f t="shared" si="15"/>
        <v>40.317491380323666</v>
      </c>
      <c r="BE23" s="9">
        <v>2032</v>
      </c>
      <c r="BF23" s="51">
        <v>0</v>
      </c>
      <c r="BG23" s="53"/>
      <c r="BI23" s="9">
        <v>2032</v>
      </c>
      <c r="BJ23" s="9">
        <v>10935.620202119329</v>
      </c>
      <c r="BK23" s="9">
        <f>V51</f>
        <v>-4225.108526968741</v>
      </c>
      <c r="BL23" s="9">
        <f t="shared" si="1"/>
        <v>6710.5116751505884</v>
      </c>
      <c r="BM23" s="9">
        <f t="shared" si="2"/>
        <v>671.05116751505886</v>
      </c>
      <c r="BN23" s="9">
        <f t="shared" si="3"/>
        <v>6039.4605076355292</v>
      </c>
    </row>
    <row r="24" spans="2:66" x14ac:dyDescent="0.3">
      <c r="B24" s="70"/>
      <c r="C24" s="71"/>
      <c r="D24" s="71"/>
      <c r="E24" s="71"/>
      <c r="F24" s="71"/>
      <c r="G24" s="72"/>
      <c r="H24" s="71"/>
      <c r="I24" s="71"/>
      <c r="J24" s="73"/>
      <c r="K24" s="73"/>
      <c r="N24" s="68"/>
      <c r="O24" s="68"/>
      <c r="P24" s="68"/>
      <c r="Q24" s="68"/>
      <c r="R24" s="68"/>
      <c r="BB24" s="8"/>
    </row>
    <row r="25" spans="2:66" x14ac:dyDescent="0.3">
      <c r="B25" s="70"/>
      <c r="C25" s="71"/>
      <c r="D25" s="71"/>
      <c r="E25" s="71"/>
      <c r="F25" s="71"/>
      <c r="G25" s="72"/>
      <c r="H25" s="71"/>
      <c r="I25" s="71"/>
      <c r="J25" s="73"/>
      <c r="K25" s="73"/>
      <c r="N25" s="68"/>
      <c r="O25" s="68"/>
      <c r="P25" s="68"/>
      <c r="Q25" s="68"/>
      <c r="R25" s="68"/>
      <c r="AV25" t="s">
        <v>26</v>
      </c>
      <c r="BB25" s="8"/>
    </row>
    <row r="26" spans="2:66" x14ac:dyDescent="0.3">
      <c r="B26" s="70"/>
      <c r="C26" s="71"/>
      <c r="D26" s="71"/>
      <c r="E26" s="71"/>
      <c r="F26" s="71"/>
      <c r="G26" s="72"/>
      <c r="H26" s="71"/>
      <c r="I26" s="71"/>
      <c r="J26" s="73"/>
      <c r="K26" s="73"/>
      <c r="N26" s="68"/>
      <c r="O26" s="68"/>
      <c r="P26" s="68"/>
      <c r="Q26" s="68"/>
      <c r="R26" s="68"/>
    </row>
    <row r="27" spans="2:66" x14ac:dyDescent="0.3">
      <c r="B27" s="70"/>
      <c r="C27" s="71"/>
      <c r="D27" s="71"/>
      <c r="E27" s="71"/>
      <c r="F27" s="71"/>
      <c r="G27" s="72"/>
      <c r="H27" s="71"/>
      <c r="I27" s="71"/>
      <c r="J27" s="73"/>
      <c r="K27" s="73"/>
      <c r="N27" s="68"/>
      <c r="O27" s="68"/>
      <c r="P27" s="68"/>
      <c r="Q27" s="68"/>
      <c r="R27" s="68"/>
    </row>
    <row r="28" spans="2:66" x14ac:dyDescent="0.3">
      <c r="B28" s="70"/>
      <c r="C28" s="71"/>
      <c r="D28" s="71"/>
      <c r="E28" s="71"/>
      <c r="F28" s="71"/>
      <c r="G28" s="72"/>
      <c r="H28" s="71"/>
      <c r="I28" s="71"/>
      <c r="J28" s="73"/>
      <c r="K28" s="73"/>
      <c r="N28" s="68"/>
      <c r="O28" s="68"/>
      <c r="P28" s="68"/>
      <c r="Q28" s="68"/>
      <c r="R28" s="68"/>
    </row>
    <row r="33" spans="1:22" x14ac:dyDescent="0.3">
      <c r="A33" s="7" t="s">
        <v>3</v>
      </c>
      <c r="B33" s="44" t="s">
        <v>75</v>
      </c>
      <c r="C33" s="78"/>
      <c r="D33" s="78"/>
      <c r="E33" s="78"/>
      <c r="F33" s="7" t="s">
        <v>4</v>
      </c>
      <c r="G33" s="44" t="s">
        <v>2</v>
      </c>
      <c r="H33" s="44"/>
      <c r="I33" s="44" t="s">
        <v>5</v>
      </c>
      <c r="J33" s="44"/>
    </row>
    <row r="34" spans="1:22" x14ac:dyDescent="0.3">
      <c r="A34" s="9">
        <v>2022</v>
      </c>
      <c r="B34" s="74">
        <v>30</v>
      </c>
      <c r="C34" s="68"/>
      <c r="D34" s="68"/>
      <c r="E34" s="68"/>
      <c r="F34" s="76">
        <f>100</f>
        <v>100</v>
      </c>
      <c r="G34" s="9">
        <v>-48</v>
      </c>
      <c r="H34" s="9"/>
      <c r="I34" s="9">
        <f>B34*(F34+G34)</f>
        <v>1560</v>
      </c>
      <c r="J34" s="9"/>
    </row>
    <row r="35" spans="1:22" x14ac:dyDescent="0.3">
      <c r="A35" s="9">
        <v>2023</v>
      </c>
      <c r="B35" s="74">
        <f>B34*(1+10%)</f>
        <v>33</v>
      </c>
      <c r="C35" s="68"/>
      <c r="D35" s="68"/>
      <c r="E35" s="68"/>
      <c r="F35" s="76">
        <f>F34*(1+1.5%)</f>
        <v>101.49999999999999</v>
      </c>
      <c r="G35" s="9">
        <f>G34*(1+1.5%)</f>
        <v>-48.72</v>
      </c>
      <c r="H35" s="9"/>
      <c r="I35" s="9">
        <f t="shared" ref="I35:I49" si="17">B35*(F35+G35)</f>
        <v>1741.7399999999996</v>
      </c>
      <c r="J35" s="9"/>
    </row>
    <row r="36" spans="1:22" x14ac:dyDescent="0.3">
      <c r="A36" s="9">
        <v>2024</v>
      </c>
      <c r="B36" s="74">
        <f t="shared" ref="B36:B49" si="18">B35*(1+10%)</f>
        <v>36.300000000000004</v>
      </c>
      <c r="C36" s="68"/>
      <c r="D36" s="68"/>
      <c r="E36" s="68"/>
      <c r="F36" s="76">
        <f t="shared" ref="F36:F49" si="19">F35*(1+1.5%)</f>
        <v>103.02249999999998</v>
      </c>
      <c r="G36" s="9">
        <f t="shared" ref="G36:G49" si="20">G35*(1+1.5%)</f>
        <v>-49.450799999999994</v>
      </c>
      <c r="H36" s="9"/>
      <c r="I36" s="9">
        <f t="shared" si="17"/>
        <v>1944.6527099999996</v>
      </c>
      <c r="J36" s="9"/>
    </row>
    <row r="37" spans="1:22" x14ac:dyDescent="0.3">
      <c r="A37" s="9">
        <v>2025</v>
      </c>
      <c r="B37" s="74">
        <f t="shared" si="18"/>
        <v>39.930000000000007</v>
      </c>
      <c r="C37" s="68"/>
      <c r="D37" s="68"/>
      <c r="E37" s="68"/>
      <c r="F37" s="76">
        <f t="shared" si="19"/>
        <v>104.56783749999997</v>
      </c>
      <c r="G37" s="9">
        <f t="shared" si="20"/>
        <v>-50.192561999999988</v>
      </c>
      <c r="H37" s="9"/>
      <c r="I37" s="9">
        <f t="shared" si="17"/>
        <v>2171.2047507149996</v>
      </c>
      <c r="J37" s="9"/>
    </row>
    <row r="38" spans="1:22" x14ac:dyDescent="0.3">
      <c r="A38" s="9">
        <v>2026</v>
      </c>
      <c r="B38" s="74">
        <f t="shared" si="18"/>
        <v>43.923000000000009</v>
      </c>
      <c r="C38" s="68"/>
      <c r="D38" s="68"/>
      <c r="E38" s="68"/>
      <c r="F38" s="76">
        <f t="shared" si="19"/>
        <v>106.13635506249996</v>
      </c>
      <c r="G38" s="9">
        <f t="shared" si="20"/>
        <v>-50.94545042999998</v>
      </c>
      <c r="H38" s="9"/>
      <c r="I38" s="9">
        <f t="shared" si="17"/>
        <v>2424.1501041732972</v>
      </c>
      <c r="J38" s="9"/>
    </row>
    <row r="39" spans="1:22" ht="23.4" x14ac:dyDescent="0.45">
      <c r="A39" s="9">
        <v>2027</v>
      </c>
      <c r="B39" s="74">
        <f t="shared" si="18"/>
        <v>48.315300000000015</v>
      </c>
      <c r="C39" s="68"/>
      <c r="D39" s="68"/>
      <c r="E39" s="68"/>
      <c r="F39" s="76">
        <f t="shared" si="19"/>
        <v>107.72840038843745</v>
      </c>
      <c r="G39" s="9">
        <f t="shared" si="20"/>
        <v>-51.709632186449973</v>
      </c>
      <c r="H39" s="9"/>
      <c r="I39" s="9">
        <f t="shared" si="17"/>
        <v>2706.5635913094866</v>
      </c>
      <c r="J39" s="9"/>
      <c r="N39" s="86" t="s">
        <v>8</v>
      </c>
      <c r="O39" s="86"/>
      <c r="P39" s="86"/>
      <c r="U39" s="96" t="s">
        <v>29</v>
      </c>
      <c r="V39" s="96"/>
    </row>
    <row r="40" spans="1:22" x14ac:dyDescent="0.3">
      <c r="A40" s="9">
        <v>2028</v>
      </c>
      <c r="B40" s="74">
        <f t="shared" si="18"/>
        <v>53.146830000000023</v>
      </c>
      <c r="C40" s="68"/>
      <c r="D40" s="68"/>
      <c r="E40" s="68"/>
      <c r="F40" s="76">
        <f t="shared" si="19"/>
        <v>109.344326394264</v>
      </c>
      <c r="G40" s="9">
        <f t="shared" si="20"/>
        <v>-52.485276669246716</v>
      </c>
      <c r="H40" s="9"/>
      <c r="I40" s="9">
        <f t="shared" si="17"/>
        <v>3021.8782496970416</v>
      </c>
      <c r="J40" s="9"/>
      <c r="N40" s="95" t="s">
        <v>1</v>
      </c>
      <c r="O40" s="44" t="s">
        <v>9</v>
      </c>
      <c r="P40" s="44"/>
      <c r="U40" s="11" t="s">
        <v>30</v>
      </c>
      <c r="V40" s="11" t="s">
        <v>31</v>
      </c>
    </row>
    <row r="41" spans="1:22" x14ac:dyDescent="0.3">
      <c r="A41" s="9">
        <v>2029</v>
      </c>
      <c r="B41" s="74">
        <f t="shared" si="18"/>
        <v>58.461513000000032</v>
      </c>
      <c r="C41" s="68"/>
      <c r="D41" s="68"/>
      <c r="E41" s="68"/>
      <c r="F41" s="76">
        <f t="shared" si="19"/>
        <v>110.98449129017796</v>
      </c>
      <c r="G41" s="9">
        <f t="shared" si="20"/>
        <v>-53.272555819285408</v>
      </c>
      <c r="H41" s="9"/>
      <c r="I41" s="9">
        <f t="shared" si="17"/>
        <v>3373.9270657867478</v>
      </c>
      <c r="J41" s="9"/>
      <c r="N41" s="9">
        <v>2022</v>
      </c>
      <c r="O41" s="59">
        <f>J13+R13+I34</f>
        <v>4735.232</v>
      </c>
      <c r="P41" s="60"/>
      <c r="U41" s="9">
        <v>2022</v>
      </c>
      <c r="V41" s="9">
        <f>AB13+AM13+AQ13+AS13+AW13+BB1+BF13</f>
        <v>-4074.3987200000001</v>
      </c>
    </row>
    <row r="42" spans="1:22" x14ac:dyDescent="0.3">
      <c r="A42" s="9">
        <v>2030</v>
      </c>
      <c r="B42" s="74">
        <f t="shared" si="18"/>
        <v>64.307664300000042</v>
      </c>
      <c r="C42" s="68"/>
      <c r="D42" s="68"/>
      <c r="E42" s="68"/>
      <c r="F42" s="76">
        <f t="shared" si="19"/>
        <v>112.64925865953062</v>
      </c>
      <c r="G42" s="9">
        <f t="shared" si="20"/>
        <v>-54.071644156574685</v>
      </c>
      <c r="H42" s="9"/>
      <c r="I42" s="9">
        <f t="shared" si="17"/>
        <v>3766.989568950904</v>
      </c>
      <c r="J42" s="9"/>
      <c r="N42" s="9">
        <v>2023</v>
      </c>
      <c r="O42" s="59">
        <f>J14+R14+I35</f>
        <v>5229.5835039999993</v>
      </c>
      <c r="P42" s="60"/>
      <c r="U42" s="9">
        <v>2023</v>
      </c>
      <c r="V42" s="9">
        <f>AB14+AM14+AQ14+AS14+AW14+BB2+BF14</f>
        <v>-3267.2125358399999</v>
      </c>
    </row>
    <row r="43" spans="1:22" x14ac:dyDescent="0.3">
      <c r="A43" s="67">
        <v>2031</v>
      </c>
      <c r="B43" s="75">
        <f t="shared" si="18"/>
        <v>70.738430730000047</v>
      </c>
      <c r="C43" s="68"/>
      <c r="D43" s="68"/>
      <c r="E43" s="68"/>
      <c r="F43" s="77">
        <f t="shared" si="19"/>
        <v>114.33899753942356</v>
      </c>
      <c r="G43" s="67">
        <f t="shared" si="20"/>
        <v>-54.882718818923301</v>
      </c>
      <c r="H43" s="67"/>
      <c r="I43" s="67">
        <f t="shared" si="17"/>
        <v>4205.8438537336833</v>
      </c>
      <c r="J43" s="67"/>
      <c r="N43" s="9">
        <v>2024</v>
      </c>
      <c r="O43" s="59">
        <f>J15+R15+I36</f>
        <v>5664.9838523879989</v>
      </c>
      <c r="P43" s="60"/>
      <c r="U43" s="9">
        <v>2024</v>
      </c>
      <c r="V43" s="9">
        <f>AB15+AM15+AQ15+AS15+AW15+BB3+BF15</f>
        <v>-3501.2816090014794</v>
      </c>
    </row>
    <row r="44" spans="1:22" x14ac:dyDescent="0.3">
      <c r="A44" s="9">
        <v>2032</v>
      </c>
      <c r="B44" s="9">
        <f t="shared" si="18"/>
        <v>77.812273803000053</v>
      </c>
      <c r="C44" s="9"/>
      <c r="D44" s="9"/>
      <c r="E44" s="9"/>
      <c r="F44" s="9">
        <f t="shared" si="19"/>
        <v>116.0540825025149</v>
      </c>
      <c r="G44" s="9">
        <f t="shared" si="20"/>
        <v>-55.705959601207148</v>
      </c>
      <c r="H44" s="9"/>
      <c r="I44" s="9">
        <f t="shared" si="17"/>
        <v>4695.824662693657</v>
      </c>
      <c r="J44" s="9"/>
      <c r="N44" s="9">
        <v>2025</v>
      </c>
      <c r="O44" s="59">
        <f>J16+R16+I37</f>
        <v>6139.6137711886095</v>
      </c>
      <c r="P44" s="60"/>
      <c r="U44" s="9">
        <v>2025</v>
      </c>
      <c r="V44" s="9">
        <f>AB16+AM16+AQ16+AS16+AW16+BB4+BF16</f>
        <v>-3759.0259169496076</v>
      </c>
    </row>
    <row r="45" spans="1:22" x14ac:dyDescent="0.3">
      <c r="A45" s="68"/>
      <c r="B45" s="68"/>
      <c r="C45" s="68"/>
      <c r="D45" s="68"/>
      <c r="E45" s="68"/>
      <c r="F45" s="68"/>
      <c r="G45" s="68"/>
      <c r="H45" s="68"/>
      <c r="I45" s="68"/>
      <c r="J45" s="68"/>
      <c r="N45" s="9">
        <v>2026</v>
      </c>
      <c r="O45" s="59">
        <f>J17+R17+I38</f>
        <v>6657.2815625632065</v>
      </c>
      <c r="P45" s="60"/>
      <c r="U45" s="9">
        <v>2026</v>
      </c>
      <c r="V45" s="9">
        <f>AB17+AM17+AQ17+AS17+AW17+BB5+BF17</f>
        <v>-4043.3060085132729</v>
      </c>
    </row>
    <row r="46" spans="1:22" x14ac:dyDescent="0.3">
      <c r="A46" s="68"/>
      <c r="B46" s="68"/>
      <c r="C46" s="68"/>
      <c r="D46" s="68"/>
      <c r="E46" s="68"/>
      <c r="F46" s="68"/>
      <c r="G46" s="68"/>
      <c r="H46" s="68"/>
      <c r="I46" s="68"/>
      <c r="J46" s="68"/>
      <c r="N46" s="9">
        <v>2027</v>
      </c>
      <c r="O46" s="59">
        <f>J18+R18+I39</f>
        <v>7222.1885041203932</v>
      </c>
      <c r="P46" s="60"/>
      <c r="U46" s="9">
        <v>2027</v>
      </c>
      <c r="V46" s="9">
        <f>AB18+AM18+AQ18+AS18+AW18+BB6+BF18</f>
        <v>-4357.3619881959075</v>
      </c>
    </row>
    <row r="47" spans="1:22" x14ac:dyDescent="0.3">
      <c r="A47" s="68"/>
      <c r="B47" s="68"/>
      <c r="C47" s="68"/>
      <c r="D47" s="68"/>
      <c r="E47" s="68"/>
      <c r="F47" s="68"/>
      <c r="G47" s="68"/>
      <c r="H47" s="68"/>
      <c r="I47" s="68"/>
      <c r="J47" s="68"/>
      <c r="N47" s="9">
        <v>2028</v>
      </c>
      <c r="O47" s="59">
        <f>J19+R19+I40</f>
        <v>7838.9712404283891</v>
      </c>
      <c r="P47" s="60"/>
      <c r="U47" s="9">
        <v>2028</v>
      </c>
      <c r="V47" s="9">
        <f>AB19+AM19+AQ19+AS19+AW19+BB7+BF19</f>
        <v>-4704.8663782305466</v>
      </c>
    </row>
    <row r="48" spans="1:22" x14ac:dyDescent="0.3">
      <c r="A48" s="68"/>
      <c r="B48" s="68"/>
      <c r="C48" s="68"/>
      <c r="D48" s="68"/>
      <c r="E48" s="68"/>
      <c r="F48" s="68"/>
      <c r="G48" s="68"/>
      <c r="H48" s="68"/>
      <c r="I48" s="68"/>
      <c r="J48" s="68"/>
      <c r="N48" s="9">
        <v>2029</v>
      </c>
      <c r="O48" s="59">
        <f>J20+R20+I41</f>
        <v>8512.7488847404875</v>
      </c>
      <c r="P48" s="60"/>
      <c r="U48" s="9">
        <v>2029</v>
      </c>
      <c r="V48" s="9">
        <f>AB20+AM20+AQ20+AS20+AW20+BB8+BF20</f>
        <v>-5089.9845341615701</v>
      </c>
    </row>
    <row r="49" spans="1:22" x14ac:dyDescent="0.3">
      <c r="A49" s="68"/>
      <c r="B49" s="68"/>
      <c r="C49" s="68"/>
      <c r="D49" s="68"/>
      <c r="E49" s="68"/>
      <c r="F49" s="68"/>
      <c r="G49" s="68"/>
      <c r="H49" s="68"/>
      <c r="I49" s="68"/>
      <c r="J49" s="68"/>
      <c r="N49" s="9">
        <v>2030</v>
      </c>
      <c r="O49" s="59">
        <f>J21+R21+I42</f>
        <v>9249.1753641273281</v>
      </c>
      <c r="P49" s="60"/>
      <c r="U49" s="9">
        <v>2030</v>
      </c>
      <c r="V49" s="9">
        <f>AB21+AM21+AQ21+AS21+AW21+BB9+BF21</f>
        <v>-5517.4437091036107</v>
      </c>
    </row>
    <row r="50" spans="1:22" x14ac:dyDescent="0.3">
      <c r="N50" s="9">
        <v>2031</v>
      </c>
      <c r="O50" s="59">
        <f>J22+R22+I43</f>
        <v>10054.497602253898</v>
      </c>
      <c r="P50" s="60"/>
      <c r="U50" s="9">
        <v>2031</v>
      </c>
      <c r="V50" s="9">
        <f>AB22+AM22+AQ22+AS22+AW22+BB10+BF22</f>
        <v>-5992.6120220504854</v>
      </c>
    </row>
    <row r="51" spans="1:22" x14ac:dyDescent="0.3">
      <c r="N51" s="9">
        <v>2032</v>
      </c>
      <c r="O51" s="59">
        <f>J23+R23+I44</f>
        <v>10935.620202119329</v>
      </c>
      <c r="P51" s="60"/>
      <c r="U51" s="9">
        <v>2032</v>
      </c>
      <c r="V51" s="9">
        <f>AB23+AM23+AQ23+AS23+AW23+BB11+BF23</f>
        <v>-4225.108526968741</v>
      </c>
    </row>
    <row r="68" spans="11:13" x14ac:dyDescent="0.3">
      <c r="K68" s="68"/>
      <c r="L68" s="73"/>
      <c r="M68" s="73"/>
    </row>
    <row r="69" spans="11:13" x14ac:dyDescent="0.3">
      <c r="K69" s="68"/>
      <c r="L69" s="73"/>
      <c r="M69" s="73"/>
    </row>
    <row r="70" spans="11:13" x14ac:dyDescent="0.3">
      <c r="K70" s="68"/>
      <c r="L70" s="73"/>
      <c r="M70" s="73"/>
    </row>
    <row r="71" spans="11:13" x14ac:dyDescent="0.3">
      <c r="K71" s="68"/>
      <c r="L71" s="73"/>
      <c r="M71" s="73"/>
    </row>
    <row r="72" spans="11:13" x14ac:dyDescent="0.3">
      <c r="K72" s="68"/>
      <c r="L72" s="73"/>
      <c r="M72" s="73"/>
    </row>
  </sheetData>
  <mergeCells count="86">
    <mergeCell ref="BF20:BG20"/>
    <mergeCell ref="BF21:BG21"/>
    <mergeCell ref="BF22:BG22"/>
    <mergeCell ref="BF23:BG23"/>
    <mergeCell ref="BF15:BG15"/>
    <mergeCell ref="BF16:BG16"/>
    <mergeCell ref="BF17:BG17"/>
    <mergeCell ref="BF18:BG18"/>
    <mergeCell ref="BF19:BG19"/>
    <mergeCell ref="BE10:BH10"/>
    <mergeCell ref="BF12:BG12"/>
    <mergeCell ref="BF13:BG13"/>
    <mergeCell ref="BF14:BG14"/>
    <mergeCell ref="L72:M72"/>
    <mergeCell ref="C24:F24"/>
    <mergeCell ref="C25:F25"/>
    <mergeCell ref="C27:F27"/>
    <mergeCell ref="C28:F28"/>
    <mergeCell ref="H24:I24"/>
    <mergeCell ref="H25:I25"/>
    <mergeCell ref="H27:I27"/>
    <mergeCell ref="H28:I28"/>
    <mergeCell ref="J24:K24"/>
    <mergeCell ref="J25:K25"/>
    <mergeCell ref="J27:K27"/>
    <mergeCell ref="J28:K28"/>
    <mergeCell ref="L68:M68"/>
    <mergeCell ref="L69:M69"/>
    <mergeCell ref="L70:M70"/>
    <mergeCell ref="L71:M71"/>
    <mergeCell ref="N39:P39"/>
    <mergeCell ref="O40:P40"/>
    <mergeCell ref="U39:V39"/>
    <mergeCell ref="C26:F26"/>
    <mergeCell ref="H26:I26"/>
    <mergeCell ref="J26:K26"/>
    <mergeCell ref="B33:E33"/>
    <mergeCell ref="G33:H33"/>
    <mergeCell ref="I33:J33"/>
    <mergeCell ref="O51:P51"/>
    <mergeCell ref="O46:P46"/>
    <mergeCell ref="O47:P47"/>
    <mergeCell ref="O48:P48"/>
    <mergeCell ref="O49:P49"/>
    <mergeCell ref="O50:P50"/>
    <mergeCell ref="O41:P41"/>
    <mergeCell ref="O42:P42"/>
    <mergeCell ref="O43:P43"/>
    <mergeCell ref="O44:P44"/>
    <mergeCell ref="O45:P45"/>
    <mergeCell ref="C12:F12"/>
    <mergeCell ref="H12:I12"/>
    <mergeCell ref="J12:K12"/>
    <mergeCell ref="C13:F13"/>
    <mergeCell ref="H13:I13"/>
    <mergeCell ref="J13:K13"/>
    <mergeCell ref="C14:F14"/>
    <mergeCell ref="H14:I14"/>
    <mergeCell ref="J14:K14"/>
    <mergeCell ref="C15:F15"/>
    <mergeCell ref="H15:I15"/>
    <mergeCell ref="J15:K15"/>
    <mergeCell ref="C16:F16"/>
    <mergeCell ref="H16:I16"/>
    <mergeCell ref="J16:K16"/>
    <mergeCell ref="C17:F17"/>
    <mergeCell ref="H17:I17"/>
    <mergeCell ref="J17:K17"/>
    <mergeCell ref="C18:F18"/>
    <mergeCell ref="H18:I18"/>
    <mergeCell ref="J18:K18"/>
    <mergeCell ref="C19:F19"/>
    <mergeCell ref="H19:I19"/>
    <mergeCell ref="J19:K19"/>
    <mergeCell ref="C20:F20"/>
    <mergeCell ref="H20:I20"/>
    <mergeCell ref="J20:K20"/>
    <mergeCell ref="C21:F21"/>
    <mergeCell ref="H21:I21"/>
    <mergeCell ref="J21:K21"/>
    <mergeCell ref="C22:F22"/>
    <mergeCell ref="H22:I22"/>
    <mergeCell ref="J22:K22"/>
    <mergeCell ref="C23:F23"/>
    <mergeCell ref="H23:I23"/>
    <mergeCell ref="J23:K23"/>
  </mergeCells>
  <phoneticPr fontId="4" type="noConversion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232722-9083-49E2-B2BE-B9EA3C4E63E1}">
  <dimension ref="A2:P69"/>
  <sheetViews>
    <sheetView tabSelected="1" topLeftCell="A6" workbookViewId="0">
      <selection activeCell="F70" sqref="F70:F71"/>
    </sheetView>
  </sheetViews>
  <sheetFormatPr defaultRowHeight="14.4" x14ac:dyDescent="0.3"/>
  <cols>
    <col min="4" max="4" width="9.21875" bestFit="1" customWidth="1"/>
    <col min="5" max="5" width="11.5546875" bestFit="1" customWidth="1"/>
    <col min="6" max="6" width="9.21875" bestFit="1" customWidth="1"/>
    <col min="11" max="11" width="22.33203125" bestFit="1" customWidth="1"/>
    <col min="13" max="14" width="10.44140625" bestFit="1" customWidth="1"/>
  </cols>
  <sheetData>
    <row r="2" spans="1:13" ht="28.2" x14ac:dyDescent="0.65">
      <c r="D2" s="121" t="s">
        <v>44</v>
      </c>
      <c r="E2" s="121"/>
      <c r="F2" s="121"/>
      <c r="G2" s="121"/>
      <c r="H2" s="121"/>
      <c r="I2" s="121"/>
      <c r="J2" s="121"/>
      <c r="K2" s="121"/>
    </row>
    <row r="4" spans="1:13" ht="18" x14ac:dyDescent="0.35">
      <c r="B4" s="45" t="s">
        <v>45</v>
      </c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</row>
    <row r="5" spans="1:13" ht="15.6" x14ac:dyDescent="0.3">
      <c r="B5" s="46"/>
    </row>
    <row r="6" spans="1:13" x14ac:dyDescent="0.3">
      <c r="B6" s="101" t="s">
        <v>46</v>
      </c>
      <c r="C6" s="101"/>
      <c r="D6" s="101"/>
      <c r="E6" s="101"/>
      <c r="F6" s="101"/>
      <c r="G6" s="101"/>
      <c r="H6" s="102">
        <v>0.11</v>
      </c>
    </row>
    <row r="7" spans="1:13" x14ac:dyDescent="0.3">
      <c r="A7" s="8"/>
      <c r="B7" s="104" t="s">
        <v>47</v>
      </c>
      <c r="C7" s="104"/>
      <c r="D7" s="104"/>
      <c r="E7" s="104"/>
      <c r="F7" s="104"/>
      <c r="G7" s="104"/>
      <c r="H7" s="105">
        <v>994.39872000000003</v>
      </c>
    </row>
    <row r="8" spans="1:13" x14ac:dyDescent="0.3">
      <c r="A8" s="8"/>
      <c r="B8" s="104" t="s">
        <v>48</v>
      </c>
      <c r="C8" s="104"/>
      <c r="D8" s="104"/>
      <c r="E8" s="104"/>
      <c r="F8" s="104"/>
      <c r="G8" s="104"/>
      <c r="H8" s="105">
        <f>H7*(1+H6)</f>
        <v>1103.7825792000001</v>
      </c>
    </row>
    <row r="9" spans="1:13" x14ac:dyDescent="0.3">
      <c r="A9" s="8"/>
      <c r="B9" s="104" t="s">
        <v>49</v>
      </c>
      <c r="C9" s="104"/>
      <c r="D9" s="104"/>
      <c r="E9" s="104"/>
      <c r="F9" s="104"/>
      <c r="G9" s="104"/>
      <c r="H9" s="105">
        <v>200</v>
      </c>
    </row>
    <row r="10" spans="1:13" x14ac:dyDescent="0.3">
      <c r="A10" s="8"/>
      <c r="B10" s="104" t="s">
        <v>50</v>
      </c>
      <c r="C10" s="104"/>
      <c r="D10" s="104"/>
      <c r="E10" s="104"/>
      <c r="F10" s="104"/>
      <c r="G10" s="104"/>
      <c r="H10" s="103">
        <f>2*696.324</f>
        <v>1392.6479999999999</v>
      </c>
    </row>
    <row r="11" spans="1:13" x14ac:dyDescent="0.3">
      <c r="A11" s="8"/>
      <c r="B11" s="103"/>
      <c r="C11" s="103"/>
      <c r="D11" s="103"/>
      <c r="E11" s="103"/>
      <c r="F11" s="103"/>
      <c r="G11" s="103"/>
      <c r="H11" s="103"/>
    </row>
    <row r="12" spans="1:13" x14ac:dyDescent="0.3">
      <c r="A12" s="8"/>
      <c r="B12" s="104" t="s">
        <v>51</v>
      </c>
      <c r="C12" s="104"/>
      <c r="D12" s="104"/>
      <c r="E12" s="104"/>
      <c r="F12" s="104"/>
      <c r="G12" s="104"/>
      <c r="H12" s="103">
        <f>H8+H9+H10</f>
        <v>2696.4305792</v>
      </c>
    </row>
    <row r="13" spans="1:13" x14ac:dyDescent="0.3">
      <c r="A13" s="8"/>
      <c r="B13" s="103"/>
      <c r="C13" s="103"/>
      <c r="D13" s="103"/>
      <c r="E13" s="103"/>
      <c r="F13" s="103"/>
      <c r="G13" s="103"/>
      <c r="H13" s="103"/>
    </row>
    <row r="14" spans="1:13" x14ac:dyDescent="0.3">
      <c r="A14" s="8"/>
      <c r="B14" s="104" t="s">
        <v>52</v>
      </c>
      <c r="C14" s="104"/>
      <c r="D14" s="104"/>
      <c r="E14" s="104"/>
      <c r="F14" s="104"/>
      <c r="G14" s="104"/>
      <c r="H14" s="103">
        <v>10935.63</v>
      </c>
    </row>
    <row r="15" spans="1:13" x14ac:dyDescent="0.3">
      <c r="A15" s="8"/>
      <c r="B15" s="104" t="s">
        <v>53</v>
      </c>
      <c r="C15" s="104"/>
      <c r="D15" s="104"/>
      <c r="E15" s="104"/>
      <c r="F15" s="104"/>
      <c r="G15" s="104"/>
      <c r="H15" s="103">
        <v>-4225.1080000000002</v>
      </c>
    </row>
    <row r="16" spans="1:13" x14ac:dyDescent="0.3">
      <c r="A16" s="8"/>
      <c r="B16" s="104" t="s">
        <v>54</v>
      </c>
      <c r="C16" s="104"/>
      <c r="D16" s="104"/>
      <c r="E16" s="104"/>
      <c r="F16" s="104"/>
      <c r="G16" s="104"/>
      <c r="H16" s="103">
        <f>H14+H15+H12</f>
        <v>9406.9525791999986</v>
      </c>
    </row>
    <row r="17" spans="2:15" x14ac:dyDescent="0.3">
      <c r="B17" s="104" t="s">
        <v>55</v>
      </c>
      <c r="C17" s="104"/>
      <c r="D17" s="104"/>
      <c r="E17" s="104"/>
      <c r="F17" s="104"/>
      <c r="G17" s="104"/>
      <c r="H17" s="103">
        <f>10%*H16</f>
        <v>940.6952579199999</v>
      </c>
    </row>
    <row r="18" spans="2:15" x14ac:dyDescent="0.3">
      <c r="B18" s="104" t="s">
        <v>56</v>
      </c>
      <c r="C18" s="104"/>
      <c r="D18" s="104"/>
      <c r="E18" s="104"/>
      <c r="F18" s="104"/>
      <c r="G18" s="104"/>
      <c r="H18" s="103">
        <f>H16-H17</f>
        <v>8466.257321279998</v>
      </c>
    </row>
    <row r="19" spans="2:15" x14ac:dyDescent="0.3">
      <c r="B19" s="48"/>
      <c r="C19" s="48"/>
      <c r="D19" s="48"/>
      <c r="E19" s="48"/>
      <c r="F19" s="48"/>
      <c r="G19" s="48"/>
    </row>
    <row r="20" spans="2:15" ht="18" x14ac:dyDescent="0.35">
      <c r="B20" s="115" t="s">
        <v>57</v>
      </c>
      <c r="C20" s="115"/>
      <c r="D20" s="115"/>
      <c r="E20" s="106"/>
      <c r="F20" s="106"/>
      <c r="G20" s="48"/>
    </row>
    <row r="21" spans="2:15" x14ac:dyDescent="0.3">
      <c r="B21" s="104" t="s">
        <v>58</v>
      </c>
      <c r="C21" s="104"/>
      <c r="D21" s="104"/>
      <c r="E21" s="104"/>
      <c r="F21" s="105">
        <v>-150</v>
      </c>
      <c r="G21" s="48"/>
    </row>
    <row r="22" spans="2:15" x14ac:dyDescent="0.3">
      <c r="B22" s="104" t="s">
        <v>59</v>
      </c>
      <c r="C22" s="104"/>
      <c r="D22" s="104"/>
      <c r="E22" s="104"/>
      <c r="F22" s="105">
        <v>-1000</v>
      </c>
      <c r="G22" s="48"/>
    </row>
    <row r="23" spans="2:15" x14ac:dyDescent="0.3">
      <c r="B23" s="104" t="s">
        <v>60</v>
      </c>
      <c r="C23" s="104"/>
      <c r="D23" s="104"/>
      <c r="E23" s="104"/>
      <c r="F23" s="105">
        <v>-500</v>
      </c>
      <c r="G23" s="48"/>
    </row>
    <row r="24" spans="2:15" x14ac:dyDescent="0.3">
      <c r="B24" s="104" t="s">
        <v>61</v>
      </c>
      <c r="C24" s="104"/>
      <c r="D24" s="104"/>
      <c r="E24" s="104"/>
      <c r="F24" s="105">
        <v>-525</v>
      </c>
      <c r="G24" s="48"/>
    </row>
    <row r="25" spans="2:15" x14ac:dyDescent="0.3">
      <c r="B25" s="104" t="s">
        <v>62</v>
      </c>
      <c r="C25" s="104"/>
      <c r="D25" s="104"/>
      <c r="E25" s="104"/>
      <c r="F25" s="122">
        <v>-994.39872000000014</v>
      </c>
      <c r="G25" s="48"/>
    </row>
    <row r="26" spans="2:15" x14ac:dyDescent="0.3">
      <c r="B26" s="104" t="s">
        <v>63</v>
      </c>
      <c r="C26" s="104"/>
      <c r="D26" s="104"/>
      <c r="E26" s="104"/>
      <c r="F26" s="105">
        <v>30</v>
      </c>
      <c r="G26" s="48"/>
    </row>
    <row r="27" spans="2:15" x14ac:dyDescent="0.3">
      <c r="B27" s="107" t="s">
        <v>64</v>
      </c>
      <c r="C27" s="106"/>
      <c r="D27" s="106"/>
      <c r="E27" s="106"/>
      <c r="F27" s="123">
        <f>SUM(F21:F26)</f>
        <v>-3139.3987200000001</v>
      </c>
      <c r="G27" s="48"/>
    </row>
    <row r="28" spans="2:15" x14ac:dyDescent="0.3">
      <c r="B28" s="106"/>
      <c r="C28" s="106"/>
      <c r="D28" s="106"/>
      <c r="E28" s="106"/>
      <c r="F28" s="106"/>
      <c r="G28" s="48"/>
    </row>
    <row r="29" spans="2:15" x14ac:dyDescent="0.3">
      <c r="B29" s="108" t="s">
        <v>65</v>
      </c>
      <c r="C29" s="108"/>
      <c r="D29" s="108"/>
      <c r="E29" s="103">
        <f>1/(1+H6)</f>
        <v>0.9009009009009008</v>
      </c>
      <c r="F29" s="103"/>
    </row>
    <row r="30" spans="2:15" x14ac:dyDescent="0.3">
      <c r="B30" s="48"/>
      <c r="C30" s="48"/>
      <c r="D30" s="48"/>
      <c r="E30" s="48"/>
      <c r="F30" s="48"/>
      <c r="G30" s="48"/>
    </row>
    <row r="31" spans="2:15" x14ac:dyDescent="0.3">
      <c r="B31" s="8"/>
    </row>
    <row r="32" spans="2:15" x14ac:dyDescent="0.3">
      <c r="B32" s="124" t="s">
        <v>1</v>
      </c>
      <c r="C32" s="124" t="s">
        <v>66</v>
      </c>
      <c r="D32" s="125" t="s">
        <v>67</v>
      </c>
      <c r="E32" s="125"/>
      <c r="F32" s="125"/>
      <c r="G32" s="125"/>
      <c r="H32" s="125"/>
      <c r="I32" s="125" t="s">
        <v>68</v>
      </c>
      <c r="J32" s="125"/>
      <c r="K32" s="126" t="s">
        <v>69</v>
      </c>
      <c r="O32" s="40"/>
    </row>
    <row r="33" spans="2:14" x14ac:dyDescent="0.3">
      <c r="B33" s="2">
        <v>2022</v>
      </c>
      <c r="C33" s="2">
        <v>0</v>
      </c>
      <c r="D33" s="42">
        <f>F27</f>
        <v>-3139.3987200000001</v>
      </c>
      <c r="E33" s="50"/>
      <c r="F33" s="50"/>
      <c r="G33" s="50"/>
      <c r="H33" s="50"/>
      <c r="I33" s="50">
        <f>$E$29^C33</f>
        <v>1</v>
      </c>
      <c r="J33" s="50"/>
      <c r="K33" s="2">
        <f>D33*I33</f>
        <v>-3139.3987200000001</v>
      </c>
      <c r="M33" s="40"/>
    </row>
    <row r="34" spans="2:14" x14ac:dyDescent="0.3">
      <c r="B34" s="2">
        <v>2023</v>
      </c>
      <c r="C34" s="2">
        <v>1</v>
      </c>
      <c r="D34" s="9">
        <v>5229.5835039999993</v>
      </c>
      <c r="E34" s="9"/>
      <c r="F34" s="9"/>
      <c r="G34" s="9"/>
      <c r="H34" s="9"/>
      <c r="I34" s="50">
        <f t="shared" ref="I34:I43" si="0">$E$29^C34</f>
        <v>0.9009009009009008</v>
      </c>
      <c r="J34" s="50"/>
      <c r="K34" s="2">
        <f>D34*I34</f>
        <v>4711.3364900900888</v>
      </c>
      <c r="M34" s="39"/>
    </row>
    <row r="35" spans="2:14" x14ac:dyDescent="0.3">
      <c r="B35" s="2">
        <v>2024</v>
      </c>
      <c r="C35" s="2">
        <v>2</v>
      </c>
      <c r="D35" s="9">
        <v>5664.9838523879989</v>
      </c>
      <c r="E35" s="9"/>
      <c r="F35" s="9"/>
      <c r="G35" s="9"/>
      <c r="H35" s="9"/>
      <c r="I35" s="50">
        <f t="shared" si="0"/>
        <v>0.8116224332440547</v>
      </c>
      <c r="J35" s="50"/>
      <c r="K35" s="2">
        <f t="shared" ref="K35:K43" si="1">D35*I35</f>
        <v>4597.8279785634268</v>
      </c>
      <c r="M35" s="39"/>
    </row>
    <row r="36" spans="2:14" x14ac:dyDescent="0.3">
      <c r="B36" s="2">
        <v>2025</v>
      </c>
      <c r="C36" s="2">
        <v>3</v>
      </c>
      <c r="D36" s="9">
        <v>6139.6137711886095</v>
      </c>
      <c r="E36" s="9"/>
      <c r="F36" s="9"/>
      <c r="G36" s="9"/>
      <c r="H36" s="9"/>
      <c r="I36" s="50">
        <f t="shared" si="0"/>
        <v>0.73119138130095007</v>
      </c>
      <c r="J36" s="50"/>
      <c r="K36" s="2">
        <f t="shared" si="1"/>
        <v>4489.2326740097342</v>
      </c>
    </row>
    <row r="37" spans="2:14" x14ac:dyDescent="0.3">
      <c r="B37" s="2">
        <v>2026</v>
      </c>
      <c r="C37" s="2">
        <v>4</v>
      </c>
      <c r="D37" s="9">
        <v>6657.2815625632065</v>
      </c>
      <c r="E37" s="9"/>
      <c r="F37" s="9"/>
      <c r="G37" s="9"/>
      <c r="H37" s="9"/>
      <c r="I37" s="50">
        <f t="shared" si="0"/>
        <v>0.65873097414500004</v>
      </c>
      <c r="J37" s="50"/>
      <c r="K37" s="2">
        <f t="shared" si="1"/>
        <v>4385.3575688648089</v>
      </c>
    </row>
    <row r="38" spans="2:14" x14ac:dyDescent="0.3">
      <c r="B38" s="2">
        <v>2027</v>
      </c>
      <c r="C38" s="2">
        <v>5</v>
      </c>
      <c r="D38" s="9">
        <v>7222.1885041203932</v>
      </c>
      <c r="E38" s="9"/>
      <c r="F38" s="9"/>
      <c r="G38" s="9"/>
      <c r="H38" s="9"/>
      <c r="I38" s="50">
        <f t="shared" si="0"/>
        <v>0.59345132805855849</v>
      </c>
      <c r="J38" s="50"/>
      <c r="K38" s="2">
        <f t="shared" si="1"/>
        <v>4286.0173592595011</v>
      </c>
    </row>
    <row r="39" spans="2:14" x14ac:dyDescent="0.3">
      <c r="B39" s="2">
        <v>2028</v>
      </c>
      <c r="C39" s="2">
        <v>6</v>
      </c>
      <c r="D39" s="9">
        <v>7838.9712404283891</v>
      </c>
      <c r="E39" s="9"/>
      <c r="F39" s="9"/>
      <c r="G39" s="9"/>
      <c r="H39" s="9"/>
      <c r="I39" s="50">
        <f t="shared" si="0"/>
        <v>0.53464083608879143</v>
      </c>
      <c r="J39" s="50"/>
      <c r="K39" s="2">
        <f t="shared" si="1"/>
        <v>4191.0341380586242</v>
      </c>
      <c r="M39" s="40"/>
    </row>
    <row r="40" spans="2:14" x14ac:dyDescent="0.3">
      <c r="B40" s="2">
        <v>2029</v>
      </c>
      <c r="C40" s="2">
        <v>7</v>
      </c>
      <c r="D40" s="9">
        <v>8512.7488847404875</v>
      </c>
      <c r="E40" s="9"/>
      <c r="F40" s="9"/>
      <c r="G40" s="9"/>
      <c r="H40" s="9"/>
      <c r="I40" s="50">
        <f t="shared" si="0"/>
        <v>0.48165841089080302</v>
      </c>
      <c r="J40" s="50"/>
      <c r="K40" s="2">
        <f t="shared" si="1"/>
        <v>4100.2371001365591</v>
      </c>
    </row>
    <row r="41" spans="2:14" x14ac:dyDescent="0.3">
      <c r="B41" s="2">
        <v>2030</v>
      </c>
      <c r="C41" s="2">
        <v>8</v>
      </c>
      <c r="D41" s="9">
        <v>9249.1753641273281</v>
      </c>
      <c r="E41" s="9"/>
      <c r="F41" s="9"/>
      <c r="G41" s="9"/>
      <c r="H41" s="9"/>
      <c r="I41" s="50">
        <f t="shared" si="0"/>
        <v>0.43392649629802071</v>
      </c>
      <c r="J41" s="50"/>
      <c r="K41" s="2">
        <f t="shared" si="1"/>
        <v>4013.4622594017414</v>
      </c>
    </row>
    <row r="42" spans="2:14" x14ac:dyDescent="0.3">
      <c r="B42" s="2">
        <v>2031</v>
      </c>
      <c r="C42" s="2">
        <v>9</v>
      </c>
      <c r="D42" s="9">
        <v>10054.497602253898</v>
      </c>
      <c r="E42" s="9"/>
      <c r="F42" s="9"/>
      <c r="G42" s="9"/>
      <c r="H42" s="9"/>
      <c r="I42" s="50">
        <f t="shared" si="0"/>
        <v>0.39092477143965826</v>
      </c>
      <c r="J42" s="50"/>
      <c r="K42" s="2">
        <f t="shared" si="1"/>
        <v>3930.552177101697</v>
      </c>
    </row>
    <row r="43" spans="2:14" x14ac:dyDescent="0.3">
      <c r="B43" s="2">
        <v>2032</v>
      </c>
      <c r="C43" s="2">
        <v>10</v>
      </c>
      <c r="D43" s="51">
        <f>H18</f>
        <v>8466.257321279998</v>
      </c>
      <c r="E43" s="52"/>
      <c r="F43" s="52"/>
      <c r="G43" s="52"/>
      <c r="H43" s="53"/>
      <c r="I43" s="50">
        <f t="shared" si="0"/>
        <v>0.35218447877446685</v>
      </c>
      <c r="J43" s="50"/>
      <c r="K43" s="2">
        <f t="shared" si="1"/>
        <v>2981.6844218655101</v>
      </c>
    </row>
    <row r="45" spans="2:14" ht="21" x14ac:dyDescent="0.4">
      <c r="E45" s="54" t="s">
        <v>70</v>
      </c>
      <c r="F45" s="54"/>
      <c r="G45" s="54"/>
      <c r="H45" s="54"/>
      <c r="I45" s="54"/>
      <c r="J45" s="54"/>
      <c r="K45" s="23">
        <f>SUM(K33:K43)</f>
        <v>38547.34344735169</v>
      </c>
      <c r="N45" s="39"/>
    </row>
    <row r="47" spans="2:14" ht="25.8" x14ac:dyDescent="0.5">
      <c r="B47" s="55" t="s">
        <v>43</v>
      </c>
    </row>
    <row r="48" spans="2:14" ht="25.8" x14ac:dyDescent="0.5">
      <c r="B48" s="55"/>
    </row>
    <row r="49" spans="2:16" x14ac:dyDescent="0.3">
      <c r="B49" t="s">
        <v>71</v>
      </c>
      <c r="O49" s="40"/>
      <c r="P49" s="40"/>
    </row>
    <row r="50" spans="2:16" x14ac:dyDescent="0.3">
      <c r="O50" s="40"/>
      <c r="P50" s="40"/>
    </row>
    <row r="51" spans="2:16" x14ac:dyDescent="0.3">
      <c r="B51" s="47" t="s">
        <v>43</v>
      </c>
      <c r="C51" s="47"/>
      <c r="D51" s="47"/>
      <c r="E51" s="56">
        <v>1.7490932630437575</v>
      </c>
    </row>
    <row r="52" spans="2:16" x14ac:dyDescent="0.3">
      <c r="B52" s="47" t="s">
        <v>72</v>
      </c>
      <c r="C52" s="47"/>
      <c r="D52" s="47"/>
      <c r="E52" s="8">
        <f>1/(1+E51)</f>
        <v>0.36375630228448996</v>
      </c>
    </row>
    <row r="53" spans="2:16" x14ac:dyDescent="0.3">
      <c r="B53" s="47" t="s">
        <v>73</v>
      </c>
      <c r="C53" s="47"/>
      <c r="D53" s="47"/>
      <c r="E53" s="49">
        <v>0</v>
      </c>
    </row>
    <row r="55" spans="2:16" x14ac:dyDescent="0.3">
      <c r="B55" s="8"/>
      <c r="C55" s="8"/>
      <c r="D55" s="8"/>
    </row>
    <row r="56" spans="2:16" x14ac:dyDescent="0.3">
      <c r="B56" s="127" t="s">
        <v>1</v>
      </c>
      <c r="C56" s="127" t="s">
        <v>66</v>
      </c>
      <c r="D56" s="128" t="s">
        <v>67</v>
      </c>
      <c r="E56" s="128"/>
      <c r="F56" s="128"/>
      <c r="G56" s="128"/>
      <c r="H56" s="128"/>
      <c r="I56" s="128" t="s">
        <v>68</v>
      </c>
      <c r="J56" s="128"/>
      <c r="K56" s="129" t="s">
        <v>69</v>
      </c>
    </row>
    <row r="57" spans="2:16" x14ac:dyDescent="0.3">
      <c r="B57" s="70">
        <v>2022</v>
      </c>
      <c r="C57" s="70">
        <v>0</v>
      </c>
      <c r="D57" s="71">
        <f>D33</f>
        <v>-3139.3987200000001</v>
      </c>
      <c r="E57" s="71"/>
      <c r="F57" s="71"/>
      <c r="G57" s="71"/>
      <c r="H57" s="71"/>
      <c r="I57" s="63">
        <f>$E$52^C57</f>
        <v>1</v>
      </c>
      <c r="J57" s="63"/>
      <c r="K57" s="70">
        <f>D57*I57</f>
        <v>-3139.3987200000001</v>
      </c>
    </row>
    <row r="58" spans="2:16" x14ac:dyDescent="0.3">
      <c r="B58" s="70">
        <v>2023</v>
      </c>
      <c r="C58" s="70">
        <v>1</v>
      </c>
      <c r="D58" s="63">
        <v>4735.232</v>
      </c>
      <c r="E58" s="63"/>
      <c r="F58" s="63"/>
      <c r="G58" s="63"/>
      <c r="H58" s="63"/>
      <c r="I58" s="63">
        <f t="shared" ref="I58:I67" si="2">$E$52^C58</f>
        <v>0.36375630228448996</v>
      </c>
      <c r="J58" s="63"/>
      <c r="K58" s="70">
        <f>D58*I58</f>
        <v>1722.47048277919</v>
      </c>
    </row>
    <row r="59" spans="2:16" x14ac:dyDescent="0.3">
      <c r="B59" s="70">
        <v>2024</v>
      </c>
      <c r="C59" s="70">
        <v>2</v>
      </c>
      <c r="D59" s="63">
        <v>5229.58</v>
      </c>
      <c r="E59" s="63"/>
      <c r="F59" s="63"/>
      <c r="G59" s="63"/>
      <c r="H59" s="63"/>
      <c r="I59" s="63">
        <f t="shared" si="2"/>
        <v>0.13231864745168523</v>
      </c>
      <c r="J59" s="63"/>
      <c r="K59" s="70">
        <f>D59*I59</f>
        <v>691.97095234038397</v>
      </c>
    </row>
    <row r="60" spans="2:16" x14ac:dyDescent="0.3">
      <c r="B60" s="70">
        <v>2025</v>
      </c>
      <c r="C60" s="70">
        <v>3</v>
      </c>
      <c r="D60" s="63">
        <v>5664.9840000000004</v>
      </c>
      <c r="E60" s="63"/>
      <c r="F60" s="63"/>
      <c r="G60" s="63"/>
      <c r="H60" s="63"/>
      <c r="I60" s="63">
        <f t="shared" si="2"/>
        <v>4.813174192031007E-2</v>
      </c>
      <c r="J60" s="63"/>
      <c r="K60" s="70">
        <f t="shared" ref="K58:K67" si="3">D60*I60</f>
        <v>272.66554787068583</v>
      </c>
    </row>
    <row r="61" spans="2:16" x14ac:dyDescent="0.3">
      <c r="B61" s="70">
        <v>2026</v>
      </c>
      <c r="C61" s="70">
        <v>4</v>
      </c>
      <c r="D61" s="63">
        <v>6139.6139999999996</v>
      </c>
      <c r="E61" s="63"/>
      <c r="F61" s="63"/>
      <c r="G61" s="63"/>
      <c r="H61" s="63"/>
      <c r="I61" s="63">
        <f t="shared" si="2"/>
        <v>1.7508224463443366E-2</v>
      </c>
      <c r="J61" s="63"/>
      <c r="K61" s="70">
        <f t="shared" si="3"/>
        <v>107.49374003089937</v>
      </c>
    </row>
    <row r="62" spans="2:16" x14ac:dyDescent="0.3">
      <c r="B62" s="70">
        <v>2027</v>
      </c>
      <c r="C62" s="70">
        <v>5</v>
      </c>
      <c r="D62" s="63">
        <v>6557.2820000000002</v>
      </c>
      <c r="E62" s="63"/>
      <c r="F62" s="63"/>
      <c r="G62" s="63"/>
      <c r="H62" s="63"/>
      <c r="I62" s="63">
        <f t="shared" si="2"/>
        <v>6.3687269903890077E-3</v>
      </c>
      <c r="J62" s="63"/>
      <c r="K62" s="70">
        <f t="shared" si="3"/>
        <v>41.761538856992011</v>
      </c>
    </row>
    <row r="63" spans="2:16" x14ac:dyDescent="0.3">
      <c r="B63" s="70">
        <v>2028</v>
      </c>
      <c r="C63" s="70">
        <v>6</v>
      </c>
      <c r="D63" s="63">
        <v>7222.1890000000003</v>
      </c>
      <c r="E63" s="63"/>
      <c r="F63" s="63"/>
      <c r="G63" s="63"/>
      <c r="H63" s="63"/>
      <c r="I63" s="63">
        <f t="shared" si="2"/>
        <v>2.3166645802833335E-3</v>
      </c>
      <c r="J63" s="63"/>
      <c r="K63" s="70">
        <f t="shared" si="3"/>
        <v>16.73138944841191</v>
      </c>
    </row>
    <row r="64" spans="2:16" x14ac:dyDescent="0.3">
      <c r="B64" s="70">
        <v>2029</v>
      </c>
      <c r="C64" s="70">
        <v>7</v>
      </c>
      <c r="D64" s="63">
        <v>7838.9709999999995</v>
      </c>
      <c r="E64" s="63"/>
      <c r="F64" s="63"/>
      <c r="G64" s="63"/>
      <c r="H64" s="63"/>
      <c r="I64" s="63">
        <f t="shared" si="2"/>
        <v>8.4270134135731531E-4</v>
      </c>
      <c r="J64" s="63"/>
      <c r="K64" s="70">
        <f t="shared" si="3"/>
        <v>6.6059113765610951</v>
      </c>
    </row>
    <row r="65" spans="2:11" x14ac:dyDescent="0.3">
      <c r="B65" s="70">
        <v>2030</v>
      </c>
      <c r="C65" s="70">
        <v>8</v>
      </c>
      <c r="D65" s="63">
        <v>8512.7489999999998</v>
      </c>
      <c r="E65" s="63"/>
      <c r="F65" s="63"/>
      <c r="G65" s="63"/>
      <c r="H65" s="63"/>
      <c r="I65" s="63">
        <f t="shared" si="2"/>
        <v>3.0653792386231674E-4</v>
      </c>
      <c r="J65" s="63"/>
      <c r="K65" s="70">
        <f t="shared" si="3"/>
        <v>2.6094804048210127</v>
      </c>
    </row>
    <row r="66" spans="2:11" x14ac:dyDescent="0.3">
      <c r="B66" s="70">
        <v>2031</v>
      </c>
      <c r="C66" s="70">
        <v>9</v>
      </c>
      <c r="D66" s="63">
        <v>9249.1749999999993</v>
      </c>
      <c r="E66" s="63"/>
      <c r="F66" s="63"/>
      <c r="G66" s="63"/>
      <c r="H66" s="63"/>
      <c r="I66" s="63">
        <f t="shared" si="2"/>
        <v>1.1150510169412085E-4</v>
      </c>
      <c r="J66" s="63"/>
      <c r="K66" s="70">
        <f t="shared" si="3"/>
        <v>1.0313301989617201</v>
      </c>
    </row>
    <row r="67" spans="2:11" x14ac:dyDescent="0.3">
      <c r="B67" s="70">
        <v>2032</v>
      </c>
      <c r="C67" s="70">
        <v>10</v>
      </c>
      <c r="D67" s="63">
        <v>10054.498</v>
      </c>
      <c r="E67" s="63"/>
      <c r="F67" s="63"/>
      <c r="G67" s="63"/>
      <c r="H67" s="63"/>
      <c r="I67" s="63">
        <f t="shared" si="2"/>
        <v>4.0560683478109414E-5</v>
      </c>
      <c r="J67" s="63"/>
      <c r="K67" s="70">
        <f t="shared" si="3"/>
        <v>0.40781731090928414</v>
      </c>
    </row>
    <row r="69" spans="2:11" ht="25.8" x14ac:dyDescent="0.5">
      <c r="H69" s="57" t="s">
        <v>43</v>
      </c>
      <c r="I69" s="57"/>
      <c r="J69" s="57"/>
      <c r="K69" s="58">
        <f>E51</f>
        <v>1.7490932630437575</v>
      </c>
    </row>
  </sheetData>
  <mergeCells count="65">
    <mergeCell ref="D66:H66"/>
    <mergeCell ref="I66:J66"/>
    <mergeCell ref="D67:H67"/>
    <mergeCell ref="I67:J67"/>
    <mergeCell ref="H69:J69"/>
    <mergeCell ref="D2:K2"/>
    <mergeCell ref="B20:D20"/>
    <mergeCell ref="D58:H58"/>
    <mergeCell ref="D63:H63"/>
    <mergeCell ref="I63:J63"/>
    <mergeCell ref="D64:H64"/>
    <mergeCell ref="I64:J64"/>
    <mergeCell ref="D65:H65"/>
    <mergeCell ref="I65:J65"/>
    <mergeCell ref="D60:H60"/>
    <mergeCell ref="I60:J60"/>
    <mergeCell ref="D61:H61"/>
    <mergeCell ref="I61:J61"/>
    <mergeCell ref="D62:H62"/>
    <mergeCell ref="I62:J62"/>
    <mergeCell ref="D57:H57"/>
    <mergeCell ref="I57:J57"/>
    <mergeCell ref="D59:H59"/>
    <mergeCell ref="I58:J58"/>
    <mergeCell ref="I59:J59"/>
    <mergeCell ref="E45:J45"/>
    <mergeCell ref="B51:D51"/>
    <mergeCell ref="B52:D52"/>
    <mergeCell ref="B53:D53"/>
    <mergeCell ref="D56:H56"/>
    <mergeCell ref="I56:J56"/>
    <mergeCell ref="I41:J41"/>
    <mergeCell ref="I42:J42"/>
    <mergeCell ref="D43:H43"/>
    <mergeCell ref="I43:J43"/>
    <mergeCell ref="I38:J38"/>
    <mergeCell ref="I39:J39"/>
    <mergeCell ref="I40:J40"/>
    <mergeCell ref="I35:J35"/>
    <mergeCell ref="I36:J36"/>
    <mergeCell ref="I37:J37"/>
    <mergeCell ref="B29:D29"/>
    <mergeCell ref="D32:H32"/>
    <mergeCell ref="I32:J32"/>
    <mergeCell ref="D33:H33"/>
    <mergeCell ref="I33:J33"/>
    <mergeCell ref="I34:J34"/>
    <mergeCell ref="B21:E21"/>
    <mergeCell ref="B22:E22"/>
    <mergeCell ref="B23:E23"/>
    <mergeCell ref="B24:E24"/>
    <mergeCell ref="B25:E25"/>
    <mergeCell ref="B26:E26"/>
    <mergeCell ref="B12:G12"/>
    <mergeCell ref="B14:G14"/>
    <mergeCell ref="B15:G15"/>
    <mergeCell ref="B16:G16"/>
    <mergeCell ref="B17:G17"/>
    <mergeCell ref="B18:G18"/>
    <mergeCell ref="B4:M4"/>
    <mergeCell ref="B6:G6"/>
    <mergeCell ref="B7:G7"/>
    <mergeCell ref="B8:G8"/>
    <mergeCell ref="B9:G9"/>
    <mergeCell ref="B10:G1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5583FF-62C0-44D4-93E7-B56D69B92DDE}">
  <dimension ref="B1:BN72"/>
  <sheetViews>
    <sheetView topLeftCell="AJ4" workbookViewId="0">
      <selection activeCell="AO5" sqref="AO5"/>
    </sheetView>
  </sheetViews>
  <sheetFormatPr defaultRowHeight="14.4" x14ac:dyDescent="0.3"/>
  <cols>
    <col min="5" max="6" width="8.88671875" customWidth="1"/>
    <col min="7" max="7" width="9.77734375" customWidth="1"/>
    <col min="8" max="8" width="12.77734375" customWidth="1"/>
    <col min="12" max="12" width="13.33203125" customWidth="1"/>
    <col min="15" max="15" width="26.77734375" customWidth="1"/>
    <col min="16" max="16" width="9.6640625" customWidth="1"/>
    <col min="17" max="17" width="15.6640625" customWidth="1"/>
    <col min="18" max="18" width="13" customWidth="1"/>
    <col min="22" max="22" width="26.44140625" customWidth="1"/>
    <col min="28" max="28" width="24.44140625" customWidth="1"/>
    <col min="29" max="29" width="17.44140625" customWidth="1"/>
    <col min="33" max="33" width="22.77734375" customWidth="1"/>
    <col min="35" max="35" width="12.77734375" customWidth="1"/>
    <col min="49" max="49" width="22" customWidth="1"/>
    <col min="50" max="50" width="25.21875" customWidth="1"/>
    <col min="54" max="54" width="18.5546875" customWidth="1"/>
    <col min="60" max="60" width="7.6640625" customWidth="1"/>
    <col min="61" max="61" width="22.109375" customWidth="1"/>
    <col min="62" max="62" width="17.109375" customWidth="1"/>
    <col min="63" max="63" width="22.77734375" customWidth="1"/>
    <col min="64" max="64" width="22.109375" customWidth="1"/>
    <col min="65" max="65" width="17.21875" customWidth="1"/>
    <col min="66" max="66" width="29.88671875" customWidth="1"/>
    <col min="68" max="68" width="11.88671875" customWidth="1"/>
  </cols>
  <sheetData>
    <row r="1" spans="2:66" ht="31.2" x14ac:dyDescent="0.6">
      <c r="G1" s="24"/>
      <c r="H1" s="25"/>
      <c r="I1" s="25"/>
      <c r="J1" s="25"/>
      <c r="K1" s="26" t="s">
        <v>40</v>
      </c>
      <c r="L1" s="26"/>
      <c r="M1" s="26"/>
      <c r="N1" s="27"/>
    </row>
    <row r="2" spans="2:66" ht="25.8" x14ac:dyDescent="0.5">
      <c r="H2" s="28" t="s">
        <v>41</v>
      </c>
      <c r="I2" s="29"/>
      <c r="J2" s="30"/>
      <c r="L2" s="22"/>
    </row>
    <row r="3" spans="2:66" ht="21" x14ac:dyDescent="0.4">
      <c r="H3" s="31" t="s">
        <v>42</v>
      </c>
      <c r="I3" s="32"/>
      <c r="J3" s="32"/>
      <c r="K3" s="33"/>
      <c r="L3" s="34"/>
      <c r="M3" s="23"/>
      <c r="N3" s="23"/>
    </row>
    <row r="6" spans="2:66" ht="28.8" x14ac:dyDescent="0.55000000000000004">
      <c r="J6" s="36"/>
      <c r="K6" s="37" t="s">
        <v>32</v>
      </c>
      <c r="L6" s="38"/>
      <c r="AB6" s="35" t="s">
        <v>33</v>
      </c>
    </row>
    <row r="10" spans="2:66" ht="28.8" x14ac:dyDescent="0.55000000000000004">
      <c r="B10" s="1">
        <v>1</v>
      </c>
      <c r="C10" s="1" t="s">
        <v>0</v>
      </c>
      <c r="D10" s="1"/>
      <c r="N10" s="1">
        <v>2</v>
      </c>
      <c r="O10" s="1" t="s">
        <v>6</v>
      </c>
      <c r="P10" s="1"/>
      <c r="Q10" s="1"/>
      <c r="U10" s="12">
        <v>3</v>
      </c>
      <c r="V10" s="12" t="s">
        <v>10</v>
      </c>
      <c r="W10" s="13"/>
      <c r="X10" s="13"/>
      <c r="AA10" s="1">
        <v>4</v>
      </c>
      <c r="AB10" s="1" t="s">
        <v>12</v>
      </c>
      <c r="AC10" s="1"/>
      <c r="AF10" s="1">
        <v>5</v>
      </c>
      <c r="AG10" s="1" t="s">
        <v>15</v>
      </c>
      <c r="AH10" s="1"/>
      <c r="AP10" s="1">
        <v>6</v>
      </c>
      <c r="AQ10" s="1" t="s">
        <v>20</v>
      </c>
      <c r="AR10" s="1"/>
      <c r="AV10" s="1">
        <v>7</v>
      </c>
      <c r="AW10" s="1" t="s">
        <v>23</v>
      </c>
      <c r="AX10" s="1"/>
      <c r="BA10" s="1" t="s">
        <v>27</v>
      </c>
      <c r="BB10" s="1"/>
      <c r="BC10" s="1"/>
      <c r="BE10" s="1" t="s">
        <v>76</v>
      </c>
      <c r="BG10" s="1"/>
      <c r="BJ10" s="20" t="s">
        <v>34</v>
      </c>
      <c r="BK10" s="21"/>
      <c r="BL10" s="21"/>
      <c r="BM10" s="21"/>
    </row>
    <row r="12" spans="2:66" x14ac:dyDescent="0.3">
      <c r="B12" s="7" t="s">
        <v>3</v>
      </c>
      <c r="C12" s="44" t="s">
        <v>74</v>
      </c>
      <c r="D12" s="44"/>
      <c r="E12" s="44"/>
      <c r="F12" s="44"/>
      <c r="G12" s="7" t="s">
        <v>4</v>
      </c>
      <c r="H12" s="44" t="s">
        <v>2</v>
      </c>
      <c r="I12" s="44"/>
      <c r="J12" s="44" t="s">
        <v>5</v>
      </c>
      <c r="K12" s="44"/>
      <c r="N12" s="7" t="s">
        <v>3</v>
      </c>
      <c r="O12" s="7" t="s">
        <v>7</v>
      </c>
      <c r="P12" s="7" t="s">
        <v>4</v>
      </c>
      <c r="Q12" s="7" t="s">
        <v>2</v>
      </c>
      <c r="R12" s="7" t="s">
        <v>5</v>
      </c>
      <c r="V12" t="s">
        <v>11</v>
      </c>
      <c r="AA12" s="15" t="s">
        <v>3</v>
      </c>
      <c r="AB12" s="15" t="s">
        <v>13</v>
      </c>
      <c r="AC12" s="16" t="s">
        <v>14</v>
      </c>
      <c r="AF12" s="15" t="s">
        <v>3</v>
      </c>
      <c r="AG12" s="15" t="s">
        <v>16</v>
      </c>
      <c r="AH12" s="15"/>
      <c r="AI12" s="15" t="s">
        <v>17</v>
      </c>
      <c r="AJ12" s="15"/>
      <c r="AK12" s="15" t="s">
        <v>18</v>
      </c>
      <c r="AL12" s="15"/>
      <c r="AM12" s="15" t="s">
        <v>19</v>
      </c>
      <c r="AP12" s="15" t="s">
        <v>3</v>
      </c>
      <c r="AQ12" s="15" t="s">
        <v>21</v>
      </c>
      <c r="AR12" s="15"/>
      <c r="AS12" s="15" t="s">
        <v>22</v>
      </c>
      <c r="AT12" s="14"/>
      <c r="AV12" s="15" t="s">
        <v>3</v>
      </c>
      <c r="AW12" s="15" t="s">
        <v>24</v>
      </c>
      <c r="AX12" s="15" t="s">
        <v>25</v>
      </c>
      <c r="BA12" s="15" t="s">
        <v>3</v>
      </c>
      <c r="BB12" s="15" t="s">
        <v>28</v>
      </c>
      <c r="BC12" s="19"/>
      <c r="BE12" s="15" t="s">
        <v>1</v>
      </c>
      <c r="BF12" s="15" t="s">
        <v>77</v>
      </c>
      <c r="BG12" s="66"/>
      <c r="BI12" s="11" t="s">
        <v>1</v>
      </c>
      <c r="BJ12" s="11" t="s">
        <v>35</v>
      </c>
      <c r="BK12" s="11" t="s">
        <v>36</v>
      </c>
      <c r="BL12" s="11" t="s">
        <v>37</v>
      </c>
      <c r="BM12" s="11" t="s">
        <v>38</v>
      </c>
      <c r="BN12" s="11" t="s">
        <v>39</v>
      </c>
    </row>
    <row r="13" spans="2:66" x14ac:dyDescent="0.3">
      <c r="B13" s="2">
        <v>2022</v>
      </c>
      <c r="C13" s="42">
        <v>49.613</v>
      </c>
      <c r="D13" s="42"/>
      <c r="E13" s="42"/>
      <c r="F13" s="42"/>
      <c r="G13" s="5">
        <v>100</v>
      </c>
      <c r="H13" s="42">
        <v>-36</v>
      </c>
      <c r="I13" s="42"/>
      <c r="J13" s="43">
        <f>C13*(G13+H13)</f>
        <v>3175.232</v>
      </c>
      <c r="K13" s="43"/>
      <c r="N13" s="9">
        <v>2022</v>
      </c>
      <c r="O13" s="9"/>
      <c r="P13" s="9"/>
      <c r="Q13" s="9">
        <v>0</v>
      </c>
      <c r="R13" s="9">
        <v>0</v>
      </c>
      <c r="AA13" s="9">
        <v>2022</v>
      </c>
      <c r="AB13" s="9">
        <v>-1000</v>
      </c>
      <c r="AC13" s="9">
        <v>0</v>
      </c>
      <c r="AF13" s="9">
        <v>2022</v>
      </c>
      <c r="AG13" s="9">
        <v>-400</v>
      </c>
      <c r="AH13" s="9"/>
      <c r="AI13" s="9">
        <v>-40</v>
      </c>
      <c r="AJ13" s="9"/>
      <c r="AK13" s="9">
        <v>-40</v>
      </c>
      <c r="AL13" s="9"/>
      <c r="AM13" s="9">
        <f>AG13+AI13+AK13</f>
        <v>-480</v>
      </c>
      <c r="AP13" s="9">
        <v>2022</v>
      </c>
      <c r="AQ13" s="9">
        <v>-500</v>
      </c>
      <c r="AR13" s="9"/>
      <c r="AS13" s="9">
        <v>-500</v>
      </c>
      <c r="AV13" s="9">
        <v>2022</v>
      </c>
      <c r="AW13" s="9">
        <v>-600</v>
      </c>
      <c r="AX13" s="9">
        <v>34.991999999999997</v>
      </c>
      <c r="BA13" s="9">
        <v>2022</v>
      </c>
      <c r="BB13" s="2">
        <v>30</v>
      </c>
      <c r="BE13" s="9">
        <v>2022</v>
      </c>
      <c r="BF13" s="51">
        <f>(0.05+0.1+0.06)*-N57</f>
        <v>-994.39872000000014</v>
      </c>
      <c r="BG13" s="53"/>
      <c r="BI13" s="9">
        <v>2022</v>
      </c>
      <c r="BJ13" s="9">
        <v>4735.232</v>
      </c>
      <c r="BK13" s="9">
        <f>V57</f>
        <v>-4074.3987200000001</v>
      </c>
      <c r="BL13" s="9">
        <f>BJ13+BK13</f>
        <v>660.83327999999983</v>
      </c>
      <c r="BM13" s="9">
        <f>BL13*(0.1)</f>
        <v>66.08332799999998</v>
      </c>
      <c r="BN13" s="9">
        <f>BL13-BM13</f>
        <v>594.74995199999989</v>
      </c>
    </row>
    <row r="14" spans="2:66" x14ac:dyDescent="0.3">
      <c r="B14" s="2">
        <v>2023</v>
      </c>
      <c r="C14" s="42">
        <f>C13*(1+0.05)</f>
        <v>52.093650000000004</v>
      </c>
      <c r="D14" s="42"/>
      <c r="E14" s="42"/>
      <c r="F14" s="42"/>
      <c r="G14" s="5">
        <f>G13*1.015</f>
        <v>101.49999999999999</v>
      </c>
      <c r="H14" s="42">
        <f>H13*1.015</f>
        <v>-36.54</v>
      </c>
      <c r="I14" s="42"/>
      <c r="J14" s="43">
        <f t="shared" ref="J14:J23" si="0">C14*(G14+H14)</f>
        <v>3384.0035039999993</v>
      </c>
      <c r="K14" s="43"/>
      <c r="N14" s="9">
        <v>2023</v>
      </c>
      <c r="O14" s="9">
        <v>5</v>
      </c>
      <c r="P14" s="9">
        <f>50</f>
        <v>50</v>
      </c>
      <c r="Q14" s="9">
        <f>0.6*I37</f>
        <v>-29.231999999999999</v>
      </c>
      <c r="R14" s="9">
        <f>O14*(P14+Q14)</f>
        <v>103.84</v>
      </c>
      <c r="AA14" s="9">
        <v>2023</v>
      </c>
      <c r="AB14" s="9">
        <v>0</v>
      </c>
      <c r="AC14" s="9">
        <f>800/15</f>
        <v>53.333333333333336</v>
      </c>
      <c r="AF14" s="9">
        <v>2023</v>
      </c>
      <c r="AG14" s="9">
        <v>-420</v>
      </c>
      <c r="AH14" s="9"/>
      <c r="AI14" s="9">
        <f>0.1*AG14</f>
        <v>-42</v>
      </c>
      <c r="AJ14" s="9"/>
      <c r="AK14" s="9">
        <v>-40</v>
      </c>
      <c r="AL14" s="9"/>
      <c r="AM14" s="9">
        <f>AG14+AK14</f>
        <v>-460</v>
      </c>
      <c r="AP14" s="9">
        <v>2023</v>
      </c>
      <c r="AQ14">
        <f>AQ13*(1.05)</f>
        <v>-525</v>
      </c>
      <c r="AR14" s="9"/>
      <c r="AS14" s="9">
        <f>AS13*(1.15)</f>
        <v>-575</v>
      </c>
      <c r="AV14" s="9">
        <v>2023</v>
      </c>
      <c r="AW14" s="9">
        <f>AW13*(1.015)</f>
        <v>-608.99999999999989</v>
      </c>
      <c r="AX14" s="9">
        <f>AX13*(1.08)</f>
        <v>37.791359999999997</v>
      </c>
      <c r="BA14" s="9">
        <v>2023</v>
      </c>
      <c r="BB14" s="2">
        <f>BB13*(1.03)</f>
        <v>30.900000000000002</v>
      </c>
      <c r="BE14" s="9">
        <v>2023</v>
      </c>
      <c r="BF14" s="51">
        <f>(0.05+0.1+0.06)*-N58</f>
        <v>-1098.2125358399999</v>
      </c>
      <c r="BG14" s="53"/>
      <c r="BI14" s="9">
        <v>2023</v>
      </c>
      <c r="BJ14" s="9">
        <v>5229.5835039999993</v>
      </c>
      <c r="BK14" s="9">
        <f>V58</f>
        <v>-3267.2125358399999</v>
      </c>
      <c r="BL14" s="9">
        <f t="shared" ref="BL14:BL28" si="1">BJ14+BK14</f>
        <v>1962.3709681599994</v>
      </c>
      <c r="BM14" s="9">
        <f t="shared" ref="BM14:BM28" si="2">BL14*(0.1)</f>
        <v>196.23709681599996</v>
      </c>
      <c r="BN14" s="9">
        <f t="shared" ref="BN14:BN28" si="3">BL14-BM14</f>
        <v>1766.1338713439995</v>
      </c>
    </row>
    <row r="15" spans="2:66" x14ac:dyDescent="0.3">
      <c r="B15" s="2">
        <v>2024</v>
      </c>
      <c r="C15" s="42">
        <f t="shared" ref="C15:C23" si="4">C14*(1+0.05)</f>
        <v>54.698332500000006</v>
      </c>
      <c r="D15" s="42"/>
      <c r="E15" s="42"/>
      <c r="F15" s="42"/>
      <c r="G15" s="5">
        <f t="shared" ref="G15:H28" si="5">G14*1.015</f>
        <v>103.02249999999998</v>
      </c>
      <c r="H15" s="42">
        <f t="shared" si="5"/>
        <v>-37.088099999999997</v>
      </c>
      <c r="I15" s="42"/>
      <c r="J15" s="43">
        <f t="shared" si="0"/>
        <v>3606.5017343879995</v>
      </c>
      <c r="K15" s="43"/>
      <c r="N15" s="9">
        <v>2024</v>
      </c>
      <c r="O15" s="9">
        <f t="shared" ref="O15:O28" si="6">O14*(1+0.08)</f>
        <v>5.4</v>
      </c>
      <c r="P15" s="9">
        <f>P14*(1+0.015)</f>
        <v>50.749999999999993</v>
      </c>
      <c r="Q15" s="9">
        <f>0.6*I38</f>
        <v>-29.670479999999994</v>
      </c>
      <c r="R15" s="9">
        <f t="shared" ref="R15:R28" si="7">O15*(P15+Q15)</f>
        <v>113.829408</v>
      </c>
      <c r="AA15" s="9">
        <v>2024</v>
      </c>
      <c r="AB15" s="9">
        <v>0</v>
      </c>
      <c r="AC15" s="9">
        <f t="shared" ref="AC15:AC28" si="8">800/15</f>
        <v>53.333333333333336</v>
      </c>
      <c r="AF15" s="9">
        <v>2024</v>
      </c>
      <c r="AG15" s="9">
        <v>-441</v>
      </c>
      <c r="AH15" s="9"/>
      <c r="AI15" s="9">
        <f t="shared" ref="AI15:AI28" si="9">0.1*AG15</f>
        <v>-44.1</v>
      </c>
      <c r="AJ15" s="9"/>
      <c r="AK15" s="9">
        <v>-40</v>
      </c>
      <c r="AL15" s="9"/>
      <c r="AM15" s="9">
        <f t="shared" ref="AM15:AM28" si="10">AG15+AK15</f>
        <v>-481</v>
      </c>
      <c r="AP15" s="9">
        <v>2024</v>
      </c>
      <c r="AQ15">
        <f t="shared" ref="AQ15:AQ28" si="11">AQ14*(1.05)</f>
        <v>-551.25</v>
      </c>
      <c r="AR15" s="9"/>
      <c r="AS15" s="9">
        <f t="shared" ref="AS15:AS28" si="12">AS14*(1.15)</f>
        <v>-661.25</v>
      </c>
      <c r="AV15" s="9">
        <v>2024</v>
      </c>
      <c r="AW15" s="9">
        <f t="shared" ref="AW15:AW28" si="13">AW14*(1.015)</f>
        <v>-618.13499999999988</v>
      </c>
      <c r="AX15" s="9">
        <f t="shared" ref="AX15:AX28" si="14">AX14*(1.08)</f>
        <v>40.8146688</v>
      </c>
      <c r="BA15" s="9">
        <v>2024</v>
      </c>
      <c r="BB15" s="2">
        <f t="shared" ref="BB15:BB28" si="15">BB14*(1.03)</f>
        <v>31.827000000000002</v>
      </c>
      <c r="BE15" s="9">
        <v>2024</v>
      </c>
      <c r="BF15" s="51">
        <f>(0.05+0.1+0.06)*-N59</f>
        <v>-1189.6466090014799</v>
      </c>
      <c r="BG15" s="53"/>
      <c r="BI15" s="9">
        <v>2024</v>
      </c>
      <c r="BJ15" s="9">
        <v>5664.9838523879989</v>
      </c>
      <c r="BK15" s="9">
        <f>V59</f>
        <v>-3501.2816090014794</v>
      </c>
      <c r="BL15" s="9">
        <f t="shared" si="1"/>
        <v>2163.7022433865195</v>
      </c>
      <c r="BM15" s="9">
        <f t="shared" si="2"/>
        <v>216.37022433865195</v>
      </c>
      <c r="BN15" s="9">
        <f t="shared" si="3"/>
        <v>1947.3320190478676</v>
      </c>
    </row>
    <row r="16" spans="2:66" x14ac:dyDescent="0.3">
      <c r="B16" s="2">
        <v>2025</v>
      </c>
      <c r="C16" s="42">
        <f t="shared" si="4"/>
        <v>57.43324912500001</v>
      </c>
      <c r="D16" s="42"/>
      <c r="E16" s="42"/>
      <c r="F16" s="42"/>
      <c r="G16" s="5">
        <f t="shared" si="5"/>
        <v>104.56783749999997</v>
      </c>
      <c r="H16" s="42">
        <f t="shared" si="5"/>
        <v>-37.644421499999993</v>
      </c>
      <c r="I16" s="42"/>
      <c r="J16" s="43">
        <f t="shared" si="0"/>
        <v>3843.6292234240104</v>
      </c>
      <c r="K16" s="43"/>
      <c r="N16" s="9">
        <v>2025</v>
      </c>
      <c r="O16" s="9">
        <f t="shared" si="6"/>
        <v>5.8320000000000007</v>
      </c>
      <c r="P16" s="9">
        <f t="shared" ref="P16:P28" si="16">P15*(1+0.015)</f>
        <v>51.51124999999999</v>
      </c>
      <c r="Q16" s="9">
        <f>0.6*I39</f>
        <v>-30.115537199999991</v>
      </c>
      <c r="R16" s="9">
        <f t="shared" si="7"/>
        <v>124.77979704960001</v>
      </c>
      <c r="AA16" s="9">
        <v>2025</v>
      </c>
      <c r="AB16" s="9">
        <v>0</v>
      </c>
      <c r="AC16" s="9">
        <f t="shared" si="8"/>
        <v>53.333333333333336</v>
      </c>
      <c r="AF16" s="9">
        <v>2025</v>
      </c>
      <c r="AG16" s="9">
        <v>-463.05</v>
      </c>
      <c r="AH16" s="9"/>
      <c r="AI16" s="9">
        <f t="shared" si="9"/>
        <v>-46.305000000000007</v>
      </c>
      <c r="AJ16" s="9"/>
      <c r="AK16" s="9">
        <v>-40</v>
      </c>
      <c r="AL16" s="9"/>
      <c r="AM16" s="9">
        <f t="shared" si="10"/>
        <v>-503.05</v>
      </c>
      <c r="AP16" s="9">
        <v>2025</v>
      </c>
      <c r="AQ16">
        <f t="shared" si="11"/>
        <v>-578.8125</v>
      </c>
      <c r="AR16" s="9"/>
      <c r="AS16" s="9">
        <f t="shared" si="12"/>
        <v>-760.43749999999989</v>
      </c>
      <c r="AV16" s="65">
        <v>2025</v>
      </c>
      <c r="AW16" s="9">
        <f t="shared" si="13"/>
        <v>-627.40702499999986</v>
      </c>
      <c r="AX16" s="9">
        <f t="shared" si="14"/>
        <v>44.079842304000003</v>
      </c>
      <c r="BA16" s="9">
        <v>2025</v>
      </c>
      <c r="BB16" s="2">
        <f t="shared" si="15"/>
        <v>32.78181</v>
      </c>
      <c r="BE16" s="9">
        <v>2025</v>
      </c>
      <c r="BF16" s="51">
        <f>(0.05+0.1+0.06)*-N60</f>
        <v>-1289.3188919496081</v>
      </c>
      <c r="BG16" s="53"/>
      <c r="BI16" s="9">
        <v>2025</v>
      </c>
      <c r="BJ16" s="9">
        <v>6139.6137711886095</v>
      </c>
      <c r="BK16" s="9">
        <f>V60</f>
        <v>-3759.0259169496076</v>
      </c>
      <c r="BL16" s="9">
        <f t="shared" si="1"/>
        <v>2380.5878542390019</v>
      </c>
      <c r="BM16" s="9">
        <f t="shared" si="2"/>
        <v>238.05878542390019</v>
      </c>
      <c r="BN16" s="9">
        <f t="shared" si="3"/>
        <v>2142.5290688151017</v>
      </c>
    </row>
    <row r="17" spans="2:66" x14ac:dyDescent="0.3">
      <c r="B17" s="2">
        <v>2026</v>
      </c>
      <c r="C17" s="42">
        <f t="shared" si="4"/>
        <v>60.30491158125001</v>
      </c>
      <c r="D17" s="42"/>
      <c r="E17" s="42"/>
      <c r="F17" s="42"/>
      <c r="G17" s="5">
        <f t="shared" si="5"/>
        <v>106.13635506249996</v>
      </c>
      <c r="H17" s="42">
        <f t="shared" si="5"/>
        <v>-38.209087822499988</v>
      </c>
      <c r="I17" s="42"/>
      <c r="J17" s="43">
        <f t="shared" si="0"/>
        <v>4096.3478448641381</v>
      </c>
      <c r="K17" s="43"/>
      <c r="N17" s="9">
        <v>2026</v>
      </c>
      <c r="O17" s="9">
        <f t="shared" si="6"/>
        <v>6.298560000000001</v>
      </c>
      <c r="P17" s="9">
        <f t="shared" si="16"/>
        <v>52.283918749999984</v>
      </c>
      <c r="Q17" s="9">
        <f>0.6*I40</f>
        <v>-30.567270257999986</v>
      </c>
      <c r="R17" s="9">
        <f t="shared" si="7"/>
        <v>136.78361352577153</v>
      </c>
      <c r="AA17" s="9">
        <v>2026</v>
      </c>
      <c r="AB17" s="9">
        <v>0</v>
      </c>
      <c r="AC17" s="9">
        <f t="shared" si="8"/>
        <v>53.333333333333336</v>
      </c>
      <c r="AF17" s="9">
        <v>2026</v>
      </c>
      <c r="AG17" s="9">
        <v>-486.20249999999999</v>
      </c>
      <c r="AH17" s="9"/>
      <c r="AI17" s="9">
        <f t="shared" si="9"/>
        <v>-48.620249999999999</v>
      </c>
      <c r="AJ17" s="9"/>
      <c r="AK17" s="9">
        <v>-40</v>
      </c>
      <c r="AL17" s="9"/>
      <c r="AM17" s="9">
        <f t="shared" si="10"/>
        <v>-526.20249999999999</v>
      </c>
      <c r="AP17" s="9">
        <v>2026</v>
      </c>
      <c r="AQ17">
        <f t="shared" si="11"/>
        <v>-607.75312500000007</v>
      </c>
      <c r="AR17" s="9"/>
      <c r="AS17" s="9">
        <f t="shared" si="12"/>
        <v>-874.50312499999984</v>
      </c>
      <c r="AV17" s="9">
        <v>2026</v>
      </c>
      <c r="AW17" s="9">
        <f t="shared" si="13"/>
        <v>-636.81813037499978</v>
      </c>
      <c r="AX17" s="9">
        <f t="shared" si="14"/>
        <v>47.606229688320006</v>
      </c>
      <c r="BA17" s="9">
        <v>2026</v>
      </c>
      <c r="BB17" s="2">
        <f t="shared" si="15"/>
        <v>33.765264299999998</v>
      </c>
      <c r="BE17" s="9">
        <v>2026</v>
      </c>
      <c r="BF17" s="51">
        <f>(0.05+0.1+0.06)*-N61</f>
        <v>-1398.0291281382736</v>
      </c>
      <c r="BG17" s="53"/>
      <c r="BI17" s="9">
        <v>2026</v>
      </c>
      <c r="BJ17" s="9">
        <v>6657.2815625632065</v>
      </c>
      <c r="BK17" s="9">
        <f>V61</f>
        <v>-4043.3060085132729</v>
      </c>
      <c r="BL17" s="9">
        <f t="shared" si="1"/>
        <v>2613.9755540499336</v>
      </c>
      <c r="BM17" s="9">
        <f t="shared" si="2"/>
        <v>261.3975554049934</v>
      </c>
      <c r="BN17" s="9">
        <f t="shared" si="3"/>
        <v>2352.5779986449402</v>
      </c>
    </row>
    <row r="18" spans="2:66" x14ac:dyDescent="0.3">
      <c r="B18" s="2">
        <v>2027</v>
      </c>
      <c r="C18" s="42">
        <f t="shared" si="4"/>
        <v>63.320157160312512</v>
      </c>
      <c r="D18" s="42"/>
      <c r="E18" s="42"/>
      <c r="F18" s="42"/>
      <c r="G18" s="5">
        <f t="shared" si="5"/>
        <v>107.72840038843745</v>
      </c>
      <c r="H18" s="42">
        <f t="shared" si="5"/>
        <v>-38.782224139837481</v>
      </c>
      <c r="I18" s="42"/>
      <c r="J18" s="43">
        <f t="shared" si="0"/>
        <v>4365.6827156639556</v>
      </c>
      <c r="K18" s="43"/>
      <c r="N18" s="9">
        <v>2027</v>
      </c>
      <c r="O18" s="9">
        <f t="shared" si="6"/>
        <v>6.8024448000000017</v>
      </c>
      <c r="P18" s="9">
        <f t="shared" si="16"/>
        <v>53.068177531249979</v>
      </c>
      <c r="Q18" s="9">
        <f>0.6*I41</f>
        <v>-31.025779311869982</v>
      </c>
      <c r="R18" s="9">
        <f t="shared" si="7"/>
        <v>149.94219714695075</v>
      </c>
      <c r="AA18" s="9">
        <v>2027</v>
      </c>
      <c r="AB18" s="9">
        <v>0</v>
      </c>
      <c r="AC18" s="9">
        <f t="shared" si="8"/>
        <v>53.333333333333336</v>
      </c>
      <c r="AF18" s="9">
        <v>2027</v>
      </c>
      <c r="AG18" s="9">
        <v>-510.51262500000007</v>
      </c>
      <c r="AH18" s="9"/>
      <c r="AI18" s="9">
        <f t="shared" si="9"/>
        <v>-51.051262500000007</v>
      </c>
      <c r="AJ18" s="9"/>
      <c r="AK18" s="9">
        <v>-40</v>
      </c>
      <c r="AL18" s="9"/>
      <c r="AM18" s="9">
        <f t="shared" si="10"/>
        <v>-550.51262500000007</v>
      </c>
      <c r="AP18" s="9">
        <v>2027</v>
      </c>
      <c r="AQ18">
        <f t="shared" si="11"/>
        <v>-638.14078125000015</v>
      </c>
      <c r="AR18" s="9"/>
      <c r="AS18" s="9">
        <f t="shared" si="12"/>
        <v>-1005.6785937499998</v>
      </c>
      <c r="AV18" s="120">
        <v>2027</v>
      </c>
      <c r="AW18" s="120">
        <f t="shared" si="13"/>
        <v>-646.37040233062476</v>
      </c>
      <c r="AX18" s="120">
        <f t="shared" si="14"/>
        <v>51.41472806338561</v>
      </c>
      <c r="BA18" s="9">
        <v>2027</v>
      </c>
      <c r="BB18" s="2">
        <f t="shared" si="15"/>
        <v>34.778222229000001</v>
      </c>
      <c r="BE18" s="9">
        <v>2027</v>
      </c>
      <c r="BF18" s="51">
        <f>(0.05+0.1+0.06)*-N62</f>
        <v>-1516.6595858652827</v>
      </c>
      <c r="BG18" s="53"/>
      <c r="BI18" s="9">
        <v>2027</v>
      </c>
      <c r="BJ18" s="9">
        <v>7222.1885041203932</v>
      </c>
      <c r="BK18" s="9">
        <f>V62</f>
        <v>-4357.3619881959075</v>
      </c>
      <c r="BL18" s="9">
        <f t="shared" si="1"/>
        <v>2864.8265159244856</v>
      </c>
      <c r="BM18" s="9">
        <f t="shared" si="2"/>
        <v>286.48265159244858</v>
      </c>
      <c r="BN18" s="9">
        <f t="shared" si="3"/>
        <v>2578.3438643320369</v>
      </c>
    </row>
    <row r="19" spans="2:66" x14ac:dyDescent="0.3">
      <c r="B19" s="2">
        <v>2028</v>
      </c>
      <c r="C19" s="42">
        <f t="shared" si="4"/>
        <v>66.486165018328137</v>
      </c>
      <c r="D19" s="42"/>
      <c r="E19" s="42"/>
      <c r="F19" s="42"/>
      <c r="G19" s="5">
        <f t="shared" si="5"/>
        <v>109.344326394264</v>
      </c>
      <c r="H19" s="42">
        <f t="shared" si="5"/>
        <v>-39.36395750193504</v>
      </c>
      <c r="I19" s="42"/>
      <c r="J19" s="43">
        <f t="shared" si="0"/>
        <v>4652.7263542188603</v>
      </c>
      <c r="K19" s="43"/>
      <c r="N19" s="9">
        <v>2028</v>
      </c>
      <c r="O19" s="9">
        <f t="shared" si="6"/>
        <v>7.3466403840000023</v>
      </c>
      <c r="P19" s="9">
        <f t="shared" si="16"/>
        <v>53.864200194218725</v>
      </c>
      <c r="Q19" s="9">
        <f>0.6*I42</f>
        <v>-31.491166001548027</v>
      </c>
      <c r="R19" s="9">
        <f t="shared" si="7"/>
        <v>164.36663651248745</v>
      </c>
      <c r="AA19" s="9">
        <v>2028</v>
      </c>
      <c r="AB19" s="9">
        <v>0</v>
      </c>
      <c r="AC19" s="9">
        <f t="shared" si="8"/>
        <v>53.333333333333336</v>
      </c>
      <c r="AF19" s="9">
        <v>2028</v>
      </c>
      <c r="AG19" s="9">
        <v>-536.03825625000013</v>
      </c>
      <c r="AH19" s="9"/>
      <c r="AI19" s="9">
        <f t="shared" si="9"/>
        <v>-53.603825625000013</v>
      </c>
      <c r="AJ19" s="9"/>
      <c r="AK19" s="9">
        <v>-40</v>
      </c>
      <c r="AL19" s="9"/>
      <c r="AM19" s="9">
        <f t="shared" si="10"/>
        <v>-576.03825625000013</v>
      </c>
      <c r="AP19" s="9">
        <v>2028</v>
      </c>
      <c r="AQ19">
        <f t="shared" si="11"/>
        <v>-670.04782031250022</v>
      </c>
      <c r="AR19" s="9"/>
      <c r="AS19" s="9">
        <f t="shared" si="12"/>
        <v>-1156.5303828124997</v>
      </c>
      <c r="AV19" s="9">
        <v>2028</v>
      </c>
      <c r="AW19" s="9">
        <f t="shared" si="13"/>
        <v>-656.06595836558404</v>
      </c>
      <c r="AX19" s="9">
        <f t="shared" si="14"/>
        <v>55.527906308456465</v>
      </c>
      <c r="BA19" s="9">
        <v>2028</v>
      </c>
      <c r="BB19" s="2">
        <f t="shared" si="15"/>
        <v>35.821568895870001</v>
      </c>
      <c r="BE19" s="9">
        <v>2028</v>
      </c>
      <c r="BF19" s="51">
        <f>(0.05+0.1+0.06)*-N63</f>
        <v>-1646.1839604899619</v>
      </c>
      <c r="BG19" s="53"/>
      <c r="BI19" s="9">
        <v>2028</v>
      </c>
      <c r="BJ19" s="9">
        <v>7838.9712404283891</v>
      </c>
      <c r="BK19" s="9">
        <f>V63</f>
        <v>-4704.8663782305466</v>
      </c>
      <c r="BL19" s="9">
        <f t="shared" si="1"/>
        <v>3134.1048621978425</v>
      </c>
      <c r="BM19" s="9">
        <f t="shared" si="2"/>
        <v>313.41048621978427</v>
      </c>
      <c r="BN19" s="9">
        <f t="shared" si="3"/>
        <v>2820.6943759780584</v>
      </c>
    </row>
    <row r="20" spans="2:66" x14ac:dyDescent="0.3">
      <c r="B20" s="2">
        <v>2029</v>
      </c>
      <c r="C20" s="42">
        <f t="shared" si="4"/>
        <v>69.810473269244554</v>
      </c>
      <c r="D20" s="42"/>
      <c r="E20" s="42"/>
      <c r="F20" s="42"/>
      <c r="G20" s="5">
        <f t="shared" si="5"/>
        <v>110.98449129017796</v>
      </c>
      <c r="H20" s="42">
        <f t="shared" si="5"/>
        <v>-39.954416864464065</v>
      </c>
      <c r="I20" s="42"/>
      <c r="J20" s="43">
        <f t="shared" si="0"/>
        <v>4958.6431120087509</v>
      </c>
      <c r="K20" s="43"/>
      <c r="N20" s="9">
        <v>2029</v>
      </c>
      <c r="O20" s="9">
        <f t="shared" si="6"/>
        <v>7.9343716147200034</v>
      </c>
      <c r="P20" s="9">
        <f t="shared" si="16"/>
        <v>54.672163197132001</v>
      </c>
      <c r="Q20" s="9">
        <f>0.6*I43</f>
        <v>-31.963533491571244</v>
      </c>
      <c r="R20" s="9">
        <f t="shared" si="7"/>
        <v>180.17870694498873</v>
      </c>
      <c r="AA20" s="9">
        <v>2029</v>
      </c>
      <c r="AB20" s="9">
        <v>0</v>
      </c>
      <c r="AC20" s="9">
        <f t="shared" si="8"/>
        <v>53.333333333333336</v>
      </c>
      <c r="AF20" s="9">
        <v>2029</v>
      </c>
      <c r="AG20" s="9">
        <v>-562.84016906250019</v>
      </c>
      <c r="AH20" s="9"/>
      <c r="AI20" s="9">
        <f t="shared" si="9"/>
        <v>-56.284016906250024</v>
      </c>
      <c r="AJ20" s="9"/>
      <c r="AK20" s="9">
        <v>-40</v>
      </c>
      <c r="AL20" s="9"/>
      <c r="AM20" s="9">
        <f t="shared" si="10"/>
        <v>-602.84016906250019</v>
      </c>
      <c r="AP20" s="9">
        <v>2029</v>
      </c>
      <c r="AQ20">
        <f t="shared" si="11"/>
        <v>-703.55021132812522</v>
      </c>
      <c r="AR20" s="9"/>
      <c r="AS20" s="9">
        <f t="shared" si="12"/>
        <v>-1330.0099402343747</v>
      </c>
      <c r="AV20" s="9">
        <v>2029</v>
      </c>
      <c r="AW20" s="9">
        <f t="shared" si="13"/>
        <v>-665.90694774106771</v>
      </c>
      <c r="AX20" s="9">
        <f t="shared" si="14"/>
        <v>59.970138813132984</v>
      </c>
      <c r="BA20" s="9">
        <v>2029</v>
      </c>
      <c r="BB20" s="2">
        <f t="shared" si="15"/>
        <v>36.896215962746105</v>
      </c>
      <c r="BE20" s="9">
        <v>2029</v>
      </c>
      <c r="BF20" s="51">
        <f>(0.05+0.1+0.06)*-N64</f>
        <v>-1787.6772657955025</v>
      </c>
      <c r="BG20" s="53"/>
      <c r="BI20" s="9">
        <v>2029</v>
      </c>
      <c r="BJ20" s="9">
        <v>8512.7488847404875</v>
      </c>
      <c r="BK20" s="9">
        <f>V64</f>
        <v>-5089.9845341615701</v>
      </c>
      <c r="BL20" s="9">
        <f t="shared" si="1"/>
        <v>3422.7643505789174</v>
      </c>
      <c r="BM20" s="9">
        <f t="shared" si="2"/>
        <v>342.27643505789177</v>
      </c>
      <c r="BN20" s="9">
        <f t="shared" si="3"/>
        <v>3080.4879155210256</v>
      </c>
    </row>
    <row r="21" spans="2:66" x14ac:dyDescent="0.3">
      <c r="B21" s="2">
        <v>2030</v>
      </c>
      <c r="C21" s="42">
        <f t="shared" si="4"/>
        <v>73.300996932706781</v>
      </c>
      <c r="D21" s="42"/>
      <c r="E21" s="42"/>
      <c r="F21" s="42"/>
      <c r="G21" s="5">
        <f t="shared" si="5"/>
        <v>112.64925865953062</v>
      </c>
      <c r="H21" s="42">
        <f t="shared" si="5"/>
        <v>-40.553733117431022</v>
      </c>
      <c r="I21" s="42"/>
      <c r="J21" s="43">
        <f t="shared" si="0"/>
        <v>5284.6738966233261</v>
      </c>
      <c r="K21" s="43"/>
      <c r="N21" s="9">
        <v>2030</v>
      </c>
      <c r="O21" s="9">
        <f t="shared" si="6"/>
        <v>8.5691213438976046</v>
      </c>
      <c r="P21" s="9">
        <f t="shared" si="16"/>
        <v>55.492245645088978</v>
      </c>
      <c r="Q21" s="9">
        <f>0.6*I44</f>
        <v>-32.442986493944808</v>
      </c>
      <c r="R21" s="9">
        <f t="shared" si="7"/>
        <v>197.5118985530967</v>
      </c>
      <c r="AA21" s="9">
        <v>2030</v>
      </c>
      <c r="AB21" s="9">
        <v>0</v>
      </c>
      <c r="AC21" s="9">
        <f t="shared" si="8"/>
        <v>53.333333333333336</v>
      </c>
      <c r="AF21" s="9">
        <v>2030</v>
      </c>
      <c r="AG21" s="9">
        <v>-590.98217751562504</v>
      </c>
      <c r="AH21" s="9"/>
      <c r="AI21" s="9">
        <f t="shared" si="9"/>
        <v>-59.098217751562508</v>
      </c>
      <c r="AJ21" s="9"/>
      <c r="AK21" s="9">
        <v>-40</v>
      </c>
      <c r="AL21" s="9"/>
      <c r="AM21" s="9">
        <f t="shared" si="10"/>
        <v>-630.98217751562504</v>
      </c>
      <c r="AP21" s="9">
        <v>2030</v>
      </c>
      <c r="AQ21">
        <f t="shared" si="11"/>
        <v>-738.72772189453156</v>
      </c>
      <c r="AR21" s="9"/>
      <c r="AS21" s="9">
        <f t="shared" si="12"/>
        <v>-1529.5114312695307</v>
      </c>
      <c r="AV21" s="9">
        <v>2030</v>
      </c>
      <c r="AW21" s="9">
        <f t="shared" si="13"/>
        <v>-675.89555195718367</v>
      </c>
      <c r="AX21" s="9">
        <f t="shared" si="14"/>
        <v>64.767749918183625</v>
      </c>
      <c r="BA21" s="9">
        <v>2030</v>
      </c>
      <c r="BB21" s="2">
        <f t="shared" si="15"/>
        <v>38.003102441628492</v>
      </c>
      <c r="BE21" s="9">
        <v>2030</v>
      </c>
      <c r="BF21" s="51">
        <f>(0.05+0.1+0.06)*-N65</f>
        <v>-1942.326826466739</v>
      </c>
      <c r="BG21" s="53"/>
      <c r="BI21" s="9">
        <v>2030</v>
      </c>
      <c r="BJ21" s="9">
        <v>9249.1753641273281</v>
      </c>
      <c r="BK21" s="9">
        <f>V65</f>
        <v>-5517.4437091036107</v>
      </c>
      <c r="BL21" s="9">
        <f t="shared" si="1"/>
        <v>3731.7316550237174</v>
      </c>
      <c r="BM21" s="9">
        <f t="shared" si="2"/>
        <v>373.17316550237177</v>
      </c>
      <c r="BN21" s="9">
        <f t="shared" si="3"/>
        <v>3358.5584895213456</v>
      </c>
    </row>
    <row r="22" spans="2:66" x14ac:dyDescent="0.3">
      <c r="B22" s="2">
        <v>2031</v>
      </c>
      <c r="C22" s="42">
        <f t="shared" si="4"/>
        <v>76.966046779342122</v>
      </c>
      <c r="D22" s="42"/>
      <c r="E22" s="42"/>
      <c r="F22" s="42"/>
      <c r="G22" s="5">
        <f t="shared" si="5"/>
        <v>114.33899753942356</v>
      </c>
      <c r="H22" s="42">
        <f t="shared" si="5"/>
        <v>-41.162039114192481</v>
      </c>
      <c r="I22" s="42"/>
      <c r="J22" s="43">
        <f t="shared" si="0"/>
        <v>5632.1412053263084</v>
      </c>
      <c r="K22" s="43"/>
      <c r="N22" s="9">
        <v>2031</v>
      </c>
      <c r="O22" s="9">
        <f t="shared" si="6"/>
        <v>9.2546510514094145</v>
      </c>
      <c r="P22" s="9">
        <f t="shared" si="16"/>
        <v>56.324629329765308</v>
      </c>
      <c r="Q22" s="9">
        <f>0.6*I45</f>
        <v>-32.929631291353978</v>
      </c>
      <c r="R22" s="9">
        <f t="shared" si="7"/>
        <v>216.51254319390461</v>
      </c>
      <c r="AA22" s="9">
        <v>2031</v>
      </c>
      <c r="AB22" s="9">
        <v>0</v>
      </c>
      <c r="AC22" s="9">
        <f t="shared" si="8"/>
        <v>53.333333333333336</v>
      </c>
      <c r="AF22" s="9">
        <v>2031</v>
      </c>
      <c r="AG22" s="9">
        <v>-620.53128639140698</v>
      </c>
      <c r="AH22" s="9"/>
      <c r="AI22" s="9">
        <f>0.1*AG22</f>
        <v>-62.053128639140702</v>
      </c>
      <c r="AJ22" s="9"/>
      <c r="AK22" s="9">
        <v>-40</v>
      </c>
      <c r="AL22" s="9"/>
      <c r="AM22" s="9">
        <f t="shared" si="10"/>
        <v>-660.53128639140698</v>
      </c>
      <c r="AP22" s="9">
        <v>2031</v>
      </c>
      <c r="AQ22">
        <f t="shared" si="11"/>
        <v>-775.66410798925813</v>
      </c>
      <c r="AR22" s="9"/>
      <c r="AS22" s="9">
        <f t="shared" si="12"/>
        <v>-1758.9381459599601</v>
      </c>
      <c r="AV22" s="9">
        <v>2031</v>
      </c>
      <c r="AW22" s="9">
        <f t="shared" si="13"/>
        <v>-686.03398523654141</v>
      </c>
      <c r="AX22" s="9">
        <f t="shared" si="14"/>
        <v>69.949169911638322</v>
      </c>
      <c r="BA22" s="9">
        <v>2031</v>
      </c>
      <c r="BB22" s="2">
        <f t="shared" si="15"/>
        <v>39.143195514877348</v>
      </c>
      <c r="BE22" s="9">
        <v>2031</v>
      </c>
      <c r="BF22" s="51">
        <f>(0.05+0.1+0.06)*-N66</f>
        <v>-2111.4444964733188</v>
      </c>
      <c r="BG22" s="53"/>
      <c r="BI22" s="9">
        <v>2031</v>
      </c>
      <c r="BJ22" s="9">
        <v>10054.497602253898</v>
      </c>
      <c r="BK22" s="9">
        <f>V66</f>
        <v>-5992.6120220504854</v>
      </c>
      <c r="BL22" s="9">
        <f t="shared" si="1"/>
        <v>4061.8855802034122</v>
      </c>
      <c r="BM22" s="9">
        <f t="shared" si="2"/>
        <v>406.18855802034125</v>
      </c>
      <c r="BN22" s="9">
        <f t="shared" si="3"/>
        <v>3655.6970221830711</v>
      </c>
    </row>
    <row r="23" spans="2:66" x14ac:dyDescent="0.3">
      <c r="B23" s="2">
        <v>2032</v>
      </c>
      <c r="C23" s="42">
        <f t="shared" si="4"/>
        <v>80.814349118309238</v>
      </c>
      <c r="D23" s="42"/>
      <c r="E23" s="42"/>
      <c r="F23" s="42"/>
      <c r="G23" s="5">
        <f t="shared" si="5"/>
        <v>116.0540825025149</v>
      </c>
      <c r="H23" s="42">
        <f t="shared" si="5"/>
        <v>-41.779469700905366</v>
      </c>
      <c r="I23" s="42"/>
      <c r="J23" s="43">
        <f t="shared" ref="J23:J24" si="17">C23*(G23+H23)</f>
        <v>6002.4544895765139</v>
      </c>
      <c r="K23" s="43"/>
      <c r="N23" s="9">
        <v>2032</v>
      </c>
      <c r="O23" s="9">
        <f t="shared" si="6"/>
        <v>9.9950231355221675</v>
      </c>
      <c r="P23" s="9">
        <f t="shared" si="16"/>
        <v>57.16949876971178</v>
      </c>
      <c r="Q23" s="9">
        <f>0.6*I46</f>
        <v>-33.42357576072429</v>
      </c>
      <c r="R23" s="9">
        <f t="shared" si="7"/>
        <v>237.34104984915811</v>
      </c>
      <c r="AA23" s="9">
        <v>2032</v>
      </c>
      <c r="AB23" s="9">
        <v>0</v>
      </c>
      <c r="AC23" s="9">
        <f t="shared" si="8"/>
        <v>53.333333333333336</v>
      </c>
      <c r="AF23" s="9">
        <v>2032</v>
      </c>
      <c r="AG23" s="9">
        <v>-629.23568</v>
      </c>
      <c r="AH23" s="9"/>
      <c r="AI23" s="9">
        <f>0.1*AG23</f>
        <v>-62.923568000000003</v>
      </c>
      <c r="AJ23" s="9"/>
      <c r="AK23" s="9">
        <v>-40</v>
      </c>
      <c r="AL23" s="9"/>
      <c r="AM23" s="9">
        <f t="shared" si="10"/>
        <v>-669.23568</v>
      </c>
      <c r="AP23" s="9">
        <v>2032</v>
      </c>
      <c r="AQ23">
        <f t="shared" si="11"/>
        <v>-814.44731338872111</v>
      </c>
      <c r="AR23" s="9"/>
      <c r="AS23" s="9">
        <f t="shared" si="12"/>
        <v>-2022.7788678539539</v>
      </c>
      <c r="AV23" s="41">
        <v>2032</v>
      </c>
      <c r="AW23" s="9">
        <f t="shared" si="13"/>
        <v>-696.3244950150895</v>
      </c>
      <c r="AX23" s="9">
        <f t="shared" si="14"/>
        <v>75.545103504569397</v>
      </c>
      <c r="BA23" s="9">
        <v>2032</v>
      </c>
      <c r="BB23" s="2">
        <f t="shared" si="15"/>
        <v>40.317491380323666</v>
      </c>
      <c r="BE23" s="9">
        <v>2032</v>
      </c>
      <c r="BF23" s="51">
        <f>(0.5+0.1+0.06)*-N67</f>
        <v>-7217.5093333987561</v>
      </c>
      <c r="BG23" s="53"/>
      <c r="BI23" s="9">
        <v>2032</v>
      </c>
      <c r="BJ23" s="9">
        <v>10935.620202119329</v>
      </c>
      <c r="BK23" s="9">
        <f>V67</f>
        <v>-11420.295689656519</v>
      </c>
      <c r="BL23" s="9">
        <f t="shared" si="1"/>
        <v>-484.67548753718984</v>
      </c>
      <c r="BM23" s="9">
        <f t="shared" si="2"/>
        <v>-48.467548753718987</v>
      </c>
      <c r="BN23" s="9">
        <f t="shared" si="3"/>
        <v>-436.20793878347087</v>
      </c>
    </row>
    <row r="24" spans="2:66" x14ac:dyDescent="0.3">
      <c r="B24" s="2">
        <v>2033</v>
      </c>
      <c r="C24" s="42">
        <f t="shared" ref="C24:C28" si="18">C23*(1+0.05)</f>
        <v>84.855066574224708</v>
      </c>
      <c r="D24" s="42"/>
      <c r="E24" s="42"/>
      <c r="F24" s="42"/>
      <c r="G24" s="5">
        <f t="shared" si="5"/>
        <v>117.79489374005261</v>
      </c>
      <c r="H24" s="42">
        <f t="shared" ref="H24:H28" si="19">H23*1.015</f>
        <v>-42.406161746418945</v>
      </c>
      <c r="I24" s="42"/>
      <c r="J24" s="43">
        <f t="shared" ref="J24:J28" si="20">C24*(G24+H24)</f>
        <v>6397.1158722661694</v>
      </c>
      <c r="K24" s="43"/>
      <c r="N24" s="9">
        <v>2033</v>
      </c>
      <c r="O24" s="9">
        <f t="shared" si="6"/>
        <v>10.794624986363942</v>
      </c>
      <c r="P24" s="9">
        <f t="shared" si="16"/>
        <v>58.027041251257451</v>
      </c>
      <c r="Q24" s="9">
        <f t="shared" ref="Q24:Q28" si="21">0.6*I47</f>
        <v>-33.924929397135145</v>
      </c>
      <c r="R24" s="9">
        <f t="shared" si="7"/>
        <v>260.17325884464719</v>
      </c>
      <c r="AA24" s="9">
        <v>2033</v>
      </c>
      <c r="AB24" s="9">
        <v>0</v>
      </c>
      <c r="AC24" s="9">
        <f t="shared" si="8"/>
        <v>53.333333333333336</v>
      </c>
      <c r="AF24" s="9">
        <v>2033</v>
      </c>
      <c r="AG24" s="9">
        <v>-640.23567000000003</v>
      </c>
      <c r="AI24" s="9">
        <f>0.1*AG24</f>
        <v>-64.023567</v>
      </c>
      <c r="AK24" s="9">
        <v>-40</v>
      </c>
      <c r="AM24" s="9">
        <f t="shared" si="10"/>
        <v>-680.23567000000003</v>
      </c>
      <c r="AP24" s="9">
        <v>2033</v>
      </c>
      <c r="AQ24">
        <f t="shared" si="11"/>
        <v>-855.16967905815716</v>
      </c>
      <c r="AS24" s="9">
        <f t="shared" si="12"/>
        <v>-2326.1956980320469</v>
      </c>
      <c r="AV24" s="41">
        <v>2033</v>
      </c>
      <c r="AW24" s="9">
        <f t="shared" si="13"/>
        <v>-706.76936244031572</v>
      </c>
      <c r="AX24" s="9">
        <f t="shared" si="14"/>
        <v>81.588711784934958</v>
      </c>
      <c r="BA24" s="9">
        <v>2033</v>
      </c>
      <c r="BB24" s="2">
        <f t="shared" si="15"/>
        <v>41.527016121733375</v>
      </c>
      <c r="BE24" s="9">
        <v>2033</v>
      </c>
      <c r="BF24" s="51">
        <v>-3623.15</v>
      </c>
      <c r="BG24" s="53"/>
      <c r="BI24" s="9">
        <v>2033</v>
      </c>
      <c r="BJ24" s="9">
        <v>10936.6202021193</v>
      </c>
      <c r="BK24" s="9">
        <v>-7779.6956499999997</v>
      </c>
      <c r="BL24" s="9">
        <f t="shared" si="1"/>
        <v>3156.9245521193006</v>
      </c>
      <c r="BM24" s="9">
        <f t="shared" si="2"/>
        <v>315.69245521193011</v>
      </c>
      <c r="BN24" s="9">
        <f>BL24-BM24</f>
        <v>2841.2320969073708</v>
      </c>
    </row>
    <row r="25" spans="2:66" x14ac:dyDescent="0.3">
      <c r="B25" s="2">
        <v>2034</v>
      </c>
      <c r="C25" s="42">
        <f t="shared" si="18"/>
        <v>89.097819902935953</v>
      </c>
      <c r="D25" s="42"/>
      <c r="E25" s="42"/>
      <c r="F25" s="42"/>
      <c r="G25" s="5">
        <f t="shared" si="5"/>
        <v>119.56181714615339</v>
      </c>
      <c r="H25" s="42">
        <f t="shared" si="19"/>
        <v>-43.042254172615223</v>
      </c>
      <c r="I25" s="42"/>
      <c r="J25" s="43">
        <f t="shared" si="20"/>
        <v>6817.7262408676706</v>
      </c>
      <c r="K25" s="43"/>
      <c r="N25" s="9">
        <v>2034</v>
      </c>
      <c r="O25" s="9">
        <f t="shared" si="6"/>
        <v>11.658194985273058</v>
      </c>
      <c r="P25" s="9">
        <f t="shared" si="16"/>
        <v>58.897446870026307</v>
      </c>
      <c r="Q25" s="9">
        <f t="shared" si="21"/>
        <v>-34.433803338092169</v>
      </c>
      <c r="R25" s="9">
        <f t="shared" si="7"/>
        <v>285.20192634550227</v>
      </c>
      <c r="AA25" s="9">
        <v>2034</v>
      </c>
      <c r="AB25" s="9">
        <v>0</v>
      </c>
      <c r="AC25" s="9">
        <f t="shared" si="8"/>
        <v>53.333333333333336</v>
      </c>
      <c r="AF25" s="9">
        <v>2034</v>
      </c>
      <c r="AG25" s="9">
        <v>-665.65894000000003</v>
      </c>
      <c r="AI25" s="9">
        <f t="shared" si="9"/>
        <v>-66.565894</v>
      </c>
      <c r="AK25" s="9">
        <v>-40</v>
      </c>
      <c r="AM25" s="9">
        <f t="shared" si="10"/>
        <v>-705.65894000000003</v>
      </c>
      <c r="AP25" s="9">
        <v>2034</v>
      </c>
      <c r="AQ25">
        <f t="shared" si="11"/>
        <v>-897.92816301106507</v>
      </c>
      <c r="AS25" s="9">
        <f t="shared" si="12"/>
        <v>-2675.1250527368538</v>
      </c>
      <c r="AV25" s="41">
        <v>2034</v>
      </c>
      <c r="AW25" s="9">
        <f t="shared" si="13"/>
        <v>-717.37090287692035</v>
      </c>
      <c r="AX25" s="9">
        <f t="shared" si="14"/>
        <v>88.115808727729757</v>
      </c>
      <c r="BA25" s="9">
        <v>2034</v>
      </c>
      <c r="BB25" s="2">
        <f t="shared" si="15"/>
        <v>42.772826605385376</v>
      </c>
      <c r="BE25" s="9">
        <v>2034</v>
      </c>
      <c r="BF25" s="51">
        <v>-2623.55</v>
      </c>
      <c r="BG25" s="53"/>
      <c r="BI25" s="9">
        <v>2034</v>
      </c>
      <c r="BJ25" s="9">
        <v>10937.6202021193</v>
      </c>
      <c r="BK25" s="9">
        <f>V69</f>
        <v>-7589.6330586248396</v>
      </c>
      <c r="BL25" s="9">
        <f t="shared" si="1"/>
        <v>3347.9871434944607</v>
      </c>
      <c r="BM25" s="9">
        <f t="shared" si="2"/>
        <v>334.79871434944607</v>
      </c>
      <c r="BN25" s="9">
        <f t="shared" si="3"/>
        <v>3013.1884291450147</v>
      </c>
    </row>
    <row r="26" spans="2:66" x14ac:dyDescent="0.3">
      <c r="B26" s="2">
        <v>2035</v>
      </c>
      <c r="C26" s="42">
        <f t="shared" si="18"/>
        <v>93.552710898082751</v>
      </c>
      <c r="D26" s="42"/>
      <c r="E26" s="42"/>
      <c r="F26" s="42"/>
      <c r="G26" s="5">
        <f t="shared" si="5"/>
        <v>121.35524440334568</v>
      </c>
      <c r="H26" s="42">
        <f t="shared" si="19"/>
        <v>-43.687887985204448</v>
      </c>
      <c r="I26" s="42"/>
      <c r="J26" s="43">
        <f t="shared" si="20"/>
        <v>7265.991741204718</v>
      </c>
      <c r="K26" s="43"/>
      <c r="N26" s="9">
        <v>2035</v>
      </c>
      <c r="O26" s="9">
        <f t="shared" si="6"/>
        <v>12.590850584094904</v>
      </c>
      <c r="P26" s="9">
        <f t="shared" si="16"/>
        <v>59.780908573076694</v>
      </c>
      <c r="Q26" s="9">
        <f t="shared" si="21"/>
        <v>-34.950310388163551</v>
      </c>
      <c r="R26" s="9">
        <f t="shared" si="7"/>
        <v>312.63835165993947</v>
      </c>
      <c r="AA26" s="9">
        <v>2035</v>
      </c>
      <c r="AB26" s="9">
        <v>0</v>
      </c>
      <c r="AC26" s="9">
        <f t="shared" si="8"/>
        <v>53.333333333333336</v>
      </c>
      <c r="AF26" s="9">
        <v>2035</v>
      </c>
      <c r="AG26" s="9">
        <v>-678.56874000000005</v>
      </c>
      <c r="AI26" s="9">
        <f t="shared" si="9"/>
        <v>-67.856874000000005</v>
      </c>
      <c r="AK26" s="9">
        <v>-40</v>
      </c>
      <c r="AM26" s="9">
        <f t="shared" si="10"/>
        <v>-718.56874000000005</v>
      </c>
      <c r="AP26" s="9">
        <v>2035</v>
      </c>
      <c r="AQ26">
        <f t="shared" si="11"/>
        <v>-942.82457116161834</v>
      </c>
      <c r="AS26" s="9">
        <f t="shared" si="12"/>
        <v>-3076.3938106473815</v>
      </c>
      <c r="AV26" s="41">
        <v>2035</v>
      </c>
      <c r="AW26" s="9">
        <f t="shared" si="13"/>
        <v>-728.13146642007405</v>
      </c>
      <c r="AX26" s="9">
        <f t="shared" si="14"/>
        <v>95.165073425948137</v>
      </c>
      <c r="BA26" s="9">
        <v>2035</v>
      </c>
      <c r="BB26" s="2">
        <f t="shared" si="15"/>
        <v>44.05601140354694</v>
      </c>
      <c r="BE26" s="9">
        <v>2035</v>
      </c>
      <c r="BF26" s="51">
        <v>-1942.28</v>
      </c>
      <c r="BG26" s="53"/>
      <c r="BI26" s="9">
        <v>2035</v>
      </c>
      <c r="BJ26" s="9">
        <v>10938.6202021193</v>
      </c>
      <c r="BK26" s="9">
        <f>V70</f>
        <v>-7377.298588229075</v>
      </c>
      <c r="BL26" s="9">
        <f t="shared" si="1"/>
        <v>3561.3216138902253</v>
      </c>
      <c r="BM26" s="9">
        <f t="shared" si="2"/>
        <v>356.13216138902254</v>
      </c>
      <c r="BN26" s="9">
        <f t="shared" si="3"/>
        <v>3205.1894525012026</v>
      </c>
    </row>
    <row r="27" spans="2:66" x14ac:dyDescent="0.3">
      <c r="B27" s="2">
        <v>2036</v>
      </c>
      <c r="C27" s="42">
        <f t="shared" si="18"/>
        <v>98.230346442986885</v>
      </c>
      <c r="D27" s="42"/>
      <c r="E27" s="42"/>
      <c r="F27" s="42"/>
      <c r="G27" s="5">
        <f t="shared" si="5"/>
        <v>123.17557306939585</v>
      </c>
      <c r="H27" s="42">
        <f t="shared" si="19"/>
        <v>-44.343206304982509</v>
      </c>
      <c r="I27" s="42"/>
      <c r="J27" s="43">
        <f t="shared" si="20"/>
        <v>7743.7306981889269</v>
      </c>
      <c r="K27" s="43"/>
      <c r="N27" s="9">
        <v>2036</v>
      </c>
      <c r="O27" s="9">
        <f t="shared" si="6"/>
        <v>13.598118630822498</v>
      </c>
      <c r="P27" s="9">
        <f t="shared" si="16"/>
        <v>60.67762220167284</v>
      </c>
      <c r="Q27" s="9">
        <f t="shared" si="21"/>
        <v>-35.474565043985997</v>
      </c>
      <c r="R27" s="9">
        <f t="shared" si="7"/>
        <v>342.71416108962575</v>
      </c>
      <c r="AA27" s="9">
        <v>2036</v>
      </c>
      <c r="AB27" s="9">
        <v>0</v>
      </c>
      <c r="AC27" s="9">
        <f t="shared" si="8"/>
        <v>53.333333333333336</v>
      </c>
      <c r="AF27" s="9">
        <v>2036</v>
      </c>
      <c r="AG27" s="9">
        <v>-685.34712000000002</v>
      </c>
      <c r="AI27" s="9">
        <f t="shared" si="9"/>
        <v>-68.534711999999999</v>
      </c>
      <c r="AK27" s="9">
        <v>-40</v>
      </c>
      <c r="AM27" s="9">
        <f t="shared" si="10"/>
        <v>-725.34712000000002</v>
      </c>
      <c r="AP27" s="9">
        <v>2036</v>
      </c>
      <c r="AQ27">
        <f t="shared" si="11"/>
        <v>-989.96579971969925</v>
      </c>
      <c r="AS27" s="9">
        <f t="shared" si="12"/>
        <v>-3537.8528822444887</v>
      </c>
      <c r="AV27" s="120">
        <v>2036</v>
      </c>
      <c r="AW27" s="120">
        <f t="shared" si="13"/>
        <v>-739.05343841637512</v>
      </c>
      <c r="AX27" s="120">
        <f t="shared" si="14"/>
        <v>102.778279300024</v>
      </c>
      <c r="BA27" s="9">
        <v>2036</v>
      </c>
      <c r="BB27" s="2">
        <f t="shared" si="15"/>
        <v>45.377691745653351</v>
      </c>
      <c r="BE27" s="9">
        <v>2036</v>
      </c>
      <c r="BF27" s="51">
        <v>-1189.8800000000001</v>
      </c>
      <c r="BG27" s="53"/>
      <c r="BI27" s="9">
        <v>2036</v>
      </c>
      <c r="BJ27" s="9">
        <v>10939.6202021193</v>
      </c>
      <c r="BK27" s="9">
        <f>V71</f>
        <v>-7150.2722403805628</v>
      </c>
      <c r="BL27" s="9">
        <f t="shared" si="1"/>
        <v>3789.3479617387375</v>
      </c>
      <c r="BM27" s="9">
        <f t="shared" si="2"/>
        <v>378.93479617387379</v>
      </c>
      <c r="BN27" s="9">
        <f t="shared" si="3"/>
        <v>3410.4131655648634</v>
      </c>
    </row>
    <row r="28" spans="2:66" x14ac:dyDescent="0.3">
      <c r="B28" s="69">
        <v>2037</v>
      </c>
      <c r="C28" s="42">
        <f t="shared" si="18"/>
        <v>103.14186376513624</v>
      </c>
      <c r="D28" s="42"/>
      <c r="E28" s="42"/>
      <c r="F28" s="42"/>
      <c r="G28" s="5">
        <f t="shared" si="5"/>
        <v>125.02320666543677</v>
      </c>
      <c r="H28" s="42">
        <f t="shared" si="19"/>
        <v>-45.008354399557241</v>
      </c>
      <c r="I28" s="42"/>
      <c r="J28" s="43">
        <f t="shared" si="20"/>
        <v>8252.8809915948495</v>
      </c>
      <c r="K28" s="43"/>
      <c r="N28" s="9">
        <v>2037</v>
      </c>
      <c r="O28" s="9">
        <f t="shared" si="6"/>
        <v>14.685968121288299</v>
      </c>
      <c r="P28" s="9">
        <f t="shared" si="16"/>
        <v>61.587786534697926</v>
      </c>
      <c r="Q28" s="9">
        <f t="shared" si="21"/>
        <v>-36.00668351964579</v>
      </c>
      <c r="R28" s="9">
        <f t="shared" si="7"/>
        <v>375.68326338644766</v>
      </c>
      <c r="AA28" s="9">
        <v>2037</v>
      </c>
      <c r="AB28" s="9">
        <v>0</v>
      </c>
      <c r="AC28" s="9">
        <f t="shared" si="8"/>
        <v>53.333333333333336</v>
      </c>
      <c r="AF28" s="9">
        <v>2037</v>
      </c>
      <c r="AG28" s="9">
        <v>-698.36585000000002</v>
      </c>
      <c r="AI28" s="9">
        <f t="shared" si="9"/>
        <v>-69.836584999999999</v>
      </c>
      <c r="AK28" s="9">
        <v>-40</v>
      </c>
      <c r="AM28" s="9">
        <f t="shared" si="10"/>
        <v>-738.36585000000002</v>
      </c>
      <c r="AP28" s="9">
        <v>2037</v>
      </c>
      <c r="AQ28">
        <f t="shared" si="11"/>
        <v>-1039.4640897056843</v>
      </c>
      <c r="AS28" s="9">
        <f t="shared" si="12"/>
        <v>-4068.5308145811618</v>
      </c>
      <c r="AV28" s="41">
        <v>2037</v>
      </c>
      <c r="AW28" s="9">
        <f t="shared" si="13"/>
        <v>-750.13923999262067</v>
      </c>
      <c r="AX28" s="9">
        <f t="shared" si="14"/>
        <v>111.00054164402593</v>
      </c>
      <c r="BA28" s="9">
        <v>2037</v>
      </c>
      <c r="BB28" s="2">
        <f t="shared" si="15"/>
        <v>46.739022498022955</v>
      </c>
      <c r="BE28" s="9">
        <v>2037</v>
      </c>
      <c r="BF28" s="51">
        <v>0</v>
      </c>
      <c r="BG28" s="53"/>
      <c r="BI28" s="9">
        <v>2037</v>
      </c>
      <c r="BJ28" s="9">
        <v>10940.6202021193</v>
      </c>
      <c r="BK28" s="9">
        <f>V72</f>
        <v>-6563.7181842794671</v>
      </c>
      <c r="BL28" s="9">
        <f t="shared" si="1"/>
        <v>4376.9020178398332</v>
      </c>
      <c r="BM28" s="9">
        <f t="shared" si="2"/>
        <v>437.69020178398335</v>
      </c>
      <c r="BN28" s="9">
        <f t="shared" si="3"/>
        <v>3939.2118160558498</v>
      </c>
    </row>
    <row r="29" spans="2:66" x14ac:dyDescent="0.3">
      <c r="B29" s="70"/>
    </row>
    <row r="35" spans="3:12" x14ac:dyDescent="0.3">
      <c r="C35" s="7" t="s">
        <v>3</v>
      </c>
      <c r="D35" s="44" t="s">
        <v>75</v>
      </c>
      <c r="E35" s="78"/>
      <c r="F35" s="78"/>
      <c r="G35" s="78"/>
      <c r="H35" s="7" t="s">
        <v>4</v>
      </c>
      <c r="I35" s="44" t="s">
        <v>2</v>
      </c>
      <c r="J35" s="44"/>
      <c r="K35" s="84" t="s">
        <v>5</v>
      </c>
      <c r="L35" s="85"/>
    </row>
    <row r="36" spans="3:12" x14ac:dyDescent="0.3">
      <c r="C36" s="9">
        <v>2022</v>
      </c>
      <c r="D36" s="9">
        <v>30</v>
      </c>
      <c r="E36" s="68"/>
      <c r="F36" s="68"/>
      <c r="G36" s="68"/>
      <c r="H36" s="76">
        <f>100</f>
        <v>100</v>
      </c>
      <c r="I36" s="9">
        <v>-48</v>
      </c>
      <c r="J36" s="9"/>
      <c r="K36" s="9">
        <f>D36*(H36+I36)</f>
        <v>1560</v>
      </c>
    </row>
    <row r="37" spans="3:12" x14ac:dyDescent="0.3">
      <c r="C37" s="9">
        <v>2023</v>
      </c>
      <c r="D37" s="9">
        <f>D36*(1+10%)</f>
        <v>33</v>
      </c>
      <c r="E37" s="68"/>
      <c r="F37" s="68"/>
      <c r="G37" s="68"/>
      <c r="H37" s="76">
        <f>H36*(1+1.5%)</f>
        <v>101.49999999999999</v>
      </c>
      <c r="I37" s="9">
        <f>I36*(1+1.5%)</f>
        <v>-48.72</v>
      </c>
      <c r="J37" s="9"/>
      <c r="K37" s="9">
        <f t="shared" ref="K37:K51" si="22">D37*(H37+I37)</f>
        <v>1741.7399999999996</v>
      </c>
    </row>
    <row r="38" spans="3:12" x14ac:dyDescent="0.3">
      <c r="C38" s="9">
        <v>2024</v>
      </c>
      <c r="D38" s="9">
        <f t="shared" ref="D38:D51" si="23">D37*(1+10%)</f>
        <v>36.300000000000004</v>
      </c>
      <c r="E38" s="68"/>
      <c r="F38" s="68"/>
      <c r="G38" s="68"/>
      <c r="H38" s="76">
        <f t="shared" ref="H38:I51" si="24">H37*(1+1.5%)</f>
        <v>103.02249999999998</v>
      </c>
      <c r="I38" s="9">
        <f t="shared" si="24"/>
        <v>-49.450799999999994</v>
      </c>
      <c r="J38" s="9"/>
      <c r="K38" s="9">
        <f t="shared" si="22"/>
        <v>1944.6527099999996</v>
      </c>
    </row>
    <row r="39" spans="3:12" x14ac:dyDescent="0.3">
      <c r="C39" s="9">
        <v>2025</v>
      </c>
      <c r="D39" s="9">
        <f t="shared" si="23"/>
        <v>39.930000000000007</v>
      </c>
      <c r="E39" s="68"/>
      <c r="F39" s="68"/>
      <c r="G39" s="68"/>
      <c r="H39" s="76">
        <f t="shared" si="24"/>
        <v>104.56783749999997</v>
      </c>
      <c r="I39" s="9">
        <f t="shared" si="24"/>
        <v>-50.192561999999988</v>
      </c>
      <c r="J39" s="9"/>
      <c r="K39" s="9">
        <f t="shared" si="22"/>
        <v>2171.2047507149996</v>
      </c>
    </row>
    <row r="40" spans="3:12" x14ac:dyDescent="0.3">
      <c r="C40" s="9">
        <v>2026</v>
      </c>
      <c r="D40" s="9">
        <f t="shared" si="23"/>
        <v>43.923000000000009</v>
      </c>
      <c r="E40" s="68"/>
      <c r="F40" s="68"/>
      <c r="G40" s="68"/>
      <c r="H40" s="76">
        <f t="shared" si="24"/>
        <v>106.13635506249996</v>
      </c>
      <c r="I40" s="9">
        <f t="shared" si="24"/>
        <v>-50.94545042999998</v>
      </c>
      <c r="J40" s="9"/>
      <c r="K40" s="9">
        <f t="shared" si="22"/>
        <v>2424.1501041732972</v>
      </c>
    </row>
    <row r="41" spans="3:12" x14ac:dyDescent="0.3">
      <c r="C41" s="9">
        <v>2027</v>
      </c>
      <c r="D41" s="9">
        <f t="shared" si="23"/>
        <v>48.315300000000015</v>
      </c>
      <c r="E41" s="68"/>
      <c r="F41" s="68"/>
      <c r="G41" s="68"/>
      <c r="H41" s="76">
        <f t="shared" si="24"/>
        <v>107.72840038843745</v>
      </c>
      <c r="I41" s="9">
        <f t="shared" si="24"/>
        <v>-51.709632186449973</v>
      </c>
      <c r="J41" s="9"/>
      <c r="K41" s="9">
        <f t="shared" si="22"/>
        <v>2706.5635913094866</v>
      </c>
    </row>
    <row r="42" spans="3:12" x14ac:dyDescent="0.3">
      <c r="C42" s="9">
        <v>2028</v>
      </c>
      <c r="D42" s="9">
        <f t="shared" si="23"/>
        <v>53.146830000000023</v>
      </c>
      <c r="E42" s="68"/>
      <c r="F42" s="68"/>
      <c r="G42" s="68"/>
      <c r="H42" s="76">
        <f t="shared" si="24"/>
        <v>109.344326394264</v>
      </c>
      <c r="I42" s="9">
        <f t="shared" si="24"/>
        <v>-52.485276669246716</v>
      </c>
      <c r="J42" s="9"/>
      <c r="K42" s="9">
        <f t="shared" si="22"/>
        <v>3021.8782496970416</v>
      </c>
    </row>
    <row r="43" spans="3:12" x14ac:dyDescent="0.3">
      <c r="C43" s="9">
        <v>2029</v>
      </c>
      <c r="D43" s="9">
        <f t="shared" si="23"/>
        <v>58.461513000000032</v>
      </c>
      <c r="E43" s="68"/>
      <c r="F43" s="68"/>
      <c r="G43" s="68"/>
      <c r="H43" s="76">
        <f t="shared" si="24"/>
        <v>110.98449129017796</v>
      </c>
      <c r="I43" s="9">
        <f t="shared" si="24"/>
        <v>-53.272555819285408</v>
      </c>
      <c r="J43" s="9"/>
      <c r="K43" s="9">
        <f t="shared" si="22"/>
        <v>3373.9270657867478</v>
      </c>
    </row>
    <row r="44" spans="3:12" x14ac:dyDescent="0.3">
      <c r="C44" s="9">
        <v>2030</v>
      </c>
      <c r="D44" s="9">
        <f t="shared" si="23"/>
        <v>64.307664300000042</v>
      </c>
      <c r="E44" s="68"/>
      <c r="F44" s="68"/>
      <c r="G44" s="68"/>
      <c r="H44" s="76">
        <f t="shared" si="24"/>
        <v>112.64925865953062</v>
      </c>
      <c r="I44" s="9">
        <f t="shared" si="24"/>
        <v>-54.071644156574685</v>
      </c>
      <c r="J44" s="9"/>
      <c r="K44" s="9">
        <f t="shared" si="22"/>
        <v>3766.989568950904</v>
      </c>
    </row>
    <row r="45" spans="3:12" x14ac:dyDescent="0.3">
      <c r="C45" s="9">
        <v>2031</v>
      </c>
      <c r="D45" s="9">
        <f t="shared" si="23"/>
        <v>70.738430730000047</v>
      </c>
      <c r="E45" s="68"/>
      <c r="F45" s="68"/>
      <c r="G45" s="68"/>
      <c r="H45" s="76">
        <f t="shared" si="24"/>
        <v>114.33899753942356</v>
      </c>
      <c r="I45" s="9">
        <f t="shared" si="24"/>
        <v>-54.882718818923301</v>
      </c>
      <c r="J45" s="9"/>
      <c r="K45" s="9">
        <f t="shared" si="22"/>
        <v>4205.8438537336833</v>
      </c>
    </row>
    <row r="46" spans="3:12" x14ac:dyDescent="0.3">
      <c r="C46" s="9">
        <v>2032</v>
      </c>
      <c r="D46" s="9">
        <f t="shared" si="23"/>
        <v>77.812273803000053</v>
      </c>
      <c r="E46" s="68"/>
      <c r="F46" s="68"/>
      <c r="G46" s="68"/>
      <c r="H46" s="76">
        <f t="shared" si="24"/>
        <v>116.0540825025149</v>
      </c>
      <c r="I46" s="9">
        <f t="shared" si="24"/>
        <v>-55.705959601207148</v>
      </c>
      <c r="J46" s="9"/>
      <c r="K46" s="9">
        <f t="shared" si="22"/>
        <v>4695.824662693657</v>
      </c>
    </row>
    <row r="47" spans="3:12" x14ac:dyDescent="0.3">
      <c r="C47" s="9">
        <v>2033</v>
      </c>
      <c r="D47" s="9">
        <f t="shared" si="23"/>
        <v>85.593501183300063</v>
      </c>
      <c r="H47" s="76">
        <f t="shared" si="24"/>
        <v>117.79489374005261</v>
      </c>
      <c r="I47" s="9">
        <f t="shared" si="24"/>
        <v>-56.541548995225249</v>
      </c>
      <c r="K47" s="9">
        <f t="shared" si="22"/>
        <v>5242.8882358974679</v>
      </c>
    </row>
    <row r="48" spans="3:12" x14ac:dyDescent="0.3">
      <c r="C48" s="9">
        <v>2034</v>
      </c>
      <c r="D48" s="9">
        <f t="shared" si="23"/>
        <v>94.152851301630079</v>
      </c>
      <c r="H48" s="76">
        <f t="shared" si="24"/>
        <v>119.56181714615339</v>
      </c>
      <c r="I48" s="9">
        <f t="shared" si="24"/>
        <v>-57.389672230153622</v>
      </c>
      <c r="K48" s="9">
        <f t="shared" si="22"/>
        <v>5853.6847153795225</v>
      </c>
    </row>
    <row r="49" spans="3:22" x14ac:dyDescent="0.3">
      <c r="C49" s="9">
        <v>2035</v>
      </c>
      <c r="D49" s="9">
        <f t="shared" si="23"/>
        <v>103.56813643179309</v>
      </c>
      <c r="H49" s="76">
        <f t="shared" si="24"/>
        <v>121.35524440334568</v>
      </c>
      <c r="I49" s="9">
        <f t="shared" si="24"/>
        <v>-58.250517313605918</v>
      </c>
      <c r="K49" s="9">
        <f t="shared" si="22"/>
        <v>6535.6389847212367</v>
      </c>
    </row>
    <row r="50" spans="3:22" x14ac:dyDescent="0.3">
      <c r="C50" s="9">
        <v>2036</v>
      </c>
      <c r="D50" s="9">
        <f t="shared" si="23"/>
        <v>113.92495007497241</v>
      </c>
      <c r="H50" s="76">
        <f t="shared" si="24"/>
        <v>123.17557306939585</v>
      </c>
      <c r="I50" s="9">
        <f t="shared" si="24"/>
        <v>-59.124275073310002</v>
      </c>
      <c r="K50" s="9">
        <f t="shared" si="22"/>
        <v>7297.040926441261</v>
      </c>
    </row>
    <row r="51" spans="3:22" x14ac:dyDescent="0.3">
      <c r="C51" s="9">
        <v>2037</v>
      </c>
      <c r="D51" s="9">
        <f t="shared" si="23"/>
        <v>125.31744508246966</v>
      </c>
      <c r="H51" s="76">
        <f t="shared" si="24"/>
        <v>125.02320666543677</v>
      </c>
      <c r="I51" s="9">
        <f t="shared" si="24"/>
        <v>-60.011139199409648</v>
      </c>
      <c r="K51" s="9">
        <f t="shared" si="22"/>
        <v>8147.1461943716677</v>
      </c>
    </row>
    <row r="55" spans="3:22" ht="23.4" x14ac:dyDescent="0.45">
      <c r="M55" s="87" t="s">
        <v>8</v>
      </c>
      <c r="N55" s="88"/>
      <c r="O55" s="89"/>
      <c r="U55" s="97" t="s">
        <v>29</v>
      </c>
      <c r="V55" s="97"/>
    </row>
    <row r="56" spans="3:22" x14ac:dyDescent="0.3">
      <c r="M56" s="11" t="s">
        <v>1</v>
      </c>
      <c r="N56" s="44" t="s">
        <v>9</v>
      </c>
      <c r="O56" s="44"/>
      <c r="U56" s="11" t="s">
        <v>30</v>
      </c>
      <c r="V56" s="11" t="s">
        <v>31</v>
      </c>
    </row>
    <row r="57" spans="3:22" x14ac:dyDescent="0.3">
      <c r="M57" s="9">
        <v>2022</v>
      </c>
      <c r="N57" s="59">
        <f>J13+R13+K36</f>
        <v>4735.232</v>
      </c>
      <c r="O57" s="60"/>
      <c r="U57" s="9">
        <v>2022</v>
      </c>
      <c r="V57" s="9">
        <f>AB13+AM13+AQ13+AS13+AW13+BB1+BF13</f>
        <v>-4074.3987200000001</v>
      </c>
    </row>
    <row r="58" spans="3:22" x14ac:dyDescent="0.3">
      <c r="M58" s="9">
        <v>2023</v>
      </c>
      <c r="N58" s="59">
        <f>J14+R14+K37</f>
        <v>5229.5835039999993</v>
      </c>
      <c r="O58" s="60"/>
      <c r="U58" s="9">
        <v>2023</v>
      </c>
      <c r="V58" s="9">
        <f>AB14+AM14+AQ14+AS14+AW14+BB2+BF14</f>
        <v>-3267.2125358399999</v>
      </c>
    </row>
    <row r="59" spans="3:22" x14ac:dyDescent="0.3">
      <c r="M59" s="9">
        <v>2024</v>
      </c>
      <c r="N59" s="59">
        <f>J15+R15+K38</f>
        <v>5664.9838523879989</v>
      </c>
      <c r="O59" s="60"/>
      <c r="U59" s="9">
        <v>2024</v>
      </c>
      <c r="V59" s="9">
        <f>AB15+AM15+AQ15+AS15+AW15+BB3+BF15</f>
        <v>-3501.2816090014794</v>
      </c>
    </row>
    <row r="60" spans="3:22" x14ac:dyDescent="0.3">
      <c r="M60" s="9">
        <v>2025</v>
      </c>
      <c r="N60" s="59">
        <f>J16+R16+K39</f>
        <v>6139.6137711886095</v>
      </c>
      <c r="O60" s="60"/>
      <c r="U60" s="9">
        <v>2025</v>
      </c>
      <c r="V60" s="9">
        <f>AB16+AM16+AQ16+AS16+AW16+BB4+BF16</f>
        <v>-3759.0259169496076</v>
      </c>
    </row>
    <row r="61" spans="3:22" x14ac:dyDescent="0.3">
      <c r="M61" s="9">
        <v>2026</v>
      </c>
      <c r="N61" s="59">
        <f>J17+R17+K40</f>
        <v>6657.2815625632065</v>
      </c>
      <c r="O61" s="60"/>
      <c r="U61" s="9">
        <v>2026</v>
      </c>
      <c r="V61" s="9">
        <f>AB17+AM17+AQ17+AS17+AW17+BB5+BF17</f>
        <v>-4043.3060085132729</v>
      </c>
    </row>
    <row r="62" spans="3:22" x14ac:dyDescent="0.3">
      <c r="M62" s="9">
        <v>2027</v>
      </c>
      <c r="N62" s="59">
        <f>J18+R18+K41</f>
        <v>7222.1885041203932</v>
      </c>
      <c r="O62" s="60"/>
      <c r="U62" s="9">
        <v>2027</v>
      </c>
      <c r="V62" s="9">
        <f>AB18+AM18+AQ18+AS18+AW18+BB6+BF18</f>
        <v>-4357.3619881959075</v>
      </c>
    </row>
    <row r="63" spans="3:22" x14ac:dyDescent="0.3">
      <c r="M63" s="9">
        <v>2028</v>
      </c>
      <c r="N63" s="59">
        <f>J19+R19+K42</f>
        <v>7838.9712404283891</v>
      </c>
      <c r="O63" s="60"/>
      <c r="U63" s="9">
        <v>2028</v>
      </c>
      <c r="V63" s="9">
        <f>AB19+AM19+AQ19+AS19+AW19+BB7+BF19</f>
        <v>-4704.8663782305466</v>
      </c>
    </row>
    <row r="64" spans="3:22" x14ac:dyDescent="0.3">
      <c r="M64" s="9">
        <v>2029</v>
      </c>
      <c r="N64" s="59">
        <f>J20+R20+K43</f>
        <v>8512.7488847404875</v>
      </c>
      <c r="O64" s="60"/>
      <c r="U64" s="9">
        <v>2029</v>
      </c>
      <c r="V64" s="9">
        <f>AB20+AM20+AQ20+AS20+AW20+BB8+BF20</f>
        <v>-5089.9845341615701</v>
      </c>
    </row>
    <row r="65" spans="13:22" x14ac:dyDescent="0.3">
      <c r="M65" s="9">
        <v>2030</v>
      </c>
      <c r="N65" s="59">
        <f>J21+R21+K44</f>
        <v>9249.1753641273281</v>
      </c>
      <c r="O65" s="60"/>
      <c r="U65" s="9">
        <v>2030</v>
      </c>
      <c r="V65" s="9">
        <f>AB21+AM21+AQ21+AS21+AW21+BB9+BF21</f>
        <v>-5517.4437091036107</v>
      </c>
    </row>
    <row r="66" spans="13:22" x14ac:dyDescent="0.3">
      <c r="M66" s="9">
        <v>2031</v>
      </c>
      <c r="N66" s="59">
        <f>J22+R22+K45</f>
        <v>10054.497602253898</v>
      </c>
      <c r="O66" s="60"/>
      <c r="U66" s="9">
        <v>2031</v>
      </c>
      <c r="V66" s="9">
        <f>AB22+AM22+AQ22+AS22+AW22+BB10+BF22</f>
        <v>-5992.6120220504854</v>
      </c>
    </row>
    <row r="67" spans="13:22" x14ac:dyDescent="0.3">
      <c r="M67" s="9">
        <v>2032</v>
      </c>
      <c r="N67" s="59">
        <f>J23+R23+K46</f>
        <v>10935.620202119329</v>
      </c>
      <c r="O67" s="60"/>
      <c r="U67" s="9">
        <v>2032</v>
      </c>
      <c r="V67" s="9">
        <f>AB23+AM23+AQ23+AS23+AW23+BB11+BF23</f>
        <v>-11420.295689656519</v>
      </c>
    </row>
    <row r="68" spans="13:22" x14ac:dyDescent="0.3">
      <c r="M68" s="9">
        <v>2033</v>
      </c>
      <c r="N68" s="59">
        <f t="shared" ref="N68:N72" si="25">J24+R24+K47</f>
        <v>11900.177367008284</v>
      </c>
      <c r="O68" s="60"/>
      <c r="U68" s="9">
        <v>2033</v>
      </c>
      <c r="V68" s="9">
        <v>-7779.6956499999997</v>
      </c>
    </row>
    <row r="69" spans="13:22" x14ac:dyDescent="0.3">
      <c r="M69" s="9">
        <v>2034</v>
      </c>
      <c r="N69" s="59">
        <f t="shared" si="25"/>
        <v>12956.612882592695</v>
      </c>
      <c r="O69" s="60"/>
      <c r="U69" s="9">
        <v>2034</v>
      </c>
      <c r="V69" s="9">
        <f>AB25+AM25+AQ25+AS25+AW25+BB13+BF25</f>
        <v>-7589.6330586248396</v>
      </c>
    </row>
    <row r="70" spans="13:22" x14ac:dyDescent="0.3">
      <c r="M70" s="9">
        <v>2035</v>
      </c>
      <c r="N70" s="59">
        <f t="shared" si="25"/>
        <v>14114.269077585894</v>
      </c>
      <c r="O70" s="60"/>
      <c r="U70" s="9">
        <v>2035</v>
      </c>
      <c r="V70" s="9">
        <f>AB26+AM26+AQ26+AS26+AW26+BB14+BF26</f>
        <v>-7377.298588229075</v>
      </c>
    </row>
    <row r="71" spans="13:22" x14ac:dyDescent="0.3">
      <c r="M71" s="9">
        <v>2036</v>
      </c>
      <c r="N71" s="59">
        <f t="shared" si="25"/>
        <v>15383.485785719815</v>
      </c>
      <c r="O71" s="60"/>
      <c r="U71" s="9">
        <v>2036</v>
      </c>
      <c r="V71" s="9">
        <f>AB27+AM27+AQ27+AS27+AW27+BB15+BF27</f>
        <v>-7150.2722403805628</v>
      </c>
    </row>
    <row r="72" spans="13:22" x14ac:dyDescent="0.3">
      <c r="M72" s="9">
        <v>2037</v>
      </c>
      <c r="N72" s="59">
        <f t="shared" si="25"/>
        <v>16775.710449352962</v>
      </c>
      <c r="O72" s="60"/>
      <c r="U72" s="9">
        <v>2037</v>
      </c>
      <c r="V72" s="9">
        <f>AB28+AM28+AQ28+AS28+AW28+BB16+BF28</f>
        <v>-6563.7181842794671</v>
      </c>
    </row>
  </sheetData>
  <mergeCells count="88">
    <mergeCell ref="BF24:BG24"/>
    <mergeCell ref="BF25:BG25"/>
    <mergeCell ref="BF26:BG26"/>
    <mergeCell ref="BF27:BG27"/>
    <mergeCell ref="BF28:BG28"/>
    <mergeCell ref="N56:O56"/>
    <mergeCell ref="M55:O55"/>
    <mergeCell ref="U55:V55"/>
    <mergeCell ref="BF18:BG18"/>
    <mergeCell ref="BF19:BG19"/>
    <mergeCell ref="BF20:BG20"/>
    <mergeCell ref="BF21:BG21"/>
    <mergeCell ref="BF22:BG22"/>
    <mergeCell ref="BF23:BG23"/>
    <mergeCell ref="N68:O68"/>
    <mergeCell ref="N69:O69"/>
    <mergeCell ref="N70:O70"/>
    <mergeCell ref="N71:O71"/>
    <mergeCell ref="N72:O72"/>
    <mergeCell ref="BF13:BG13"/>
    <mergeCell ref="BF14:BG14"/>
    <mergeCell ref="BF15:BG15"/>
    <mergeCell ref="BF16:BG16"/>
    <mergeCell ref="BF17:BG17"/>
    <mergeCell ref="H25:I25"/>
    <mergeCell ref="H26:I26"/>
    <mergeCell ref="H27:I27"/>
    <mergeCell ref="H28:I28"/>
    <mergeCell ref="J26:K26"/>
    <mergeCell ref="J27:K27"/>
    <mergeCell ref="J28:K28"/>
    <mergeCell ref="N66:O66"/>
    <mergeCell ref="N67:O67"/>
    <mergeCell ref="J24:K24"/>
    <mergeCell ref="J25:K25"/>
    <mergeCell ref="C24:F24"/>
    <mergeCell ref="C25:F25"/>
    <mergeCell ref="C26:F26"/>
    <mergeCell ref="C27:F27"/>
    <mergeCell ref="C28:F28"/>
    <mergeCell ref="H24:I24"/>
    <mergeCell ref="N60:O60"/>
    <mergeCell ref="N61:O61"/>
    <mergeCell ref="N62:O62"/>
    <mergeCell ref="N63:O63"/>
    <mergeCell ref="N64:O64"/>
    <mergeCell ref="N65:O65"/>
    <mergeCell ref="D35:G35"/>
    <mergeCell ref="I35:J35"/>
    <mergeCell ref="N57:O57"/>
    <mergeCell ref="N58:O58"/>
    <mergeCell ref="N59:O59"/>
    <mergeCell ref="C22:F22"/>
    <mergeCell ref="H22:I22"/>
    <mergeCell ref="J22:K22"/>
    <mergeCell ref="C23:F23"/>
    <mergeCell ref="H23:I23"/>
    <mergeCell ref="J23:K23"/>
    <mergeCell ref="C20:F20"/>
    <mergeCell ref="H20:I20"/>
    <mergeCell ref="J20:K20"/>
    <mergeCell ref="C21:F21"/>
    <mergeCell ref="H21:I21"/>
    <mergeCell ref="J21:K21"/>
    <mergeCell ref="C18:F18"/>
    <mergeCell ref="H18:I18"/>
    <mergeCell ref="J18:K18"/>
    <mergeCell ref="C19:F19"/>
    <mergeCell ref="H19:I19"/>
    <mergeCell ref="J19:K19"/>
    <mergeCell ref="C16:F16"/>
    <mergeCell ref="H16:I16"/>
    <mergeCell ref="J16:K16"/>
    <mergeCell ref="C17:F17"/>
    <mergeCell ref="H17:I17"/>
    <mergeCell ref="J17:K17"/>
    <mergeCell ref="C14:F14"/>
    <mergeCell ref="H14:I14"/>
    <mergeCell ref="J14:K14"/>
    <mergeCell ref="C15:F15"/>
    <mergeCell ref="H15:I15"/>
    <mergeCell ref="J15:K15"/>
    <mergeCell ref="C12:F12"/>
    <mergeCell ref="H12:I12"/>
    <mergeCell ref="J12:K12"/>
    <mergeCell ref="C13:F13"/>
    <mergeCell ref="H13:I13"/>
    <mergeCell ref="J13:K13"/>
  </mergeCells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6DDEC0-9AEE-433E-B7AC-8824EA3370C9}">
  <dimension ref="A2:P77"/>
  <sheetViews>
    <sheetView workbookViewId="0">
      <selection activeCell="L11" sqref="L11"/>
    </sheetView>
  </sheetViews>
  <sheetFormatPr defaultRowHeight="14.4" x14ac:dyDescent="0.3"/>
  <cols>
    <col min="4" max="4" width="36.33203125" customWidth="1"/>
    <col min="5" max="5" width="11.5546875" bestFit="1" customWidth="1"/>
    <col min="6" max="6" width="21.5546875" customWidth="1"/>
    <col min="7" max="8" width="8.88671875" hidden="1" customWidth="1"/>
    <col min="9" max="9" width="9.21875" bestFit="1" customWidth="1"/>
    <col min="11" max="11" width="22.33203125" bestFit="1" customWidth="1"/>
    <col min="13" max="14" width="10.44140625" bestFit="1" customWidth="1"/>
  </cols>
  <sheetData>
    <row r="2" spans="1:13" ht="25.8" x14ac:dyDescent="0.5">
      <c r="D2" s="94" t="s">
        <v>44</v>
      </c>
      <c r="E2" s="94"/>
      <c r="F2" s="94"/>
      <c r="G2" s="94"/>
      <c r="H2" s="94"/>
      <c r="I2" s="94"/>
      <c r="J2" s="94"/>
    </row>
    <row r="4" spans="1:13" ht="18" x14ac:dyDescent="0.35">
      <c r="B4" s="45" t="s">
        <v>45</v>
      </c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</row>
    <row r="5" spans="1:13" ht="15.6" x14ac:dyDescent="0.3">
      <c r="B5" s="46"/>
    </row>
    <row r="6" spans="1:13" x14ac:dyDescent="0.3">
      <c r="B6" s="101" t="s">
        <v>46</v>
      </c>
      <c r="C6" s="101"/>
      <c r="D6" s="101"/>
      <c r="E6" s="101"/>
      <c r="F6" s="101"/>
      <c r="G6" s="101"/>
      <c r="H6" s="102">
        <v>0.11</v>
      </c>
      <c r="I6" s="116">
        <v>0.11</v>
      </c>
      <c r="J6" s="110"/>
    </row>
    <row r="7" spans="1:13" x14ac:dyDescent="0.3">
      <c r="A7" s="8"/>
      <c r="B7" s="104" t="s">
        <v>78</v>
      </c>
      <c r="C7" s="104"/>
      <c r="D7" s="104"/>
      <c r="E7" s="104"/>
      <c r="F7" s="104"/>
      <c r="G7" s="104"/>
      <c r="H7" s="105">
        <v>-994.399</v>
      </c>
      <c r="I7" s="109">
        <v>998.3972</v>
      </c>
      <c r="J7" s="109"/>
    </row>
    <row r="8" spans="1:13" x14ac:dyDescent="0.3">
      <c r="A8" s="8"/>
      <c r="B8" s="104" t="s">
        <v>79</v>
      </c>
      <c r="C8" s="104"/>
      <c r="D8" s="104"/>
      <c r="E8" s="104"/>
      <c r="F8" s="104"/>
      <c r="G8" s="104"/>
      <c r="H8" s="105">
        <v>-2286.3200000000002</v>
      </c>
      <c r="I8" s="109">
        <v>2286.3200000000002</v>
      </c>
      <c r="J8" s="109"/>
    </row>
    <row r="9" spans="1:13" x14ac:dyDescent="0.3">
      <c r="A9" s="8"/>
      <c r="B9" s="104" t="s">
        <v>80</v>
      </c>
      <c r="C9" s="104"/>
      <c r="D9" s="104"/>
      <c r="E9" s="104"/>
      <c r="F9" s="104"/>
      <c r="G9" s="104"/>
      <c r="H9" s="105">
        <v>200</v>
      </c>
      <c r="I9" s="110">
        <v>300</v>
      </c>
      <c r="J9" s="110"/>
    </row>
    <row r="10" spans="1:13" x14ac:dyDescent="0.3">
      <c r="A10" s="8"/>
      <c r="B10" s="104" t="s">
        <v>81</v>
      </c>
      <c r="C10" s="104"/>
      <c r="D10" s="104"/>
      <c r="E10" s="104"/>
      <c r="F10" s="104"/>
      <c r="G10" s="104"/>
      <c r="H10" s="103">
        <f>2*696.324</f>
        <v>1392.6479999999999</v>
      </c>
      <c r="I10" s="110">
        <f>2*852.226584</f>
        <v>1704.453168</v>
      </c>
      <c r="J10" s="110"/>
    </row>
    <row r="11" spans="1:13" x14ac:dyDescent="0.3">
      <c r="A11" s="8"/>
      <c r="B11" s="103"/>
      <c r="C11" s="103"/>
      <c r="D11" s="103"/>
      <c r="E11" s="103"/>
      <c r="F11" s="103"/>
      <c r="G11" s="103"/>
      <c r="H11" s="103"/>
      <c r="I11" s="111"/>
      <c r="J11" s="111"/>
    </row>
    <row r="12" spans="1:13" x14ac:dyDescent="0.3">
      <c r="A12" s="8"/>
      <c r="B12" s="104" t="s">
        <v>51</v>
      </c>
      <c r="C12" s="104"/>
      <c r="D12" s="104"/>
      <c r="E12" s="104"/>
      <c r="F12" s="104"/>
      <c r="G12" s="104"/>
      <c r="H12" s="103">
        <f>H8+H9+H10</f>
        <v>-693.67200000000025</v>
      </c>
      <c r="I12" s="110">
        <f>I8+I9+I10</f>
        <v>4290.7731679999997</v>
      </c>
      <c r="J12" s="110"/>
    </row>
    <row r="13" spans="1:13" x14ac:dyDescent="0.3">
      <c r="A13" s="8"/>
      <c r="B13" s="103"/>
      <c r="C13" s="103"/>
      <c r="D13" s="103"/>
      <c r="E13" s="103"/>
      <c r="F13" s="103"/>
      <c r="G13" s="103"/>
      <c r="H13" s="103"/>
      <c r="I13" s="111"/>
      <c r="J13" s="111"/>
    </row>
    <row r="14" spans="1:13" x14ac:dyDescent="0.3">
      <c r="A14" s="8"/>
      <c r="B14" s="104" t="s">
        <v>82</v>
      </c>
      <c r="C14" s="104"/>
      <c r="D14" s="104"/>
      <c r="E14" s="104"/>
      <c r="F14" s="104"/>
      <c r="G14" s="104"/>
      <c r="H14" s="103">
        <v>17304.543000000001</v>
      </c>
      <c r="I14" s="110">
        <v>16775.71</v>
      </c>
      <c r="J14" s="110"/>
    </row>
    <row r="15" spans="1:13" x14ac:dyDescent="0.3">
      <c r="A15" s="8"/>
      <c r="B15" s="104" t="s">
        <v>83</v>
      </c>
      <c r="C15" s="104"/>
      <c r="D15" s="104"/>
      <c r="E15" s="104"/>
      <c r="F15" s="104"/>
      <c r="G15" s="104"/>
      <c r="H15" s="103">
        <v>-8850.0380399999995</v>
      </c>
      <c r="I15" s="110">
        <v>-8850.0380000000005</v>
      </c>
      <c r="J15" s="110"/>
    </row>
    <row r="16" spans="1:13" x14ac:dyDescent="0.3">
      <c r="A16" s="8"/>
      <c r="B16" s="104" t="s">
        <v>54</v>
      </c>
      <c r="C16" s="104"/>
      <c r="D16" s="104"/>
      <c r="E16" s="104"/>
      <c r="F16" s="104"/>
      <c r="G16" s="104"/>
      <c r="H16" s="103">
        <f>H14+H15+H12</f>
        <v>7760.8329600000015</v>
      </c>
      <c r="I16" s="110">
        <f>I14+I15</f>
        <v>7925.6719999999987</v>
      </c>
      <c r="J16" s="110"/>
    </row>
    <row r="17" spans="2:15" x14ac:dyDescent="0.3">
      <c r="B17" s="104" t="s">
        <v>55</v>
      </c>
      <c r="C17" s="104"/>
      <c r="D17" s="104"/>
      <c r="E17" s="104"/>
      <c r="F17" s="104"/>
      <c r="G17" s="104"/>
      <c r="H17" s="103">
        <f>10%*H16</f>
        <v>776.08329600000025</v>
      </c>
      <c r="I17" s="112">
        <f>I16*0.1</f>
        <v>792.56719999999996</v>
      </c>
      <c r="J17" s="112"/>
    </row>
    <row r="18" spans="2:15" x14ac:dyDescent="0.3">
      <c r="B18" s="104" t="s">
        <v>56</v>
      </c>
      <c r="C18" s="104"/>
      <c r="D18" s="104"/>
      <c r="E18" s="104"/>
      <c r="F18" s="104"/>
      <c r="G18" s="104"/>
      <c r="H18" s="103">
        <f>H16-H17</f>
        <v>6984.7496640000008</v>
      </c>
      <c r="I18" s="110">
        <f>I16-I17</f>
        <v>7133.1047999999992</v>
      </c>
      <c r="J18" s="110"/>
    </row>
    <row r="19" spans="2:15" x14ac:dyDescent="0.3">
      <c r="B19" s="48"/>
      <c r="C19" s="48"/>
      <c r="D19" s="48"/>
      <c r="E19" s="48"/>
      <c r="F19" s="48"/>
      <c r="G19" s="48"/>
      <c r="I19" s="10"/>
      <c r="J19" s="10"/>
    </row>
    <row r="20" spans="2:15" ht="18" x14ac:dyDescent="0.35">
      <c r="B20" s="115" t="s">
        <v>57</v>
      </c>
      <c r="C20" s="115"/>
      <c r="D20" s="115"/>
      <c r="E20" s="106"/>
      <c r="F20" s="106"/>
      <c r="G20" s="106"/>
      <c r="H20" s="103"/>
      <c r="I20" s="113"/>
      <c r="J20" s="113"/>
    </row>
    <row r="21" spans="2:15" x14ac:dyDescent="0.3">
      <c r="B21" s="104" t="s">
        <v>58</v>
      </c>
      <c r="C21" s="104"/>
      <c r="D21" s="104"/>
      <c r="E21" s="104"/>
      <c r="F21" s="103"/>
      <c r="G21" s="106"/>
      <c r="H21" s="103"/>
      <c r="I21" s="110">
        <v>-150</v>
      </c>
      <c r="J21" s="110"/>
    </row>
    <row r="22" spans="2:15" x14ac:dyDescent="0.3">
      <c r="B22" s="104" t="s">
        <v>59</v>
      </c>
      <c r="C22" s="104"/>
      <c r="D22" s="104"/>
      <c r="E22" s="104"/>
      <c r="F22" s="103"/>
      <c r="G22" s="106"/>
      <c r="H22" s="103"/>
      <c r="I22" s="110">
        <v>-1000</v>
      </c>
      <c r="J22" s="110"/>
    </row>
    <row r="23" spans="2:15" x14ac:dyDescent="0.3">
      <c r="B23" s="104" t="s">
        <v>60</v>
      </c>
      <c r="C23" s="104"/>
      <c r="D23" s="104"/>
      <c r="E23" s="104"/>
      <c r="F23" s="103"/>
      <c r="G23" s="106"/>
      <c r="H23" s="103"/>
      <c r="I23" s="110">
        <v>-500</v>
      </c>
      <c r="J23" s="110"/>
    </row>
    <row r="24" spans="2:15" x14ac:dyDescent="0.3">
      <c r="B24" s="104" t="s">
        <v>61</v>
      </c>
      <c r="C24" s="104"/>
      <c r="D24" s="104"/>
      <c r="E24" s="104"/>
      <c r="F24" s="103"/>
      <c r="G24" s="106"/>
      <c r="H24" s="103"/>
      <c r="I24" s="110">
        <v>-525</v>
      </c>
      <c r="J24" s="110"/>
    </row>
    <row r="25" spans="2:15" x14ac:dyDescent="0.3">
      <c r="B25" s="104" t="s">
        <v>62</v>
      </c>
      <c r="C25" s="104"/>
      <c r="D25" s="104"/>
      <c r="E25" s="104"/>
      <c r="F25" s="103"/>
      <c r="G25" s="106"/>
      <c r="H25" s="103"/>
      <c r="I25" s="114">
        <v>-994.39872000000014</v>
      </c>
      <c r="J25" s="114"/>
    </row>
    <row r="26" spans="2:15" x14ac:dyDescent="0.3">
      <c r="B26" s="104" t="s">
        <v>63</v>
      </c>
      <c r="C26" s="104"/>
      <c r="D26" s="104"/>
      <c r="E26" s="104"/>
      <c r="F26" s="103"/>
      <c r="G26" s="106"/>
      <c r="H26" s="103"/>
      <c r="I26" s="110">
        <v>30</v>
      </c>
      <c r="J26" s="110"/>
    </row>
    <row r="27" spans="2:15" x14ac:dyDescent="0.3">
      <c r="B27" s="107" t="s">
        <v>64</v>
      </c>
      <c r="C27" s="106"/>
      <c r="D27" s="106"/>
      <c r="E27" s="106"/>
      <c r="F27" s="103"/>
      <c r="G27" s="106"/>
      <c r="H27" s="103"/>
      <c r="I27" s="114">
        <f>SUM(I21:I26)</f>
        <v>-3139.3987200000001</v>
      </c>
      <c r="J27" s="114"/>
    </row>
    <row r="28" spans="2:15" x14ac:dyDescent="0.3">
      <c r="B28" s="106"/>
      <c r="C28" s="106"/>
      <c r="D28" s="106"/>
      <c r="E28" s="106"/>
      <c r="F28" s="106"/>
      <c r="G28" s="106"/>
      <c r="H28" s="103"/>
      <c r="I28" s="111"/>
      <c r="J28" s="111"/>
    </row>
    <row r="29" spans="2:15" x14ac:dyDescent="0.3">
      <c r="B29" s="108" t="s">
        <v>65</v>
      </c>
      <c r="C29" s="108"/>
      <c r="D29" s="108"/>
      <c r="E29" s="103"/>
      <c r="F29" s="103"/>
      <c r="G29" s="103"/>
      <c r="H29" s="103"/>
      <c r="I29" s="110">
        <f>1/(1+H6)</f>
        <v>0.9009009009009008</v>
      </c>
      <c r="J29" s="110"/>
    </row>
    <row r="30" spans="2:15" x14ac:dyDescent="0.3">
      <c r="B30" s="48"/>
      <c r="C30" s="48"/>
      <c r="D30" s="48"/>
      <c r="E30" s="48"/>
      <c r="F30" s="48"/>
      <c r="G30" s="48"/>
    </row>
    <row r="31" spans="2:15" x14ac:dyDescent="0.3">
      <c r="B31" s="8"/>
    </row>
    <row r="32" spans="2:15" x14ac:dyDescent="0.3">
      <c r="B32" s="98" t="s">
        <v>1</v>
      </c>
      <c r="C32" s="98" t="s">
        <v>66</v>
      </c>
      <c r="D32" s="100" t="s">
        <v>67</v>
      </c>
      <c r="E32" s="100"/>
      <c r="F32" s="100"/>
      <c r="G32" s="100"/>
      <c r="H32" s="100"/>
      <c r="I32" s="100" t="s">
        <v>68</v>
      </c>
      <c r="J32" s="100"/>
      <c r="K32" s="99" t="s">
        <v>69</v>
      </c>
      <c r="O32" s="40"/>
    </row>
    <row r="33" spans="2:14" x14ac:dyDescent="0.3">
      <c r="B33" s="2">
        <v>2022</v>
      </c>
      <c r="C33" s="2">
        <v>0</v>
      </c>
      <c r="D33" s="42">
        <f>I27</f>
        <v>-3139.3987200000001</v>
      </c>
      <c r="E33" s="50"/>
      <c r="F33" s="50"/>
      <c r="G33" s="50"/>
      <c r="H33" s="50"/>
      <c r="I33" s="50">
        <f>$I$29^C33</f>
        <v>1</v>
      </c>
      <c r="J33" s="50"/>
      <c r="K33" s="2">
        <f>D33*I33</f>
        <v>-3139.3987200000001</v>
      </c>
      <c r="M33" s="40"/>
    </row>
    <row r="34" spans="2:14" x14ac:dyDescent="0.3">
      <c r="B34" s="2">
        <v>2023</v>
      </c>
      <c r="C34" s="2">
        <v>1</v>
      </c>
      <c r="D34" s="9">
        <v>1766.133</v>
      </c>
      <c r="E34" s="9"/>
      <c r="F34" s="9"/>
      <c r="G34" s="9"/>
      <c r="H34" s="9"/>
      <c r="I34" s="50">
        <f>$I$29^C34</f>
        <v>0.9009009009009008</v>
      </c>
      <c r="J34" s="50"/>
      <c r="K34" s="2">
        <f>D34*I34</f>
        <v>1591.1108108108106</v>
      </c>
      <c r="M34" s="39"/>
    </row>
    <row r="35" spans="2:14" x14ac:dyDescent="0.3">
      <c r="B35" s="2">
        <v>2024</v>
      </c>
      <c r="C35" s="2">
        <v>2</v>
      </c>
      <c r="D35" s="9">
        <v>1947.33</v>
      </c>
      <c r="E35" s="9"/>
      <c r="F35" s="9"/>
      <c r="G35" s="9"/>
      <c r="H35" s="9"/>
      <c r="I35" s="50">
        <f>$I$29^C35</f>
        <v>0.8116224332440547</v>
      </c>
      <c r="J35" s="50"/>
      <c r="K35" s="2">
        <f t="shared" ref="K35:K47" si="0">D35*I35</f>
        <v>1580.4967129291449</v>
      </c>
      <c r="M35" s="39"/>
    </row>
    <row r="36" spans="2:14" x14ac:dyDescent="0.3">
      <c r="B36" s="2">
        <v>2025</v>
      </c>
      <c r="C36" s="2">
        <v>3</v>
      </c>
      <c r="D36" s="9">
        <v>2142.529</v>
      </c>
      <c r="E36" s="9"/>
      <c r="F36" s="9"/>
      <c r="G36" s="9"/>
      <c r="H36" s="9"/>
      <c r="I36" s="50">
        <f>$I$29^C36</f>
        <v>0.73119138130095007</v>
      </c>
      <c r="J36" s="50"/>
      <c r="K36" s="2">
        <f t="shared" si="0"/>
        <v>1566.5987389873433</v>
      </c>
    </row>
    <row r="37" spans="2:14" x14ac:dyDescent="0.3">
      <c r="B37" s="2">
        <v>2026</v>
      </c>
      <c r="C37" s="2">
        <v>4</v>
      </c>
      <c r="D37" s="41">
        <v>2352.5770000000002</v>
      </c>
      <c r="E37" s="9"/>
      <c r="F37" s="9"/>
      <c r="G37" s="9"/>
      <c r="H37" s="9"/>
      <c r="I37" s="50">
        <f>$I$29^C37</f>
        <v>0.65873097414500004</v>
      </c>
      <c r="J37" s="50"/>
      <c r="K37" s="2">
        <f t="shared" si="0"/>
        <v>1549.7153389611219</v>
      </c>
    </row>
    <row r="38" spans="2:14" x14ac:dyDescent="0.3">
      <c r="B38" s="2">
        <v>2027</v>
      </c>
      <c r="C38" s="2">
        <v>5</v>
      </c>
      <c r="D38" s="41">
        <v>2578.3429999999998</v>
      </c>
      <c r="E38" s="9"/>
      <c r="F38" s="9"/>
      <c r="G38" s="9"/>
      <c r="H38" s="9"/>
      <c r="I38" s="50">
        <f>$I$29^C38</f>
        <v>0.59345132805855849</v>
      </c>
      <c r="J38" s="50"/>
      <c r="K38" s="2">
        <f t="shared" si="0"/>
        <v>1530.1210775404877</v>
      </c>
    </row>
    <row r="39" spans="2:14" x14ac:dyDescent="0.3">
      <c r="B39" s="2">
        <v>2028</v>
      </c>
      <c r="C39" s="2">
        <v>6</v>
      </c>
      <c r="D39" s="41">
        <v>2820.694</v>
      </c>
      <c r="E39" s="9"/>
      <c r="F39" s="9"/>
      <c r="G39" s="9"/>
      <c r="H39" s="9"/>
      <c r="I39" s="50">
        <f>$I$29^C39</f>
        <v>0.53464083608879143</v>
      </c>
      <c r="J39" s="50"/>
      <c r="K39" s="2">
        <f t="shared" si="0"/>
        <v>1508.0581985106373</v>
      </c>
      <c r="M39" s="40"/>
    </row>
    <row r="40" spans="2:14" x14ac:dyDescent="0.3">
      <c r="B40" s="2">
        <v>2029</v>
      </c>
      <c r="C40" s="2">
        <v>7</v>
      </c>
      <c r="D40" s="41">
        <v>3080.4870000000001</v>
      </c>
      <c r="E40" s="9"/>
      <c r="F40" s="9"/>
      <c r="G40" s="9"/>
      <c r="H40" s="9"/>
      <c r="I40" s="50">
        <f>$I$29^C40</f>
        <v>0.48165841089080302</v>
      </c>
      <c r="J40" s="50"/>
      <c r="K40" s="2">
        <f t="shared" si="0"/>
        <v>1483.7424731897772</v>
      </c>
    </row>
    <row r="41" spans="2:14" x14ac:dyDescent="0.3">
      <c r="B41" s="2">
        <v>2030</v>
      </c>
      <c r="C41" s="2">
        <v>8</v>
      </c>
      <c r="D41" s="41">
        <v>3358.55</v>
      </c>
      <c r="E41" s="9"/>
      <c r="F41" s="9"/>
      <c r="G41" s="9"/>
      <c r="H41" s="9"/>
      <c r="I41" s="50">
        <f>$I$29^C41</f>
        <v>0.43392649629802071</v>
      </c>
      <c r="J41" s="50"/>
      <c r="K41" s="2">
        <f t="shared" si="0"/>
        <v>1457.3638341417175</v>
      </c>
    </row>
    <row r="42" spans="2:14" x14ac:dyDescent="0.3">
      <c r="B42" s="2">
        <v>2031</v>
      </c>
      <c r="C42" s="2">
        <v>9</v>
      </c>
      <c r="D42" s="41">
        <v>3655.69</v>
      </c>
      <c r="E42" s="9"/>
      <c r="F42" s="9"/>
      <c r="G42" s="9"/>
      <c r="H42" s="9"/>
      <c r="I42" s="50">
        <f>$I$29^C42</f>
        <v>0.39092477143965826</v>
      </c>
      <c r="J42" s="50"/>
      <c r="K42" s="2">
        <f t="shared" si="0"/>
        <v>1429.0997777042444</v>
      </c>
    </row>
    <row r="43" spans="2:14" x14ac:dyDescent="0.3">
      <c r="B43" s="2">
        <v>2032</v>
      </c>
      <c r="C43" s="2">
        <v>10</v>
      </c>
      <c r="D43" s="82">
        <v>436.20699999999999</v>
      </c>
      <c r="E43" s="82"/>
      <c r="F43" s="82"/>
      <c r="G43" s="82"/>
      <c r="H43" s="82"/>
      <c r="I43" s="50">
        <f>$I$29^C43</f>
        <v>0.35218447877446685</v>
      </c>
      <c r="J43" s="50"/>
      <c r="K43" s="2">
        <f t="shared" si="0"/>
        <v>153.62533493277385</v>
      </c>
    </row>
    <row r="44" spans="2:14" x14ac:dyDescent="0.3">
      <c r="B44" s="2">
        <v>2033</v>
      </c>
      <c r="C44" s="2">
        <v>11</v>
      </c>
      <c r="D44" s="9">
        <v>2841.232</v>
      </c>
      <c r="E44" s="9"/>
      <c r="F44" s="9"/>
      <c r="G44" s="9"/>
      <c r="H44" s="9"/>
      <c r="I44" s="50">
        <f>$I$29^C44</f>
        <v>0.31728331421123135</v>
      </c>
      <c r="J44" s="50"/>
      <c r="K44" s="2">
        <f t="shared" si="0"/>
        <v>901.47550540300529</v>
      </c>
    </row>
    <row r="45" spans="2:14" x14ac:dyDescent="0.3">
      <c r="B45" s="2">
        <v>2034</v>
      </c>
      <c r="C45" s="2">
        <v>12</v>
      </c>
      <c r="D45" s="9">
        <v>3013.1880000000001</v>
      </c>
      <c r="E45" s="9"/>
      <c r="F45" s="9"/>
      <c r="G45" s="9"/>
      <c r="H45" s="9"/>
      <c r="I45" s="50">
        <f>$I$29^C45</f>
        <v>0.28584082361372193</v>
      </c>
      <c r="J45" s="50"/>
      <c r="K45" s="2">
        <f t="shared" si="0"/>
        <v>861.29213962298354</v>
      </c>
      <c r="N45" s="39"/>
    </row>
    <row r="46" spans="2:14" x14ac:dyDescent="0.3">
      <c r="B46" s="2">
        <v>2035</v>
      </c>
      <c r="C46" s="2">
        <v>13</v>
      </c>
      <c r="D46" s="9">
        <v>3205.1889999999999</v>
      </c>
      <c r="E46" s="9"/>
      <c r="F46" s="9"/>
      <c r="G46" s="9"/>
      <c r="H46" s="9"/>
      <c r="I46" s="50">
        <f>$I$29^C46</f>
        <v>0.25751425550785756</v>
      </c>
      <c r="J46" s="50"/>
      <c r="K46" s="2">
        <f t="shared" si="0"/>
        <v>825.38185909697438</v>
      </c>
    </row>
    <row r="47" spans="2:14" x14ac:dyDescent="0.3">
      <c r="B47" s="2">
        <v>2036</v>
      </c>
      <c r="C47" s="2">
        <v>14</v>
      </c>
      <c r="D47" s="9">
        <v>3410.413</v>
      </c>
      <c r="E47" s="9"/>
      <c r="F47" s="9"/>
      <c r="G47" s="9"/>
      <c r="H47" s="9"/>
      <c r="I47" s="50">
        <f>$I$29^C47</f>
        <v>0.23199482478185365</v>
      </c>
      <c r="J47" s="50"/>
      <c r="K47" s="2">
        <f t="shared" si="0"/>
        <v>791.19816636875589</v>
      </c>
    </row>
    <row r="48" spans="2:14" x14ac:dyDescent="0.3">
      <c r="B48" s="2">
        <v>2037</v>
      </c>
      <c r="C48" s="2">
        <v>15</v>
      </c>
      <c r="D48" s="51">
        <v>1881.5229999999999</v>
      </c>
      <c r="E48" s="52"/>
      <c r="F48" s="53"/>
      <c r="G48" s="9"/>
      <c r="H48" s="9"/>
      <c r="I48" s="50">
        <f>$I$29^C48</f>
        <v>0.20900434665031858</v>
      </c>
      <c r="J48" s="50"/>
      <c r="K48" s="2">
        <f>D48*I48</f>
        <v>393.24648532254736</v>
      </c>
    </row>
    <row r="49" spans="2:16" ht="21" x14ac:dyDescent="0.4">
      <c r="E49" s="92" t="s">
        <v>70</v>
      </c>
      <c r="F49" s="92"/>
      <c r="G49" s="92"/>
      <c r="H49" s="92"/>
      <c r="I49" s="92"/>
      <c r="J49" s="92"/>
      <c r="K49" s="93">
        <f>SUM(K33:K48)</f>
        <v>14483.127733522326</v>
      </c>
      <c r="O49" s="40"/>
      <c r="P49" s="40"/>
    </row>
    <row r="50" spans="2:16" x14ac:dyDescent="0.3">
      <c r="O50" s="40"/>
      <c r="P50" s="40"/>
    </row>
    <row r="53" spans="2:16" x14ac:dyDescent="0.3">
      <c r="B53" t="s">
        <v>71</v>
      </c>
    </row>
    <row r="55" spans="2:16" x14ac:dyDescent="0.3">
      <c r="B55" s="8" t="s">
        <v>43</v>
      </c>
      <c r="C55" s="8"/>
      <c r="D55" s="8"/>
      <c r="E55" s="56">
        <v>1.042</v>
      </c>
    </row>
    <row r="56" spans="2:16" x14ac:dyDescent="0.3">
      <c r="B56" s="8" t="s">
        <v>72</v>
      </c>
      <c r="C56" s="8"/>
      <c r="D56" s="8"/>
      <c r="E56" s="8">
        <f>1/(1+E55)</f>
        <v>0.48971596474045059</v>
      </c>
    </row>
    <row r="57" spans="2:16" x14ac:dyDescent="0.3">
      <c r="B57" s="8" t="s">
        <v>73</v>
      </c>
      <c r="C57" s="8"/>
      <c r="D57" s="8"/>
      <c r="E57" s="49">
        <f>SUM(K61:K76)</f>
        <v>-1268.6611152628384</v>
      </c>
    </row>
    <row r="59" spans="2:16" x14ac:dyDescent="0.3">
      <c r="B59" s="8"/>
      <c r="C59" s="8"/>
      <c r="D59" s="8"/>
    </row>
    <row r="60" spans="2:16" x14ac:dyDescent="0.3">
      <c r="B60" s="98" t="s">
        <v>1</v>
      </c>
      <c r="C60" s="98" t="s">
        <v>66</v>
      </c>
      <c r="D60" s="98" t="s">
        <v>67</v>
      </c>
      <c r="E60" s="98"/>
      <c r="F60" s="98"/>
      <c r="G60" s="98"/>
      <c r="H60" s="98"/>
      <c r="I60" s="98" t="s">
        <v>68</v>
      </c>
      <c r="J60" s="98"/>
      <c r="K60" s="99" t="s">
        <v>69</v>
      </c>
    </row>
    <row r="61" spans="2:16" x14ac:dyDescent="0.3">
      <c r="B61" s="2">
        <v>2022</v>
      </c>
      <c r="C61" s="2">
        <v>0</v>
      </c>
      <c r="D61" s="3">
        <f>D33</f>
        <v>-3139.3987200000001</v>
      </c>
      <c r="E61" s="2"/>
      <c r="F61" s="2"/>
      <c r="G61" s="2"/>
      <c r="H61" s="2"/>
      <c r="I61" s="61">
        <f>$E$56^C61</f>
        <v>1</v>
      </c>
      <c r="J61" s="79"/>
      <c r="K61" s="2">
        <f>D61*I61</f>
        <v>-3139.3987200000001</v>
      </c>
    </row>
    <row r="62" spans="2:16" x14ac:dyDescent="0.3">
      <c r="B62" s="2">
        <v>2023</v>
      </c>
      <c r="C62" s="2">
        <v>1</v>
      </c>
      <c r="D62" s="9">
        <v>1766.133</v>
      </c>
      <c r="E62" s="9"/>
      <c r="F62" s="9"/>
      <c r="G62" s="9"/>
      <c r="H62" s="9"/>
      <c r="I62" s="62">
        <f>$E$56^C62</f>
        <v>0.48971596474045059</v>
      </c>
      <c r="J62" s="80"/>
      <c r="K62" s="2">
        <f>D62*I62</f>
        <v>864.90352595494619</v>
      </c>
    </row>
    <row r="63" spans="2:16" x14ac:dyDescent="0.3">
      <c r="B63" s="2">
        <v>2024</v>
      </c>
      <c r="C63" s="2">
        <v>2</v>
      </c>
      <c r="D63" s="9">
        <v>1947.33</v>
      </c>
      <c r="E63" s="9"/>
      <c r="F63" s="9"/>
      <c r="G63" s="9"/>
      <c r="H63" s="9"/>
      <c r="I63" s="64">
        <f>$E$56^C63</f>
        <v>0.23982172612167024</v>
      </c>
      <c r="J63" s="81"/>
      <c r="K63" s="2">
        <f>D63*I63</f>
        <v>467.01204192851208</v>
      </c>
    </row>
    <row r="64" spans="2:16" x14ac:dyDescent="0.3">
      <c r="B64" s="2">
        <v>2025</v>
      </c>
      <c r="C64" s="2">
        <v>3</v>
      </c>
      <c r="D64" s="9">
        <v>2142.529</v>
      </c>
      <c r="E64" s="9"/>
      <c r="F64" s="9"/>
      <c r="G64" s="9"/>
      <c r="H64" s="9"/>
      <c r="I64" s="51">
        <f>$E$56^C64</f>
        <v>0.11744452797339386</v>
      </c>
      <c r="J64" s="53"/>
      <c r="K64" s="2">
        <f t="shared" ref="K62:K76" si="1">D64*I64</f>
        <v>251.62830707430757</v>
      </c>
    </row>
    <row r="65" spans="2:11" x14ac:dyDescent="0.3">
      <c r="B65" s="2">
        <v>2026</v>
      </c>
      <c r="C65" s="2">
        <v>4</v>
      </c>
      <c r="D65" s="41">
        <v>2352.5770000000002</v>
      </c>
      <c r="E65" s="9"/>
      <c r="F65" s="9"/>
      <c r="G65" s="9"/>
      <c r="H65" s="9"/>
      <c r="I65" s="50">
        <f>$E$56^C65</f>
        <v>5.7514460319977409E-2</v>
      </c>
      <c r="J65" s="50"/>
      <c r="K65" s="2">
        <f t="shared" si="1"/>
        <v>135.30719651619151</v>
      </c>
    </row>
    <row r="66" spans="2:11" x14ac:dyDescent="0.3">
      <c r="B66" s="2">
        <v>2027</v>
      </c>
      <c r="C66" s="2">
        <v>5</v>
      </c>
      <c r="D66" s="41">
        <v>2578.3429999999998</v>
      </c>
      <c r="E66" s="9"/>
      <c r="F66" s="9"/>
      <c r="G66" s="9"/>
      <c r="H66" s="9"/>
      <c r="I66" s="50">
        <f>$E$56^C66</f>
        <v>2.81657494221241E-2</v>
      </c>
      <c r="J66" s="50"/>
      <c r="K66" s="2">
        <f t="shared" si="1"/>
        <v>72.620962862287712</v>
      </c>
    </row>
    <row r="67" spans="2:11" x14ac:dyDescent="0.3">
      <c r="B67" s="2">
        <v>2028</v>
      </c>
      <c r="C67" s="2">
        <v>6</v>
      </c>
      <c r="D67" s="41">
        <v>2820.694</v>
      </c>
      <c r="E67" s="9"/>
      <c r="F67" s="9"/>
      <c r="G67" s="9"/>
      <c r="H67" s="9"/>
      <c r="I67" s="50">
        <f>$E$56^C67</f>
        <v>1.3793217150893293E-2</v>
      </c>
      <c r="J67" s="50"/>
      <c r="K67" s="2">
        <f t="shared" si="1"/>
        <v>38.906444858221803</v>
      </c>
    </row>
    <row r="68" spans="2:11" x14ac:dyDescent="0.3">
      <c r="B68" s="2">
        <v>2029</v>
      </c>
      <c r="C68" s="2">
        <v>7</v>
      </c>
      <c r="D68" s="41">
        <v>3080.4870000000001</v>
      </c>
      <c r="E68" s="9"/>
      <c r="F68" s="9"/>
      <c r="G68" s="9"/>
      <c r="H68" s="9"/>
      <c r="I68" s="50">
        <f>$E$56^C68</f>
        <v>6.7547586439242382E-3</v>
      </c>
      <c r="J68" s="50"/>
      <c r="K68" s="2">
        <f>D68*I68</f>
        <v>20.807946190746247</v>
      </c>
    </row>
    <row r="69" spans="2:11" x14ac:dyDescent="0.3">
      <c r="B69" s="2">
        <v>2030</v>
      </c>
      <c r="C69" s="2">
        <v>8</v>
      </c>
      <c r="D69" s="41">
        <v>3358.55</v>
      </c>
      <c r="E69" s="9"/>
      <c r="F69" s="9"/>
      <c r="G69" s="9"/>
      <c r="H69" s="9"/>
      <c r="I69" s="50">
        <f>$E$56^C69</f>
        <v>3.3079131458982557E-3</v>
      </c>
      <c r="J69" s="50"/>
      <c r="K69" s="2">
        <f t="shared" si="1"/>
        <v>11.109791696156588</v>
      </c>
    </row>
    <row r="70" spans="2:11" x14ac:dyDescent="0.3">
      <c r="B70" s="2">
        <v>2031</v>
      </c>
      <c r="C70" s="2">
        <v>9</v>
      </c>
      <c r="D70" s="41">
        <v>3655.69</v>
      </c>
      <c r="E70" s="9"/>
      <c r="F70" s="9"/>
      <c r="G70" s="9"/>
      <c r="H70" s="9"/>
      <c r="I70" s="50">
        <f>$E$56^C70</f>
        <v>1.6199378775211832E-3</v>
      </c>
      <c r="J70" s="50"/>
      <c r="K70" s="2">
        <f t="shared" si="1"/>
        <v>5.9219906994754146</v>
      </c>
    </row>
    <row r="71" spans="2:11" x14ac:dyDescent="0.3">
      <c r="B71" s="2">
        <v>2032</v>
      </c>
      <c r="C71" s="2">
        <v>10</v>
      </c>
      <c r="D71" s="82">
        <v>436.20699999999999</v>
      </c>
      <c r="E71" s="82"/>
      <c r="F71" s="82"/>
      <c r="G71" s="82"/>
      <c r="H71" s="82"/>
      <c r="I71" s="50">
        <f>$E$56^C71</f>
        <v>7.9330944050988407E-4</v>
      </c>
      <c r="J71" s="50"/>
      <c r="K71" s="2">
        <f t="shared" si="1"/>
        <v>0.34604713111649499</v>
      </c>
    </row>
    <row r="72" spans="2:11" x14ac:dyDescent="0.3">
      <c r="B72" s="2">
        <v>2033</v>
      </c>
      <c r="C72" s="2">
        <v>11</v>
      </c>
      <c r="D72" s="9">
        <v>2841.232</v>
      </c>
      <c r="E72" s="9"/>
      <c r="F72" s="9"/>
      <c r="G72" s="9"/>
      <c r="H72" s="9"/>
      <c r="I72" s="50">
        <f>$E$56^C72</f>
        <v>3.8849629799700495E-4</v>
      </c>
      <c r="J72" s="50"/>
      <c r="K72" s="2">
        <f t="shared" si="1"/>
        <v>1.1038081137506264</v>
      </c>
    </row>
    <row r="73" spans="2:11" x14ac:dyDescent="0.3">
      <c r="B73" s="2">
        <v>2034</v>
      </c>
      <c r="C73" s="2">
        <v>12</v>
      </c>
      <c r="D73" s="9">
        <v>3013.1880000000001</v>
      </c>
      <c r="E73" s="9"/>
      <c r="F73" s="9"/>
      <c r="G73" s="9"/>
      <c r="H73" s="9"/>
      <c r="I73" s="50">
        <f>$E$56^C73</f>
        <v>1.9025283937169687E-4</v>
      </c>
      <c r="J73" s="50"/>
      <c r="K73" s="2">
        <f t="shared" si="1"/>
        <v>0.57326757256072458</v>
      </c>
    </row>
    <row r="74" spans="2:11" x14ac:dyDescent="0.3">
      <c r="B74" s="2">
        <v>2035</v>
      </c>
      <c r="C74" s="2">
        <v>13</v>
      </c>
      <c r="D74" s="9">
        <v>3205.1889999999999</v>
      </c>
      <c r="E74" s="9"/>
      <c r="F74" s="9"/>
      <c r="G74" s="9"/>
      <c r="H74" s="9"/>
      <c r="I74" s="50">
        <f>$E$56^C74</f>
        <v>9.3169852777520503E-5</v>
      </c>
      <c r="J74" s="50"/>
      <c r="K74" s="2">
        <f t="shared" si="1"/>
        <v>0.29862698725412817</v>
      </c>
    </row>
    <row r="75" spans="2:11" x14ac:dyDescent="0.3">
      <c r="B75" s="2">
        <v>2036</v>
      </c>
      <c r="C75" s="2">
        <v>14</v>
      </c>
      <c r="D75" s="9">
        <v>3410.413</v>
      </c>
      <c r="E75" s="9"/>
      <c r="F75" s="9"/>
      <c r="G75" s="9"/>
      <c r="H75" s="9"/>
      <c r="I75" s="50">
        <f>$E$56^C75</f>
        <v>4.5626764337669206E-5</v>
      </c>
      <c r="J75" s="50"/>
      <c r="K75" s="2">
        <f>D75*I75</f>
        <v>0.15560611024512344</v>
      </c>
    </row>
    <row r="76" spans="2:11" x14ac:dyDescent="0.3">
      <c r="B76" s="2">
        <v>2037</v>
      </c>
      <c r="C76" s="2">
        <v>15</v>
      </c>
      <c r="D76" s="51">
        <v>1881.5229999999999</v>
      </c>
      <c r="E76" s="52"/>
      <c r="F76" s="53"/>
      <c r="G76" s="9"/>
      <c r="H76" s="9"/>
      <c r="I76" s="50">
        <f>$E$56^C76</f>
        <v>2.2344154915606864E-5</v>
      </c>
      <c r="J76" s="50"/>
      <c r="K76" s="2">
        <f>D76*I76</f>
        <v>4.2041041389277369E-2</v>
      </c>
    </row>
    <row r="77" spans="2:11" ht="25.8" x14ac:dyDescent="0.5">
      <c r="G77" s="83" t="s">
        <v>43</v>
      </c>
      <c r="H77" s="83"/>
      <c r="I77" s="90" t="s">
        <v>43</v>
      </c>
      <c r="J77" s="90"/>
      <c r="K77" s="91">
        <f>E55</f>
        <v>1.042</v>
      </c>
    </row>
  </sheetData>
  <mergeCells count="79">
    <mergeCell ref="B20:D20"/>
    <mergeCell ref="I6:J6"/>
    <mergeCell ref="D48:F48"/>
    <mergeCell ref="I21:J21"/>
    <mergeCell ref="I22:J22"/>
    <mergeCell ref="I23:J23"/>
    <mergeCell ref="I24:J24"/>
    <mergeCell ref="I25:J25"/>
    <mergeCell ref="I26:J26"/>
    <mergeCell ref="I27:J27"/>
    <mergeCell ref="I29:J29"/>
    <mergeCell ref="I14:J14"/>
    <mergeCell ref="I15:J15"/>
    <mergeCell ref="I16:J16"/>
    <mergeCell ref="I17:J17"/>
    <mergeCell ref="I18:J18"/>
    <mergeCell ref="D2:J2"/>
    <mergeCell ref="I7:J7"/>
    <mergeCell ref="I8:J8"/>
    <mergeCell ref="I9:J9"/>
    <mergeCell ref="I10:J10"/>
    <mergeCell ref="I12:J12"/>
    <mergeCell ref="D76:F76"/>
    <mergeCell ref="I61:J61"/>
    <mergeCell ref="I62:J62"/>
    <mergeCell ref="I63:J63"/>
    <mergeCell ref="I64:J64"/>
    <mergeCell ref="I48:J48"/>
    <mergeCell ref="I72:J72"/>
    <mergeCell ref="I73:J73"/>
    <mergeCell ref="I74:J74"/>
    <mergeCell ref="I75:J75"/>
    <mergeCell ref="I68:J68"/>
    <mergeCell ref="I69:J69"/>
    <mergeCell ref="I70:J70"/>
    <mergeCell ref="I71:J71"/>
    <mergeCell ref="I76:J76"/>
    <mergeCell ref="I77:J77"/>
    <mergeCell ref="I65:J65"/>
    <mergeCell ref="I66:J66"/>
    <mergeCell ref="I67:J67"/>
    <mergeCell ref="I41:J41"/>
    <mergeCell ref="I42:J42"/>
    <mergeCell ref="I43:J43"/>
    <mergeCell ref="E49:J49"/>
    <mergeCell ref="I44:J44"/>
    <mergeCell ref="I45:J45"/>
    <mergeCell ref="I46:J46"/>
    <mergeCell ref="I47:J47"/>
    <mergeCell ref="I35:J35"/>
    <mergeCell ref="I36:J36"/>
    <mergeCell ref="I37:J37"/>
    <mergeCell ref="I38:J38"/>
    <mergeCell ref="I39:J39"/>
    <mergeCell ref="I40:J40"/>
    <mergeCell ref="B29:D29"/>
    <mergeCell ref="D32:H32"/>
    <mergeCell ref="I32:J32"/>
    <mergeCell ref="D33:H33"/>
    <mergeCell ref="I33:J33"/>
    <mergeCell ref="I34:J34"/>
    <mergeCell ref="B21:E21"/>
    <mergeCell ref="B22:E22"/>
    <mergeCell ref="B23:E23"/>
    <mergeCell ref="B24:E24"/>
    <mergeCell ref="B25:E25"/>
    <mergeCell ref="B26:E26"/>
    <mergeCell ref="B12:G12"/>
    <mergeCell ref="B14:G14"/>
    <mergeCell ref="B15:G15"/>
    <mergeCell ref="B16:G16"/>
    <mergeCell ref="B17:G17"/>
    <mergeCell ref="B18:G18"/>
    <mergeCell ref="B4:M4"/>
    <mergeCell ref="B6:G6"/>
    <mergeCell ref="B7:G7"/>
    <mergeCell ref="B8:G8"/>
    <mergeCell ref="B9:G9"/>
    <mergeCell ref="B10:G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QUESTION1</vt:lpstr>
      <vt:lpstr>QUESTION 2</vt:lpstr>
      <vt:lpstr>QUESTION 3</vt:lpstr>
      <vt:lpstr>QUESTION3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nehul jain</dc:creator>
  <cp:lastModifiedBy>nehul jain</cp:lastModifiedBy>
  <dcterms:created xsi:type="dcterms:W3CDTF">2022-02-17T06:50:16Z</dcterms:created>
  <dcterms:modified xsi:type="dcterms:W3CDTF">2022-02-23T12:15:44Z</dcterms:modified>
</cp:coreProperties>
</file>