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cdd31b977221b469/Desktop/Kareena/IAQS/SEMESTER 5/Pricing and Reserving in LI/"/>
    </mc:Choice>
  </mc:AlternateContent>
  <xr:revisionPtr revIDLastSave="0" documentId="8_{105163FA-AA63-41BD-85E7-FD21D0330813}" xr6:coauthVersionLast="47" xr6:coauthVersionMax="47" xr10:uidLastSave="{00000000-0000-0000-0000-000000000000}"/>
  <bookViews>
    <workbookView xWindow="-110" yWindow="-110" windowWidth="19420" windowHeight="10420" activeTab="5" xr2:uid="{08C124A8-143D-40CF-8F2F-B3627B2CE769}"/>
  </bookViews>
  <sheets>
    <sheet name="IALM 2012-14" sheetId="2" r:id="rId1"/>
    <sheet name="Parameters" sheetId="1" r:id="rId2"/>
    <sheet name="Term-30" sheetId="4" r:id="rId3"/>
    <sheet name="Term-40" sheetId="5" r:id="rId4"/>
    <sheet name="Term-50" sheetId="9" r:id="rId5"/>
    <sheet name="Comparision of Reserves" sheetId="10" r:id="rId6"/>
  </sheets>
  <definedNames>
    <definedName name="_xlnm._FilterDatabase" localSheetId="0" hidden="1">'IALM 2012-14'!$B$4:$D$119</definedName>
    <definedName name="Age">Parameters!$G$19</definedName>
    <definedName name="d_12">#REF!</definedName>
    <definedName name="i">Parameters!$G$21</definedName>
    <definedName name="InitialFixedExp">Parameters!$G$7</definedName>
    <definedName name="InitialVarExp">Parameters!$G$8</definedName>
    <definedName name="monthlyconv">Parameters!$G$23</definedName>
    <definedName name="p">#REF!</definedName>
    <definedName name="premium" localSheetId="3">'Term-40'!$J$4</definedName>
    <definedName name="premium" localSheetId="4">'Term-50'!$J$4</definedName>
    <definedName name="premium">'Term-30'!$J$5</definedName>
    <definedName name="RenFixedExp">Parameters!$G$10</definedName>
    <definedName name="RenVarExp">Parameters!$G$11</definedName>
    <definedName name="SumAssured">Parameters!$G$13</definedName>
    <definedName name="term1">Parameters!$G$15</definedName>
    <definedName name="term2">Parameters!$G$16</definedName>
    <definedName name="term3">Parameters!$G$17</definedName>
    <definedName name="v" localSheetId="3">'Term-40'!$D$5</definedName>
    <definedName name="v" localSheetId="4">'Term-50'!$D$5</definedName>
    <definedName name="v">'Term-30'!$D$6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0" l="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4" i="10"/>
  <c r="D5" i="4"/>
  <c r="D6" i="4"/>
  <c r="N62" i="9"/>
  <c r="K62" i="9"/>
  <c r="H62" i="9"/>
  <c r="E33" i="9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23" i="9"/>
  <c r="E24" i="9" s="1"/>
  <c r="E25" i="9" s="1"/>
  <c r="E26" i="9" s="1"/>
  <c r="E27" i="9" s="1"/>
  <c r="E28" i="9" s="1"/>
  <c r="E29" i="9" s="1"/>
  <c r="E30" i="9" s="1"/>
  <c r="E31" i="9" s="1"/>
  <c r="E32" i="9" s="1"/>
  <c r="E14" i="9"/>
  <c r="E15" i="9"/>
  <c r="E16" i="9" s="1"/>
  <c r="E17" i="9" s="1"/>
  <c r="E18" i="9" s="1"/>
  <c r="E19" i="9" s="1"/>
  <c r="E20" i="9" s="1"/>
  <c r="E21" i="9" s="1"/>
  <c r="E22" i="9" s="1"/>
  <c r="C23" i="9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M62" i="9"/>
  <c r="C13" i="9"/>
  <c r="C14" i="9" s="1"/>
  <c r="C15" i="9" s="1"/>
  <c r="C16" i="9" s="1"/>
  <c r="C17" i="9" s="1"/>
  <c r="C18" i="9" s="1"/>
  <c r="C19" i="9" s="1"/>
  <c r="C20" i="9" s="1"/>
  <c r="C21" i="9" s="1"/>
  <c r="C22" i="9" s="1"/>
  <c r="M12" i="9"/>
  <c r="D12" i="9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J5" i="9"/>
  <c r="N12" i="9" s="1"/>
  <c r="D5" i="9"/>
  <c r="D4" i="9"/>
  <c r="N43" i="4"/>
  <c r="N52" i="5"/>
  <c r="M52" i="5"/>
  <c r="K52" i="5"/>
  <c r="E33" i="5"/>
  <c r="E28" i="5"/>
  <c r="E29" i="5" s="1"/>
  <c r="E30" i="5" s="1"/>
  <c r="E31" i="5" s="1"/>
  <c r="E32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C42" i="5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32" i="5"/>
  <c r="C33" i="5" s="1"/>
  <c r="C34" i="5" s="1"/>
  <c r="C35" i="5" s="1"/>
  <c r="C36" i="5" s="1"/>
  <c r="C37" i="5" s="1"/>
  <c r="C38" i="5" s="1"/>
  <c r="C39" i="5" s="1"/>
  <c r="C40" i="5" s="1"/>
  <c r="C41" i="5" s="1"/>
  <c r="H52" i="5"/>
  <c r="C13" i="5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M12" i="5"/>
  <c r="D12" i="5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J5" i="5"/>
  <c r="N12" i="5" s="1"/>
  <c r="D5" i="5"/>
  <c r="D4" i="5"/>
  <c r="J6" i="4"/>
  <c r="N13" i="4" s="1"/>
  <c r="M13" i="4"/>
  <c r="M43" i="4"/>
  <c r="K43" i="4"/>
  <c r="G23" i="1"/>
  <c r="D13" i="4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C14" i="4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Q52" i="5" l="1"/>
  <c r="O62" i="9"/>
  <c r="O12" i="9"/>
  <c r="E12" i="9"/>
  <c r="E13" i="9" s="1"/>
  <c r="J61" i="9"/>
  <c r="K61" i="9" s="1"/>
  <c r="Q62" i="9"/>
  <c r="Q61" i="9" s="1"/>
  <c r="Q60" i="9" s="1"/>
  <c r="Q59" i="9" s="1"/>
  <c r="Q58" i="9" s="1"/>
  <c r="Q57" i="9" s="1"/>
  <c r="Q56" i="9" s="1"/>
  <c r="Q55" i="9" s="1"/>
  <c r="Q54" i="9" s="1"/>
  <c r="Q53" i="9" s="1"/>
  <c r="Q52" i="9" s="1"/>
  <c r="Q51" i="9" s="1"/>
  <c r="Q50" i="9" s="1"/>
  <c r="Q49" i="9" s="1"/>
  <c r="Q48" i="9" s="1"/>
  <c r="Q47" i="9" s="1"/>
  <c r="Q46" i="9" s="1"/>
  <c r="Q45" i="9" s="1"/>
  <c r="Q44" i="9" s="1"/>
  <c r="Q43" i="9" s="1"/>
  <c r="Q42" i="9" s="1"/>
  <c r="Q41" i="9" s="1"/>
  <c r="Q40" i="9" s="1"/>
  <c r="Q39" i="9" s="1"/>
  <c r="Q38" i="9" s="1"/>
  <c r="Q37" i="9" s="1"/>
  <c r="Q36" i="9" s="1"/>
  <c r="Q35" i="9" s="1"/>
  <c r="Q34" i="9" s="1"/>
  <c r="Q33" i="9" s="1"/>
  <c r="Q32" i="9" s="1"/>
  <c r="Q31" i="9" s="1"/>
  <c r="Q30" i="9" s="1"/>
  <c r="Q29" i="9" s="1"/>
  <c r="Q28" i="9" s="1"/>
  <c r="Q27" i="9" s="1"/>
  <c r="Q26" i="9" s="1"/>
  <c r="Q25" i="9" s="1"/>
  <c r="Q24" i="9" s="1"/>
  <c r="Q23" i="9" s="1"/>
  <c r="Q22" i="9" s="1"/>
  <c r="Q21" i="9" s="1"/>
  <c r="Q20" i="9" s="1"/>
  <c r="Q19" i="9" s="1"/>
  <c r="Q18" i="9" s="1"/>
  <c r="Q17" i="9" s="1"/>
  <c r="Q16" i="9" s="1"/>
  <c r="Q15" i="9" s="1"/>
  <c r="Q14" i="9" s="1"/>
  <c r="Q13" i="9" s="1"/>
  <c r="Q12" i="9" s="1"/>
  <c r="G61" i="9"/>
  <c r="G51" i="5"/>
  <c r="E12" i="5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O52" i="5"/>
  <c r="O12" i="5"/>
  <c r="O43" i="4"/>
  <c r="O13" i="4"/>
  <c r="H43" i="4"/>
  <c r="Q43" i="4" s="1"/>
  <c r="Q42" i="4" s="1"/>
  <c r="J42" i="4"/>
  <c r="G60" i="9" l="1"/>
  <c r="N61" i="9"/>
  <c r="M61" i="9"/>
  <c r="H61" i="9"/>
  <c r="R62" i="9"/>
  <c r="J60" i="9"/>
  <c r="Q51" i="5"/>
  <c r="Q50" i="5" s="1"/>
  <c r="Q49" i="5" s="1"/>
  <c r="Q48" i="5" s="1"/>
  <c r="Q47" i="5" s="1"/>
  <c r="Q46" i="5" s="1"/>
  <c r="Q45" i="5" s="1"/>
  <c r="Q44" i="5" s="1"/>
  <c r="Q43" i="5" s="1"/>
  <c r="Q42" i="5" s="1"/>
  <c r="Q41" i="5" s="1"/>
  <c r="Q40" i="5" s="1"/>
  <c r="Q39" i="5" s="1"/>
  <c r="Q38" i="5" s="1"/>
  <c r="Q37" i="5" s="1"/>
  <c r="Q36" i="5" s="1"/>
  <c r="Q35" i="5" s="1"/>
  <c r="Q34" i="5" s="1"/>
  <c r="Q33" i="5" s="1"/>
  <c r="Q32" i="5" s="1"/>
  <c r="Q31" i="5" s="1"/>
  <c r="Q30" i="5" s="1"/>
  <c r="Q29" i="5" s="1"/>
  <c r="Q28" i="5" s="1"/>
  <c r="Q27" i="5" s="1"/>
  <c r="Q26" i="5" s="1"/>
  <c r="Q25" i="5" s="1"/>
  <c r="Q24" i="5" s="1"/>
  <c r="Q23" i="5" s="1"/>
  <c r="Q22" i="5" s="1"/>
  <c r="Q21" i="5" s="1"/>
  <c r="Q20" i="5" s="1"/>
  <c r="Q19" i="5" s="1"/>
  <c r="Q18" i="5" s="1"/>
  <c r="Q17" i="5" s="1"/>
  <c r="Q16" i="5" s="1"/>
  <c r="Q15" i="5" s="1"/>
  <c r="Q14" i="5" s="1"/>
  <c r="Q13" i="5" s="1"/>
  <c r="M51" i="5"/>
  <c r="G50" i="5"/>
  <c r="N51" i="5"/>
  <c r="K42" i="4"/>
  <c r="O61" i="9" l="1"/>
  <c r="J59" i="9"/>
  <c r="K60" i="9"/>
  <c r="G59" i="9"/>
  <c r="N60" i="9"/>
  <c r="M60" i="9"/>
  <c r="H60" i="9"/>
  <c r="R60" i="9"/>
  <c r="R61" i="9"/>
  <c r="R50" i="5"/>
  <c r="Q12" i="5"/>
  <c r="R51" i="5"/>
  <c r="G49" i="5"/>
  <c r="M50" i="5"/>
  <c r="N50" i="5"/>
  <c r="R49" i="5"/>
  <c r="G26" i="1"/>
  <c r="G27" i="1"/>
  <c r="G25" i="1"/>
  <c r="G13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J41" i="4" s="1"/>
  <c r="D53" i="2"/>
  <c r="D54" i="2"/>
  <c r="R43" i="4" s="1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O60" i="9" l="1"/>
  <c r="G58" i="9"/>
  <c r="H59" i="9"/>
  <c r="N59" i="9"/>
  <c r="M59" i="9"/>
  <c r="J58" i="9"/>
  <c r="K59" i="9"/>
  <c r="R59" i="9"/>
  <c r="R41" i="5"/>
  <c r="G48" i="5"/>
  <c r="N49" i="5"/>
  <c r="M49" i="5"/>
  <c r="R48" i="5"/>
  <c r="G42" i="4"/>
  <c r="N42" i="4" s="1"/>
  <c r="J40" i="4"/>
  <c r="K41" i="4"/>
  <c r="O59" i="9" l="1"/>
  <c r="J57" i="9"/>
  <c r="K58" i="9"/>
  <c r="G57" i="9"/>
  <c r="H58" i="9"/>
  <c r="N58" i="9"/>
  <c r="M58" i="9"/>
  <c r="R58" i="9"/>
  <c r="G47" i="5"/>
  <c r="M48" i="5"/>
  <c r="N48" i="5"/>
  <c r="R47" i="5"/>
  <c r="K40" i="4"/>
  <c r="J39" i="4"/>
  <c r="R42" i="4"/>
  <c r="Q41" i="4"/>
  <c r="H42" i="4"/>
  <c r="M42" i="4"/>
  <c r="G41" i="4"/>
  <c r="N41" i="4" s="1"/>
  <c r="O58" i="9" l="1"/>
  <c r="G56" i="9"/>
  <c r="N57" i="9"/>
  <c r="M57" i="9"/>
  <c r="H57" i="9"/>
  <c r="J56" i="9"/>
  <c r="K57" i="9"/>
  <c r="R57" i="9"/>
  <c r="G46" i="5"/>
  <c r="M47" i="5"/>
  <c r="N47" i="5"/>
  <c r="R46" i="5"/>
  <c r="M41" i="4"/>
  <c r="G40" i="4"/>
  <c r="N40" i="4" s="1"/>
  <c r="H41" i="4"/>
  <c r="O42" i="4"/>
  <c r="R41" i="4"/>
  <c r="Q40" i="4"/>
  <c r="J38" i="4"/>
  <c r="K39" i="4"/>
  <c r="O57" i="9" l="1"/>
  <c r="J55" i="9"/>
  <c r="K56" i="9"/>
  <c r="G55" i="9"/>
  <c r="H56" i="9"/>
  <c r="N56" i="9"/>
  <c r="M56" i="9"/>
  <c r="G45" i="5"/>
  <c r="H45" i="5" s="1"/>
  <c r="N46" i="5"/>
  <c r="M46" i="5"/>
  <c r="R45" i="5"/>
  <c r="O41" i="4"/>
  <c r="R40" i="4"/>
  <c r="Q39" i="4"/>
  <c r="H40" i="4"/>
  <c r="G39" i="4"/>
  <c r="N39" i="4" s="1"/>
  <c r="M40" i="4"/>
  <c r="K38" i="4"/>
  <c r="J37" i="4"/>
  <c r="O56" i="9" l="1"/>
  <c r="G54" i="9"/>
  <c r="N55" i="9"/>
  <c r="M55" i="9"/>
  <c r="H55" i="9"/>
  <c r="J54" i="9"/>
  <c r="K55" i="9"/>
  <c r="R55" i="9"/>
  <c r="R56" i="9"/>
  <c r="G44" i="5"/>
  <c r="N45" i="5"/>
  <c r="M45" i="5"/>
  <c r="R44" i="5"/>
  <c r="H46" i="5"/>
  <c r="O46" i="5"/>
  <c r="O40" i="4"/>
  <c r="J36" i="4"/>
  <c r="K37" i="4"/>
  <c r="R39" i="4"/>
  <c r="Q38" i="4"/>
  <c r="Q37" i="4" s="1"/>
  <c r="M39" i="4"/>
  <c r="G38" i="4"/>
  <c r="N38" i="4" s="1"/>
  <c r="H39" i="4"/>
  <c r="G53" i="9" l="1"/>
  <c r="N54" i="9"/>
  <c r="M54" i="9"/>
  <c r="H54" i="9"/>
  <c r="J53" i="9"/>
  <c r="K54" i="9"/>
  <c r="O55" i="9"/>
  <c r="R54" i="9"/>
  <c r="G43" i="5"/>
  <c r="N44" i="5"/>
  <c r="M44" i="5"/>
  <c r="H44" i="5"/>
  <c r="R43" i="5"/>
  <c r="H47" i="5"/>
  <c r="O47" i="5"/>
  <c r="O45" i="5"/>
  <c r="G37" i="4"/>
  <c r="N37" i="4" s="1"/>
  <c r="M38" i="4"/>
  <c r="H38" i="4"/>
  <c r="R38" i="4"/>
  <c r="J35" i="4"/>
  <c r="K36" i="4"/>
  <c r="O39" i="4"/>
  <c r="R37" i="4"/>
  <c r="Q36" i="4"/>
  <c r="J52" i="9" l="1"/>
  <c r="K53" i="9"/>
  <c r="O54" i="9"/>
  <c r="G52" i="9"/>
  <c r="N53" i="9"/>
  <c r="M53" i="9"/>
  <c r="H53" i="9"/>
  <c r="R53" i="9"/>
  <c r="G42" i="5"/>
  <c r="M43" i="5"/>
  <c r="N43" i="5"/>
  <c r="H43" i="5"/>
  <c r="R42" i="5"/>
  <c r="H48" i="5"/>
  <c r="O48" i="5"/>
  <c r="O44" i="5"/>
  <c r="R36" i="4"/>
  <c r="Q35" i="4"/>
  <c r="J34" i="4"/>
  <c r="K35" i="4"/>
  <c r="O38" i="4"/>
  <c r="H37" i="4"/>
  <c r="M37" i="4"/>
  <c r="G36" i="4"/>
  <c r="N36" i="4" s="1"/>
  <c r="O53" i="9" l="1"/>
  <c r="G51" i="9"/>
  <c r="N52" i="9"/>
  <c r="M52" i="9"/>
  <c r="H52" i="9"/>
  <c r="J51" i="9"/>
  <c r="K52" i="9"/>
  <c r="R52" i="9"/>
  <c r="G41" i="5"/>
  <c r="M42" i="5"/>
  <c r="N42" i="5"/>
  <c r="H42" i="5"/>
  <c r="H49" i="5"/>
  <c r="O49" i="5"/>
  <c r="O43" i="5"/>
  <c r="O37" i="4"/>
  <c r="M36" i="4"/>
  <c r="H36" i="4"/>
  <c r="G35" i="4"/>
  <c r="N35" i="4" s="1"/>
  <c r="J33" i="4"/>
  <c r="K34" i="4"/>
  <c r="R35" i="4"/>
  <c r="Q34" i="4"/>
  <c r="J50" i="9" l="1"/>
  <c r="K51" i="9"/>
  <c r="O52" i="9"/>
  <c r="G50" i="9"/>
  <c r="H51" i="9"/>
  <c r="N51" i="9"/>
  <c r="M51" i="9"/>
  <c r="R51" i="9"/>
  <c r="G40" i="5"/>
  <c r="N41" i="5"/>
  <c r="M41" i="5"/>
  <c r="H41" i="5"/>
  <c r="R40" i="5"/>
  <c r="R52" i="5"/>
  <c r="J51" i="5"/>
  <c r="H50" i="5"/>
  <c r="O42" i="5"/>
  <c r="J32" i="4"/>
  <c r="K33" i="4"/>
  <c r="M35" i="4"/>
  <c r="H35" i="4"/>
  <c r="G34" i="4"/>
  <c r="N34" i="4" s="1"/>
  <c r="R34" i="4"/>
  <c r="Q33" i="4"/>
  <c r="O36" i="4"/>
  <c r="O51" i="9" l="1"/>
  <c r="G49" i="9"/>
  <c r="N50" i="9"/>
  <c r="M50" i="9"/>
  <c r="H50" i="9"/>
  <c r="J49" i="9"/>
  <c r="K50" i="9"/>
  <c r="R50" i="9"/>
  <c r="O41" i="5"/>
  <c r="J50" i="5"/>
  <c r="K51" i="5"/>
  <c r="G39" i="5"/>
  <c r="N40" i="5"/>
  <c r="M40" i="5"/>
  <c r="R39" i="5"/>
  <c r="O50" i="5"/>
  <c r="H51" i="5"/>
  <c r="G33" i="4"/>
  <c r="N33" i="4" s="1"/>
  <c r="H34" i="4"/>
  <c r="M34" i="4"/>
  <c r="R33" i="4"/>
  <c r="Q32" i="4"/>
  <c r="O35" i="4"/>
  <c r="K32" i="4"/>
  <c r="J31" i="4"/>
  <c r="O50" i="9" l="1"/>
  <c r="J48" i="9"/>
  <c r="K49" i="9"/>
  <c r="G48" i="9"/>
  <c r="N49" i="9"/>
  <c r="M49" i="9"/>
  <c r="H49" i="9"/>
  <c r="R49" i="9"/>
  <c r="O40" i="5"/>
  <c r="G38" i="5"/>
  <c r="N39" i="5"/>
  <c r="M39" i="5"/>
  <c r="K50" i="5"/>
  <c r="J49" i="5"/>
  <c r="H39" i="5"/>
  <c r="R38" i="5"/>
  <c r="O51" i="5"/>
  <c r="H40" i="5"/>
  <c r="O34" i="4"/>
  <c r="R32" i="4"/>
  <c r="Q31" i="4"/>
  <c r="K31" i="4"/>
  <c r="J30" i="4"/>
  <c r="G32" i="4"/>
  <c r="N32" i="4" s="1"/>
  <c r="H33" i="4"/>
  <c r="M33" i="4"/>
  <c r="O49" i="9" l="1"/>
  <c r="G47" i="9"/>
  <c r="H48" i="9"/>
  <c r="N48" i="9"/>
  <c r="M48" i="9"/>
  <c r="J47" i="9"/>
  <c r="K48" i="9"/>
  <c r="R48" i="9"/>
  <c r="O39" i="5"/>
  <c r="J48" i="5"/>
  <c r="K49" i="5"/>
  <c r="G37" i="5"/>
  <c r="N38" i="5"/>
  <c r="M38" i="5"/>
  <c r="H38" i="5"/>
  <c r="R37" i="5"/>
  <c r="O33" i="4"/>
  <c r="J29" i="4"/>
  <c r="K30" i="4"/>
  <c r="M32" i="4"/>
  <c r="G31" i="4"/>
  <c r="N31" i="4" s="1"/>
  <c r="H32" i="4"/>
  <c r="R31" i="4"/>
  <c r="Q30" i="4"/>
  <c r="O48" i="9" l="1"/>
  <c r="J46" i="9"/>
  <c r="K47" i="9"/>
  <c r="G46" i="9"/>
  <c r="N47" i="9"/>
  <c r="M47" i="9"/>
  <c r="H47" i="9"/>
  <c r="R47" i="9"/>
  <c r="J47" i="5"/>
  <c r="K48" i="5"/>
  <c r="O38" i="5"/>
  <c r="G36" i="5"/>
  <c r="M37" i="5"/>
  <c r="N37" i="5"/>
  <c r="H37" i="5"/>
  <c r="R36" i="5"/>
  <c r="O32" i="4"/>
  <c r="M31" i="4"/>
  <c r="H31" i="4"/>
  <c r="G30" i="4"/>
  <c r="N30" i="4" s="1"/>
  <c r="R30" i="4"/>
  <c r="Q29" i="4"/>
  <c r="K29" i="4"/>
  <c r="J28" i="4"/>
  <c r="O47" i="9" l="1"/>
  <c r="G45" i="9"/>
  <c r="N46" i="9"/>
  <c r="M46" i="9"/>
  <c r="H46" i="9"/>
  <c r="J45" i="9"/>
  <c r="K46" i="9"/>
  <c r="R46" i="9"/>
  <c r="O37" i="5"/>
  <c r="G35" i="5"/>
  <c r="M36" i="5"/>
  <c r="N36" i="5"/>
  <c r="H36" i="5"/>
  <c r="J46" i="5"/>
  <c r="K47" i="5"/>
  <c r="R35" i="5"/>
  <c r="O31" i="4"/>
  <c r="R29" i="4"/>
  <c r="Q28" i="4"/>
  <c r="K28" i="4"/>
  <c r="J27" i="4"/>
  <c r="M30" i="4"/>
  <c r="G29" i="4"/>
  <c r="N29" i="4" s="1"/>
  <c r="H30" i="4"/>
  <c r="O46" i="9" l="1"/>
  <c r="J44" i="9"/>
  <c r="K45" i="9"/>
  <c r="G44" i="9"/>
  <c r="N45" i="9"/>
  <c r="M45" i="9"/>
  <c r="H45" i="9"/>
  <c r="R45" i="9"/>
  <c r="J45" i="5"/>
  <c r="K46" i="5"/>
  <c r="O36" i="5"/>
  <c r="G34" i="5"/>
  <c r="M35" i="5"/>
  <c r="N35" i="5"/>
  <c r="H35" i="5"/>
  <c r="R34" i="5"/>
  <c r="J26" i="4"/>
  <c r="K27" i="4"/>
  <c r="M29" i="4"/>
  <c r="H29" i="4"/>
  <c r="G28" i="4"/>
  <c r="N28" i="4" s="1"/>
  <c r="O30" i="4"/>
  <c r="R28" i="4"/>
  <c r="Q27" i="4"/>
  <c r="O35" i="5" l="1"/>
  <c r="O45" i="9"/>
  <c r="G43" i="9"/>
  <c r="N44" i="9"/>
  <c r="M44" i="9"/>
  <c r="H44" i="9"/>
  <c r="J43" i="9"/>
  <c r="K44" i="9"/>
  <c r="R44" i="9"/>
  <c r="G33" i="5"/>
  <c r="M34" i="5"/>
  <c r="N34" i="5"/>
  <c r="H34" i="5"/>
  <c r="J44" i="5"/>
  <c r="K45" i="5"/>
  <c r="R33" i="5"/>
  <c r="G27" i="4"/>
  <c r="N27" i="4" s="1"/>
  <c r="M28" i="4"/>
  <c r="H28" i="4"/>
  <c r="O29" i="4"/>
  <c r="R27" i="4"/>
  <c r="Q26" i="4"/>
  <c r="J25" i="4"/>
  <c r="K26" i="4"/>
  <c r="O44" i="9" l="1"/>
  <c r="J42" i="9"/>
  <c r="K43" i="9"/>
  <c r="G42" i="9"/>
  <c r="H43" i="9"/>
  <c r="N43" i="9"/>
  <c r="M43" i="9"/>
  <c r="R43" i="9"/>
  <c r="O34" i="5"/>
  <c r="J43" i="5"/>
  <c r="K44" i="5"/>
  <c r="G32" i="5"/>
  <c r="N33" i="5"/>
  <c r="M33" i="5"/>
  <c r="H33" i="5"/>
  <c r="R32" i="5"/>
  <c r="O28" i="4"/>
  <c r="J24" i="4"/>
  <c r="K25" i="4"/>
  <c r="R26" i="4"/>
  <c r="Q25" i="4"/>
  <c r="M27" i="4"/>
  <c r="H27" i="4"/>
  <c r="G26" i="4"/>
  <c r="N26" i="4" s="1"/>
  <c r="O43" i="9" l="1"/>
  <c r="G41" i="9"/>
  <c r="H42" i="9"/>
  <c r="N42" i="9"/>
  <c r="M42" i="9"/>
  <c r="J41" i="9"/>
  <c r="K42" i="9"/>
  <c r="R42" i="9"/>
  <c r="O33" i="5"/>
  <c r="J42" i="5"/>
  <c r="K43" i="5"/>
  <c r="G31" i="5"/>
  <c r="N32" i="5"/>
  <c r="M32" i="5"/>
  <c r="H32" i="5"/>
  <c r="R31" i="5"/>
  <c r="O27" i="4"/>
  <c r="R25" i="4"/>
  <c r="Q24" i="4"/>
  <c r="M26" i="4"/>
  <c r="G25" i="4"/>
  <c r="N25" i="4" s="1"/>
  <c r="H26" i="4"/>
  <c r="J23" i="4"/>
  <c r="K24" i="4"/>
  <c r="O42" i="9" l="1"/>
  <c r="J40" i="9"/>
  <c r="K41" i="9"/>
  <c r="G40" i="9"/>
  <c r="M41" i="9"/>
  <c r="N41" i="9"/>
  <c r="H41" i="9"/>
  <c r="R41" i="9"/>
  <c r="O32" i="5"/>
  <c r="G30" i="5"/>
  <c r="N31" i="5"/>
  <c r="M31" i="5"/>
  <c r="H31" i="5"/>
  <c r="J41" i="5"/>
  <c r="K42" i="5"/>
  <c r="R30" i="5"/>
  <c r="O26" i="4"/>
  <c r="M25" i="4"/>
  <c r="G24" i="4"/>
  <c r="N24" i="4" s="1"/>
  <c r="H25" i="4"/>
  <c r="J22" i="4"/>
  <c r="K23" i="4"/>
  <c r="R24" i="4"/>
  <c r="Q23" i="4"/>
  <c r="O41" i="9" l="1"/>
  <c r="G39" i="9"/>
  <c r="N40" i="9"/>
  <c r="M40" i="9"/>
  <c r="H40" i="9"/>
  <c r="J39" i="9"/>
  <c r="K40" i="9"/>
  <c r="R40" i="9"/>
  <c r="J40" i="5"/>
  <c r="K41" i="5"/>
  <c r="O31" i="5"/>
  <c r="G29" i="5"/>
  <c r="N30" i="5"/>
  <c r="H30" i="5"/>
  <c r="M30" i="5"/>
  <c r="R29" i="5"/>
  <c r="R23" i="4"/>
  <c r="Q22" i="4"/>
  <c r="J21" i="4"/>
  <c r="K22" i="4"/>
  <c r="G23" i="4"/>
  <c r="N23" i="4" s="1"/>
  <c r="M24" i="4"/>
  <c r="H24" i="4"/>
  <c r="O25" i="4"/>
  <c r="O40" i="9" l="1"/>
  <c r="J38" i="9"/>
  <c r="K39" i="9"/>
  <c r="G38" i="9"/>
  <c r="N39" i="9"/>
  <c r="M39" i="9"/>
  <c r="H39" i="9"/>
  <c r="R39" i="9"/>
  <c r="O30" i="5"/>
  <c r="G28" i="5"/>
  <c r="N29" i="5"/>
  <c r="H29" i="5"/>
  <c r="M29" i="5"/>
  <c r="J39" i="5"/>
  <c r="K40" i="5"/>
  <c r="R28" i="5"/>
  <c r="M23" i="4"/>
  <c r="H23" i="4"/>
  <c r="G22" i="4"/>
  <c r="N22" i="4" s="1"/>
  <c r="O24" i="4"/>
  <c r="J20" i="4"/>
  <c r="K21" i="4"/>
  <c r="R22" i="4"/>
  <c r="Q21" i="4"/>
  <c r="R21" i="4" s="1"/>
  <c r="O39" i="9" l="1"/>
  <c r="G37" i="9"/>
  <c r="N38" i="9"/>
  <c r="M38" i="9"/>
  <c r="H38" i="9"/>
  <c r="J37" i="9"/>
  <c r="K38" i="9"/>
  <c r="R38" i="9"/>
  <c r="J38" i="5"/>
  <c r="K39" i="5"/>
  <c r="O29" i="5"/>
  <c r="G27" i="5"/>
  <c r="N28" i="5"/>
  <c r="H28" i="5"/>
  <c r="M28" i="5"/>
  <c r="R27" i="5"/>
  <c r="O23" i="4"/>
  <c r="G21" i="4"/>
  <c r="N21" i="4" s="1"/>
  <c r="M22" i="4"/>
  <c r="H22" i="4"/>
  <c r="J19" i="4"/>
  <c r="K20" i="4"/>
  <c r="Q20" i="4"/>
  <c r="Q19" i="4" s="1"/>
  <c r="O38" i="9" l="1"/>
  <c r="J36" i="9"/>
  <c r="K37" i="9"/>
  <c r="G36" i="9"/>
  <c r="N37" i="9"/>
  <c r="M37" i="9"/>
  <c r="H37" i="9"/>
  <c r="R37" i="9"/>
  <c r="O28" i="5"/>
  <c r="G26" i="5"/>
  <c r="N27" i="5"/>
  <c r="M27" i="5"/>
  <c r="H27" i="5"/>
  <c r="J37" i="5"/>
  <c r="K38" i="5"/>
  <c r="R26" i="5"/>
  <c r="O22" i="4"/>
  <c r="R19" i="4"/>
  <c r="Q18" i="4"/>
  <c r="R20" i="4"/>
  <c r="J18" i="4"/>
  <c r="K19" i="4"/>
  <c r="M21" i="4"/>
  <c r="G20" i="4"/>
  <c r="N20" i="4" s="1"/>
  <c r="H21" i="4"/>
  <c r="O37" i="9" l="1"/>
  <c r="G35" i="9"/>
  <c r="N36" i="9"/>
  <c r="M36" i="9"/>
  <c r="H36" i="9"/>
  <c r="J35" i="9"/>
  <c r="K36" i="9"/>
  <c r="R36" i="9"/>
  <c r="G25" i="5"/>
  <c r="N26" i="5"/>
  <c r="H26" i="5"/>
  <c r="M26" i="5"/>
  <c r="J36" i="5"/>
  <c r="K37" i="5"/>
  <c r="O27" i="5"/>
  <c r="R25" i="5"/>
  <c r="O21" i="4"/>
  <c r="H20" i="4"/>
  <c r="M20" i="4"/>
  <c r="G19" i="4"/>
  <c r="N19" i="4" s="1"/>
  <c r="J17" i="4"/>
  <c r="K18" i="4"/>
  <c r="R18" i="4"/>
  <c r="Q17" i="4"/>
  <c r="O36" i="9" l="1"/>
  <c r="J34" i="9"/>
  <c r="K35" i="9"/>
  <c r="G34" i="9"/>
  <c r="H35" i="9"/>
  <c r="N35" i="9"/>
  <c r="M35" i="9"/>
  <c r="R35" i="9"/>
  <c r="O26" i="5"/>
  <c r="G24" i="5"/>
  <c r="N25" i="5"/>
  <c r="H25" i="5"/>
  <c r="M25" i="5"/>
  <c r="J35" i="5"/>
  <c r="K36" i="5"/>
  <c r="R24" i="5"/>
  <c r="O20" i="4"/>
  <c r="H19" i="4"/>
  <c r="G18" i="4"/>
  <c r="N18" i="4" s="1"/>
  <c r="M19" i="4"/>
  <c r="R17" i="4"/>
  <c r="Q16" i="4"/>
  <c r="J16" i="4"/>
  <c r="K17" i="4"/>
  <c r="O35" i="9" l="1"/>
  <c r="G33" i="9"/>
  <c r="H34" i="9"/>
  <c r="N34" i="9"/>
  <c r="M34" i="9"/>
  <c r="J33" i="9"/>
  <c r="K34" i="9"/>
  <c r="R34" i="9"/>
  <c r="J34" i="5"/>
  <c r="K35" i="5"/>
  <c r="O25" i="5"/>
  <c r="G23" i="5"/>
  <c r="N24" i="5"/>
  <c r="M24" i="5"/>
  <c r="H24" i="5"/>
  <c r="R23" i="5"/>
  <c r="O19" i="4"/>
  <c r="J15" i="4"/>
  <c r="K16" i="4"/>
  <c r="M18" i="4"/>
  <c r="H18" i="4"/>
  <c r="G17" i="4"/>
  <c r="N17" i="4" s="1"/>
  <c r="R16" i="4"/>
  <c r="Q15" i="4"/>
  <c r="O34" i="9" l="1"/>
  <c r="J32" i="9"/>
  <c r="K33" i="9"/>
  <c r="G32" i="9"/>
  <c r="N33" i="9"/>
  <c r="M33" i="9"/>
  <c r="H33" i="9"/>
  <c r="R33" i="9"/>
  <c r="O24" i="5"/>
  <c r="G22" i="5"/>
  <c r="N23" i="5"/>
  <c r="M23" i="5"/>
  <c r="H23" i="5"/>
  <c r="J33" i="5"/>
  <c r="K34" i="5"/>
  <c r="R22" i="5"/>
  <c r="O18" i="4"/>
  <c r="R15" i="4"/>
  <c r="Q14" i="4"/>
  <c r="G16" i="4"/>
  <c r="N16" i="4" s="1"/>
  <c r="M17" i="4"/>
  <c r="H17" i="4"/>
  <c r="J14" i="4"/>
  <c r="K15" i="4"/>
  <c r="O33" i="9" l="1"/>
  <c r="G31" i="9"/>
  <c r="H32" i="9"/>
  <c r="N32" i="9"/>
  <c r="M32" i="9"/>
  <c r="J31" i="9"/>
  <c r="K32" i="9"/>
  <c r="R32" i="9"/>
  <c r="J32" i="5"/>
  <c r="K33" i="5"/>
  <c r="O23" i="5"/>
  <c r="G21" i="5"/>
  <c r="N22" i="5"/>
  <c r="M22" i="5"/>
  <c r="H22" i="5"/>
  <c r="R21" i="5"/>
  <c r="O17" i="4"/>
  <c r="K14" i="4"/>
  <c r="J13" i="4"/>
  <c r="K13" i="4" s="1"/>
  <c r="G15" i="4"/>
  <c r="N15" i="4" s="1"/>
  <c r="M16" i="4"/>
  <c r="H16" i="4"/>
  <c r="R14" i="4"/>
  <c r="Q13" i="4"/>
  <c r="R13" i="4" s="1"/>
  <c r="K46" i="4" l="1"/>
  <c r="O32" i="9"/>
  <c r="J30" i="9"/>
  <c r="K31" i="9"/>
  <c r="G30" i="9"/>
  <c r="N31" i="9"/>
  <c r="M31" i="9"/>
  <c r="H31" i="9"/>
  <c r="R31" i="9"/>
  <c r="O22" i="5"/>
  <c r="G20" i="5"/>
  <c r="N21" i="5"/>
  <c r="M21" i="5"/>
  <c r="H21" i="5"/>
  <c r="J31" i="5"/>
  <c r="K32" i="5"/>
  <c r="R20" i="5"/>
  <c r="O16" i="4"/>
  <c r="G14" i="4"/>
  <c r="N14" i="4" s="1"/>
  <c r="H15" i="4"/>
  <c r="M15" i="4"/>
  <c r="O31" i="9" l="1"/>
  <c r="G29" i="9"/>
  <c r="N30" i="9"/>
  <c r="M30" i="9"/>
  <c r="H30" i="9"/>
  <c r="J29" i="9"/>
  <c r="K30" i="9"/>
  <c r="R30" i="9"/>
  <c r="J30" i="5"/>
  <c r="K31" i="5"/>
  <c r="O21" i="5"/>
  <c r="G19" i="5"/>
  <c r="N20" i="5"/>
  <c r="M20" i="5"/>
  <c r="H20" i="5"/>
  <c r="R19" i="5"/>
  <c r="O15" i="4"/>
  <c r="H14" i="4"/>
  <c r="M14" i="4"/>
  <c r="G13" i="4"/>
  <c r="H13" i="4" s="1"/>
  <c r="O30" i="9" l="1"/>
  <c r="H46" i="4"/>
  <c r="J28" i="9"/>
  <c r="K29" i="9"/>
  <c r="G28" i="9"/>
  <c r="N29" i="9"/>
  <c r="M29" i="9"/>
  <c r="H29" i="9"/>
  <c r="R29" i="9"/>
  <c r="O20" i="5"/>
  <c r="G18" i="5"/>
  <c r="N19" i="5"/>
  <c r="M19" i="5"/>
  <c r="H19" i="5"/>
  <c r="J29" i="5"/>
  <c r="K30" i="5"/>
  <c r="R18" i="5"/>
  <c r="O14" i="4"/>
  <c r="O46" i="4" s="1"/>
  <c r="J8" i="4" s="1"/>
  <c r="O29" i="9" l="1"/>
  <c r="G27" i="9"/>
  <c r="N28" i="9"/>
  <c r="M28" i="9"/>
  <c r="H28" i="9"/>
  <c r="J27" i="9"/>
  <c r="K28" i="9"/>
  <c r="R28" i="9"/>
  <c r="O19" i="5"/>
  <c r="J28" i="5"/>
  <c r="K29" i="5"/>
  <c r="G17" i="5"/>
  <c r="N18" i="5"/>
  <c r="M18" i="5"/>
  <c r="H18" i="5"/>
  <c r="R17" i="5"/>
  <c r="O28" i="9" l="1"/>
  <c r="J26" i="9"/>
  <c r="K27" i="9"/>
  <c r="G26" i="9"/>
  <c r="H27" i="9"/>
  <c r="N27" i="9"/>
  <c r="M27" i="9"/>
  <c r="R27" i="9"/>
  <c r="G16" i="5"/>
  <c r="N17" i="5"/>
  <c r="M17" i="5"/>
  <c r="H17" i="5"/>
  <c r="O18" i="5"/>
  <c r="J27" i="5"/>
  <c r="K28" i="5"/>
  <c r="R16" i="5"/>
  <c r="O27" i="9" l="1"/>
  <c r="G25" i="9"/>
  <c r="H26" i="9"/>
  <c r="N26" i="9"/>
  <c r="M26" i="9"/>
  <c r="J25" i="9"/>
  <c r="K26" i="9"/>
  <c r="R26" i="9"/>
  <c r="O17" i="5"/>
  <c r="J26" i="5"/>
  <c r="K27" i="5"/>
  <c r="G15" i="5"/>
  <c r="N16" i="5"/>
  <c r="M16" i="5"/>
  <c r="H16" i="5"/>
  <c r="R15" i="5"/>
  <c r="O26" i="9" l="1"/>
  <c r="J24" i="9"/>
  <c r="K25" i="9"/>
  <c r="G24" i="9"/>
  <c r="M25" i="9"/>
  <c r="N25" i="9"/>
  <c r="H25" i="9"/>
  <c r="R25" i="9"/>
  <c r="O16" i="5"/>
  <c r="G14" i="5"/>
  <c r="N15" i="5"/>
  <c r="M15" i="5"/>
  <c r="H15" i="5"/>
  <c r="J25" i="5"/>
  <c r="K26" i="5"/>
  <c r="R14" i="5"/>
  <c r="O25" i="9" l="1"/>
  <c r="G23" i="9"/>
  <c r="H24" i="9"/>
  <c r="N24" i="9"/>
  <c r="M24" i="9"/>
  <c r="J23" i="9"/>
  <c r="K24" i="9"/>
  <c r="R24" i="9"/>
  <c r="O15" i="5"/>
  <c r="J24" i="5"/>
  <c r="K25" i="5"/>
  <c r="G13" i="5"/>
  <c r="N14" i="5"/>
  <c r="M14" i="5"/>
  <c r="H14" i="5"/>
  <c r="R12" i="5"/>
  <c r="O24" i="9" l="1"/>
  <c r="J22" i="9"/>
  <c r="K23" i="9"/>
  <c r="G22" i="9"/>
  <c r="N23" i="9"/>
  <c r="M23" i="9"/>
  <c r="H23" i="9"/>
  <c r="R23" i="9"/>
  <c r="O14" i="5"/>
  <c r="G12" i="5"/>
  <c r="H12" i="5" s="1"/>
  <c r="N13" i="5"/>
  <c r="M13" i="5"/>
  <c r="H13" i="5"/>
  <c r="J23" i="5"/>
  <c r="K24" i="5"/>
  <c r="R13" i="5"/>
  <c r="H55" i="5" l="1"/>
  <c r="J21" i="9"/>
  <c r="K22" i="9"/>
  <c r="O23" i="9"/>
  <c r="G21" i="9"/>
  <c r="H22" i="9"/>
  <c r="N22" i="9"/>
  <c r="M22" i="9"/>
  <c r="R22" i="9"/>
  <c r="O13" i="5"/>
  <c r="O55" i="5" s="1"/>
  <c r="J22" i="5"/>
  <c r="K23" i="5"/>
  <c r="O22" i="9" l="1"/>
  <c r="G20" i="9"/>
  <c r="N21" i="9"/>
  <c r="M21" i="9"/>
  <c r="H21" i="9"/>
  <c r="J20" i="9"/>
  <c r="K21" i="9"/>
  <c r="R21" i="9"/>
  <c r="J21" i="5"/>
  <c r="K22" i="5"/>
  <c r="O21" i="9" l="1"/>
  <c r="J19" i="9"/>
  <c r="K20" i="9"/>
  <c r="G19" i="9"/>
  <c r="N20" i="9"/>
  <c r="M20" i="9"/>
  <c r="H20" i="9"/>
  <c r="R20" i="9"/>
  <c r="J20" i="5"/>
  <c r="K21" i="5"/>
  <c r="G18" i="9" l="1"/>
  <c r="H19" i="9"/>
  <c r="N19" i="9"/>
  <c r="M19" i="9"/>
  <c r="O20" i="9"/>
  <c r="J18" i="9"/>
  <c r="K19" i="9"/>
  <c r="R19" i="9"/>
  <c r="J19" i="5"/>
  <c r="K20" i="5"/>
  <c r="O19" i="9" l="1"/>
  <c r="J17" i="9"/>
  <c r="K18" i="9"/>
  <c r="G17" i="9"/>
  <c r="H18" i="9"/>
  <c r="N18" i="9"/>
  <c r="M18" i="9"/>
  <c r="R18" i="9"/>
  <c r="J18" i="5"/>
  <c r="K19" i="5"/>
  <c r="O18" i="9" l="1"/>
  <c r="G16" i="9"/>
  <c r="H17" i="9"/>
  <c r="N17" i="9"/>
  <c r="M17" i="9"/>
  <c r="J16" i="9"/>
  <c r="K17" i="9"/>
  <c r="R17" i="9"/>
  <c r="J17" i="5"/>
  <c r="K18" i="5"/>
  <c r="J15" i="9" l="1"/>
  <c r="K16" i="9"/>
  <c r="O17" i="9"/>
  <c r="G15" i="9"/>
  <c r="H16" i="9"/>
  <c r="N16" i="9"/>
  <c r="M16" i="9"/>
  <c r="R16" i="9"/>
  <c r="J16" i="5"/>
  <c r="K17" i="5"/>
  <c r="O16" i="9" l="1"/>
  <c r="G14" i="9"/>
  <c r="H15" i="9"/>
  <c r="N15" i="9"/>
  <c r="M15" i="9"/>
  <c r="J14" i="9"/>
  <c r="K15" i="9"/>
  <c r="R15" i="9"/>
  <c r="J15" i="5"/>
  <c r="K16" i="5"/>
  <c r="O15" i="9" l="1"/>
  <c r="J13" i="9"/>
  <c r="K14" i="9"/>
  <c r="G13" i="9"/>
  <c r="N14" i="9"/>
  <c r="M14" i="9"/>
  <c r="H14" i="9"/>
  <c r="R14" i="9"/>
  <c r="J14" i="5"/>
  <c r="K15" i="5"/>
  <c r="G12" i="9" l="1"/>
  <c r="H12" i="9" s="1"/>
  <c r="H13" i="9"/>
  <c r="M13" i="9"/>
  <c r="N13" i="9"/>
  <c r="O14" i="9"/>
  <c r="J12" i="9"/>
  <c r="K12" i="9" s="1"/>
  <c r="K65" i="9" s="1"/>
  <c r="K13" i="9"/>
  <c r="R13" i="9"/>
  <c r="J13" i="5"/>
  <c r="K14" i="5"/>
  <c r="O13" i="9" l="1"/>
  <c r="O65" i="9" s="1"/>
  <c r="H65" i="9"/>
  <c r="R12" i="9"/>
  <c r="J12" i="5"/>
  <c r="K12" i="5" s="1"/>
  <c r="K13" i="5"/>
  <c r="J7" i="9" l="1"/>
  <c r="K55" i="5"/>
  <c r="J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Ktated</author>
  </authors>
  <commentList>
    <comment ref="J5" authorId="0" shapeId="0" xr:uid="{A5BD79CF-9DDF-4B49-A888-2F01102B8DEB}">
      <text>
        <r>
          <rPr>
            <b/>
            <sz val="9"/>
            <color indexed="81"/>
            <rFont val="Tahoma"/>
            <family val="2"/>
          </rPr>
          <t>Kareena tated:</t>
        </r>
        <r>
          <rPr>
            <sz val="9"/>
            <color indexed="81"/>
            <rFont val="Tahoma"/>
            <family val="2"/>
          </rPr>
          <t xml:space="preserve">
Solve using goal seek where J8=0</t>
        </r>
      </text>
    </comment>
    <comment ref="J43" authorId="0" shapeId="0" xr:uid="{B120CCC2-8967-460E-AD5B-2FF3A7EA92A8}">
      <text>
        <r>
          <rPr>
            <b/>
            <sz val="9"/>
            <color indexed="81"/>
            <rFont val="Tahoma"/>
            <family val="2"/>
          </rPr>
          <t>Kareena Tated:</t>
        </r>
        <r>
          <rPr>
            <sz val="9"/>
            <color indexed="81"/>
            <rFont val="Tahoma"/>
            <family val="2"/>
          </rPr>
          <t xml:space="preserve">
At the end of the contract no benefit is payable, so the EPV of the policy at this point is zero.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Ktated</author>
  </authors>
  <commentList>
    <comment ref="J4" authorId="0" shapeId="0" xr:uid="{C7DA181C-0FBE-467A-A88A-B83CEC648744}">
      <text>
        <r>
          <rPr>
            <b/>
            <sz val="9"/>
            <color indexed="81"/>
            <rFont val="Tahoma"/>
            <family val="2"/>
          </rPr>
          <t>Kareena tated:</t>
        </r>
        <r>
          <rPr>
            <sz val="9"/>
            <color indexed="81"/>
            <rFont val="Tahoma"/>
            <family val="2"/>
          </rPr>
          <t xml:space="preserve">
Solve using goal seek where J7=0</t>
        </r>
      </text>
    </comment>
    <comment ref="J52" authorId="0" shapeId="0" xr:uid="{09AEAC93-AF7D-4637-8230-663C5B4DC588}">
      <text>
        <r>
          <rPr>
            <b/>
            <sz val="9"/>
            <color indexed="81"/>
            <rFont val="Tahoma"/>
            <family val="2"/>
          </rPr>
          <t>Kareena Tated:</t>
        </r>
        <r>
          <rPr>
            <sz val="9"/>
            <color indexed="81"/>
            <rFont val="Tahoma"/>
            <family val="2"/>
          </rPr>
          <t xml:space="preserve">
At the end of the contract no benefit is payable, so the EPV of the policy at this point is zero.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Ktated</author>
  </authors>
  <commentList>
    <comment ref="J4" authorId="0" shapeId="0" xr:uid="{4C790E6A-F3EE-4883-B04F-80223D9A27B2}">
      <text>
        <r>
          <rPr>
            <b/>
            <sz val="9"/>
            <color indexed="81"/>
            <rFont val="Tahoma"/>
            <family val="2"/>
          </rPr>
          <t>Kareena tated:</t>
        </r>
        <r>
          <rPr>
            <sz val="9"/>
            <color indexed="81"/>
            <rFont val="Tahoma"/>
            <family val="2"/>
          </rPr>
          <t xml:space="preserve">
Solve using goal seek where J7=0</t>
        </r>
      </text>
    </comment>
    <comment ref="J62" authorId="0" shapeId="0" xr:uid="{C3FB5162-32D9-4F03-AE81-B07806DB7238}">
      <text>
        <r>
          <rPr>
            <b/>
            <sz val="9"/>
            <color indexed="81"/>
            <rFont val="Tahoma"/>
            <family val="2"/>
          </rPr>
          <t>Kareena Tated:</t>
        </r>
        <r>
          <rPr>
            <sz val="9"/>
            <color indexed="81"/>
            <rFont val="Tahoma"/>
            <family val="2"/>
          </rPr>
          <t xml:space="preserve">
At the end of the contract no benefit is payable, so the EPV of the policy at this point is zero.</t>
        </r>
      </text>
    </comment>
  </commentList>
</comments>
</file>

<file path=xl/sharedStrings.xml><?xml version="1.0" encoding="utf-8"?>
<sst xmlns="http://schemas.openxmlformats.org/spreadsheetml/2006/main" count="105" uniqueCount="53">
  <si>
    <t>Product: Term assurance</t>
  </si>
  <si>
    <t>Age</t>
  </si>
  <si>
    <t>qx</t>
  </si>
  <si>
    <t>-</t>
  </si>
  <si>
    <t>px</t>
  </si>
  <si>
    <t>Expenses</t>
  </si>
  <si>
    <t>Initial</t>
  </si>
  <si>
    <t>Fixed</t>
  </si>
  <si>
    <t>Variable</t>
  </si>
  <si>
    <t>of annual premium</t>
  </si>
  <si>
    <t>assumed</t>
  </si>
  <si>
    <t>Renewal</t>
  </si>
  <si>
    <t>of monthly premium</t>
  </si>
  <si>
    <t>Sum Assured</t>
  </si>
  <si>
    <t>Amount</t>
  </si>
  <si>
    <t>Term</t>
  </si>
  <si>
    <t>Term-1</t>
  </si>
  <si>
    <t>Term-2</t>
  </si>
  <si>
    <t>Term-3</t>
  </si>
  <si>
    <t>Parameters</t>
  </si>
  <si>
    <t>Monthly in advance</t>
  </si>
  <si>
    <t>Premium paying term</t>
  </si>
  <si>
    <t>Interest Rate</t>
  </si>
  <si>
    <t>i</t>
  </si>
  <si>
    <t>v</t>
  </si>
  <si>
    <t>EPV of Benefits</t>
  </si>
  <si>
    <t>assumed (monthly)</t>
  </si>
  <si>
    <t>Current age</t>
  </si>
  <si>
    <t>Monthly conversion term</t>
  </si>
  <si>
    <t>EPV of Income</t>
  </si>
  <si>
    <t>EPV of Fixed Expenses</t>
  </si>
  <si>
    <t>EPV of Variable Expenses</t>
  </si>
  <si>
    <t>EPV of Total Expenses</t>
  </si>
  <si>
    <t>Term assurance factor</t>
  </si>
  <si>
    <t>Reserves</t>
  </si>
  <si>
    <t>Term of 30 years</t>
  </si>
  <si>
    <t>IALM 2012-2014</t>
  </si>
  <si>
    <t>Policy duration</t>
  </si>
  <si>
    <t>Remaining term</t>
  </si>
  <si>
    <t>Annuity-due factor</t>
  </si>
  <si>
    <t>Monthly premium:</t>
  </si>
  <si>
    <t>Premium:</t>
  </si>
  <si>
    <t>EPV(Income-benefits-expenses):</t>
  </si>
  <si>
    <t>Cost of Increase in Reserves (COIIR)</t>
  </si>
  <si>
    <t>Total EPV of Expenses:</t>
  </si>
  <si>
    <t>Total EPV of Benefits:</t>
  </si>
  <si>
    <t>Total EPV of Income:</t>
  </si>
  <si>
    <t>Term of 40 years</t>
  </si>
  <si>
    <t>Term of 50 years</t>
  </si>
  <si>
    <t>Policy Duration</t>
  </si>
  <si>
    <t>Term 30</t>
  </si>
  <si>
    <t>Term 40</t>
  </si>
  <si>
    <t>Term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</si>
</sst>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164" formatCode="0.00000"/>
    <numFmt numFmtId="165" formatCode="_ [$₹-4009]\ * #,##0.00_ ;_ [$₹-4009]\ * \-#,##0.00_ ;_ [$₹-4009]\ * &quot;-&quot;??_ ;_ @_ "/>
    <numFmt numFmtId="166" formatCode="#,##0.0000"/>
    <numFmt numFmtId="167" formatCode="0.000000"/>
    <numFmt numFmtId="175" formatCode="0.000"/>
    <numFmt numFmtId="179" formatCode="_ &quot;₹&quot;\ * #,##0_ ;_ &quot;₹&quot;\ * \-#,##0_ ;_ &quot;₹&quot;\ * &quot;-&quot;??_ ;_ @_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5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57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0" fontId="0" fillId="0" borderId="4" xfId="0" applyBorder="1"/>
    <xf numFmtId="9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right"/>
    </xf>
    <xf numFmtId="165" fontId="0" fillId="0" borderId="4" xfId="0" applyNumberFormat="1" applyBorder="1"/>
    <xf numFmtId="0" fontId="7" fillId="0" borderId="0" xfId="0" applyFont="1"/>
    <xf numFmtId="0" fontId="4" fillId="0" borderId="0" xfId="0" applyFont="1" applyBorder="1" applyAlignment="1"/>
    <xf numFmtId="0" fontId="0" fillId="0" borderId="0" xfId="0"/>
    <xf numFmtId="0" fontId="0" fillId="0" borderId="4" xfId="0" applyBorder="1" applyAlignment="1">
      <alignment horizontal="center"/>
    </xf>
    <xf numFmtId="44" fontId="0" fillId="0" borderId="4" xfId="1" applyFont="1" applyBorder="1"/>
    <xf numFmtId="44" fontId="0" fillId="0" borderId="0" xfId="0" applyNumberFormat="1"/>
    <xf numFmtId="44" fontId="0" fillId="0" borderId="4" xfId="0" applyNumberFormat="1" applyBorder="1"/>
    <xf numFmtId="0" fontId="3" fillId="4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9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0" fillId="0" borderId="4" xfId="0" applyNumberFormat="1" applyBorder="1"/>
    <xf numFmtId="164" fontId="0" fillId="0" borderId="4" xfId="0" applyNumberFormat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1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44" fontId="0" fillId="0" borderId="0" xfId="1" applyFont="1" applyFill="1" applyBorder="1"/>
    <xf numFmtId="44" fontId="11" fillId="0" borderId="0" xfId="0" applyNumberFormat="1" applyFont="1" applyFill="1" applyBorder="1"/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/>
    </xf>
    <xf numFmtId="44" fontId="0" fillId="0" borderId="9" xfId="1" applyFont="1" applyBorder="1"/>
    <xf numFmtId="166" fontId="0" fillId="0" borderId="10" xfId="0" applyNumberFormat="1" applyBorder="1" applyAlignment="1">
      <alignment horizontal="center"/>
    </xf>
    <xf numFmtId="44" fontId="0" fillId="0" borderId="12" xfId="1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44" fontId="0" fillId="0" borderId="0" xfId="0" applyNumberFormat="1" applyFill="1" applyBorder="1"/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4" fontId="0" fillId="0" borderId="8" xfId="1" applyFont="1" applyBorder="1"/>
    <xf numFmtId="44" fontId="0" fillId="0" borderId="9" xfId="0" applyNumberFormat="1" applyBorder="1"/>
    <xf numFmtId="44" fontId="0" fillId="0" borderId="10" xfId="1" applyFont="1" applyBorder="1"/>
    <xf numFmtId="44" fontId="0" fillId="0" borderId="12" xfId="0" applyNumberFormat="1" applyBorder="1"/>
    <xf numFmtId="0" fontId="1" fillId="12" borderId="5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44" fontId="0" fillId="0" borderId="8" xfId="0" applyNumberFormat="1" applyBorder="1"/>
    <xf numFmtId="44" fontId="0" fillId="0" borderId="10" xfId="0" applyNumberFormat="1" applyBorder="1"/>
    <xf numFmtId="0" fontId="1" fillId="9" borderId="7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44" fontId="16" fillId="5" borderId="3" xfId="1" applyFont="1" applyFill="1" applyBorder="1" applyAlignment="1">
      <alignment vertical="center" wrapText="1"/>
    </xf>
    <xf numFmtId="44" fontId="15" fillId="11" borderId="1" xfId="0" applyNumberFormat="1" applyFont="1" applyFill="1" applyBorder="1" applyAlignment="1">
      <alignment vertical="center" wrapText="1"/>
    </xf>
    <xf numFmtId="44" fontId="15" fillId="11" borderId="3" xfId="0" applyNumberFormat="1" applyFont="1" applyFill="1" applyBorder="1"/>
    <xf numFmtId="44" fontId="15" fillId="8" borderId="1" xfId="0" applyNumberFormat="1" applyFont="1" applyFill="1" applyBorder="1" applyAlignment="1">
      <alignment wrapText="1"/>
    </xf>
    <xf numFmtId="44" fontId="15" fillId="8" borderId="3" xfId="0" applyNumberFormat="1" applyFont="1" applyFill="1" applyBorder="1"/>
    <xf numFmtId="44" fontId="15" fillId="5" borderId="1" xfId="0" applyNumberFormat="1" applyFont="1" applyFill="1" applyBorder="1" applyAlignment="1">
      <alignment horizontal="center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10" xfId="0" applyFill="1" applyBorder="1"/>
    <xf numFmtId="0" fontId="17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0" fillId="13" borderId="1" xfId="0" applyFill="1" applyBorder="1"/>
    <xf numFmtId="0" fontId="0" fillId="13" borderId="2" xfId="0" applyFill="1" applyBorder="1"/>
    <xf numFmtId="44" fontId="0" fillId="13" borderId="3" xfId="0" applyNumberFormat="1" applyFill="1" applyBorder="1"/>
    <xf numFmtId="9" fontId="0" fillId="4" borderId="7" xfId="2" applyFont="1" applyFill="1" applyBorder="1"/>
    <xf numFmtId="175" fontId="0" fillId="4" borderId="12" xfId="0" applyNumberFormat="1" applyFill="1" applyBorder="1"/>
    <xf numFmtId="179" fontId="0" fillId="0" borderId="10" xfId="0" applyNumberFormat="1" applyBorder="1"/>
    <xf numFmtId="179" fontId="0" fillId="0" borderId="0" xfId="0" applyNumberFormat="1"/>
    <xf numFmtId="165" fontId="0" fillId="0" borderId="0" xfId="1" applyNumberFormat="1" applyFont="1"/>
    <xf numFmtId="0" fontId="14" fillId="14" borderId="13" xfId="0" applyFont="1" applyFill="1" applyBorder="1"/>
    <xf numFmtId="0" fontId="14" fillId="14" borderId="17" xfId="0" applyFont="1" applyFill="1" applyBorder="1"/>
    <xf numFmtId="44" fontId="14" fillId="14" borderId="14" xfId="1" applyFont="1" applyFill="1" applyBorder="1"/>
    <xf numFmtId="0" fontId="14" fillId="14" borderId="15" xfId="0" applyFont="1" applyFill="1" applyBorder="1"/>
    <xf numFmtId="0" fontId="14" fillId="14" borderId="18" xfId="0" applyFont="1" applyFill="1" applyBorder="1"/>
    <xf numFmtId="44" fontId="14" fillId="14" borderId="16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 sz="1600" b="1"/>
              <a:t>Comparision of 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'Comparision of Reserves'!$C$3</c:f>
              <c:strCache>
                <c:ptCount val="1"/>
                <c:pt idx="0">
                  <c:v>Term 30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'Comparision of Reserves'!$B$4:$B$54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'Comparision of Reserves'!$C$4:$C$54</c:f>
              <c:numCache>
                <c:formatCode>_("₹"* #,##0.00_);_("₹"* \(#,##0.00\);_("₹"* "-"??_);_(@_)</c:formatCode>
                <c:ptCount val="51"/>
                <c:pt idx="0">
                  <c:v>-3693545.1317835823</c:v>
                </c:pt>
                <c:pt idx="1">
                  <c:v>-3662390.8230638872</c:v>
                </c:pt>
                <c:pt idx="2">
                  <c:v>-3589483.0353687238</c:v>
                </c:pt>
                <c:pt idx="3">
                  <c:v>-3513628.6290361257</c:v>
                </c:pt>
                <c:pt idx="4">
                  <c:v>-3434652.6112689651</c:v>
                </c:pt>
                <c:pt idx="5">
                  <c:v>-3352400.5076205796</c:v>
                </c:pt>
                <c:pt idx="6">
                  <c:v>-3266751.8761493443</c:v>
                </c:pt>
                <c:pt idx="7">
                  <c:v>-3177594.2937100087</c:v>
                </c:pt>
                <c:pt idx="8">
                  <c:v>-3084823.2926409822</c:v>
                </c:pt>
                <c:pt idx="9">
                  <c:v>-2988355.2572261747</c:v>
                </c:pt>
                <c:pt idx="10">
                  <c:v>-2888114.507211362</c:v>
                </c:pt>
                <c:pt idx="11">
                  <c:v>-2784033.0900560473</c:v>
                </c:pt>
                <c:pt idx="12">
                  <c:v>-2676037.8339086138</c:v>
                </c:pt>
                <c:pt idx="13">
                  <c:v>-2564075.1157628298</c:v>
                </c:pt>
                <c:pt idx="14">
                  <c:v>-2448060.7165587726</c:v>
                </c:pt>
                <c:pt idx="15">
                  <c:v>-2327941.0001885849</c:v>
                </c:pt>
                <c:pt idx="16">
                  <c:v>-2203631.4073750395</c:v>
                </c:pt>
                <c:pt idx="17">
                  <c:v>-2075076.3882923608</c:v>
                </c:pt>
                <c:pt idx="18">
                  <c:v>-1942200.9549481212</c:v>
                </c:pt>
                <c:pt idx="19">
                  <c:v>-1804945.5813029257</c:v>
                </c:pt>
                <c:pt idx="20">
                  <c:v>-1663242.0644027577</c:v>
                </c:pt>
                <c:pt idx="21">
                  <c:v>-1517024.3501143064</c:v>
                </c:pt>
                <c:pt idx="22">
                  <c:v>-1366239.0502222783</c:v>
                </c:pt>
                <c:pt idx="23">
                  <c:v>-1210866.8112096877</c:v>
                </c:pt>
                <c:pt idx="24">
                  <c:v>-1050898.6125105442</c:v>
                </c:pt>
                <c:pt idx="25">
                  <c:v>-886367.0900644135</c:v>
                </c:pt>
                <c:pt idx="26">
                  <c:v>-717365.862453504</c:v>
                </c:pt>
                <c:pt idx="27">
                  <c:v>-544025.51592479215</c:v>
                </c:pt>
                <c:pt idx="28">
                  <c:v>-366531.71125027101</c:v>
                </c:pt>
                <c:pt idx="29">
                  <c:v>-185111.53631995548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68-47BD-B690-24487AACEA41}"/>
            </c:ext>
          </c:extLst>
        </c:ser>
        <c:ser>
          <c:idx val="1"/>
          <c:order val="1"/>
          <c:tx>
            <c:strRef>
              <c:f>'Comparision of Reserves'!$D$3</c:f>
              <c:strCache>
                <c:ptCount val="1"/>
                <c:pt idx="0">
                  <c:v>Term 40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'Comparision of Reserves'!$B$4:$B$54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'Comparision of Reserves'!$D$4:$D$44</c:f>
              <c:numCache>
                <c:formatCode>_("₹"* #,##0.00_);_("₹"* \(#,##0.00\);_("₹"* "-"??_);_(@_)</c:formatCode>
                <c:ptCount val="41"/>
                <c:pt idx="0">
                  <c:v>-8721851.0932108648</c:v>
                </c:pt>
                <c:pt idx="1">
                  <c:v>-8697001.0218634252</c:v>
                </c:pt>
                <c:pt idx="2">
                  <c:v>-8588277.0388679244</c:v>
                </c:pt>
                <c:pt idx="3">
                  <c:v>-8475153.8649697751</c:v>
                </c:pt>
                <c:pt idx="4">
                  <c:v>-8357377.049862897</c:v>
                </c:pt>
                <c:pt idx="5">
                  <c:v>-8234719.6506671449</c:v>
                </c:pt>
                <c:pt idx="6">
                  <c:v>-8107000.5796091063</c:v>
                </c:pt>
                <c:pt idx="7">
                  <c:v>-7974048.9677581126</c:v>
                </c:pt>
                <c:pt idx="8">
                  <c:v>-7835703.9993795166</c:v>
                </c:pt>
                <c:pt idx="9">
                  <c:v>-7691832.3908425299</c:v>
                </c:pt>
                <c:pt idx="10">
                  <c:v>-7542310.6608436564</c:v>
                </c:pt>
                <c:pt idx="11">
                  <c:v>-7387024.7358199582</c:v>
                </c:pt>
                <c:pt idx="12">
                  <c:v>-7225852.2321216986</c:v>
                </c:pt>
                <c:pt idx="13">
                  <c:v>-7058696.0080225859</c:v>
                </c:pt>
                <c:pt idx="14">
                  <c:v>-6885415.9354250208</c:v>
                </c:pt>
                <c:pt idx="15">
                  <c:v>-6705911.8377126735</c:v>
                </c:pt>
                <c:pt idx="16">
                  <c:v>-6520039.9245861927</c:v>
                </c:pt>
                <c:pt idx="17">
                  <c:v>-6327693.8566124812</c:v>
                </c:pt>
                <c:pt idx="18">
                  <c:v>-6128738.9637654331</c:v>
                </c:pt>
                <c:pt idx="19">
                  <c:v>-5923059.2527860086</c:v>
                </c:pt>
                <c:pt idx="20">
                  <c:v>-5710524.5665969998</c:v>
                </c:pt>
                <c:pt idx="21">
                  <c:v>-5491004.962974336</c:v>
                </c:pt>
                <c:pt idx="22">
                  <c:v>-5264384.5448178127</c:v>
                </c:pt>
                <c:pt idx="23">
                  <c:v>-5030589.6830721535</c:v>
                </c:pt>
                <c:pt idx="24">
                  <c:v>-4789556.605132103</c:v>
                </c:pt>
                <c:pt idx="25">
                  <c:v>-4541272.6791456435</c:v>
                </c:pt>
                <c:pt idx="26">
                  <c:v>-4285801.1929637818</c:v>
                </c:pt>
                <c:pt idx="27">
                  <c:v>-4023248.0462378161</c:v>
                </c:pt>
                <c:pt idx="28">
                  <c:v>-3753784.4827041943</c:v>
                </c:pt>
                <c:pt idx="29">
                  <c:v>-3477627.2774410527</c:v>
                </c:pt>
                <c:pt idx="30">
                  <c:v>-3194992.6749216942</c:v>
                </c:pt>
                <c:pt idx="31">
                  <c:v>-2906078.2705021687</c:v>
                </c:pt>
                <c:pt idx="32">
                  <c:v>-2611020.0855027782</c:v>
                </c:pt>
                <c:pt idx="33">
                  <c:v>-2309814.8869209597</c:v>
                </c:pt>
                <c:pt idx="34">
                  <c:v>-2002344.4826090853</c:v>
                </c:pt>
                <c:pt idx="35">
                  <c:v>-1688315.6716420946</c:v>
                </c:pt>
                <c:pt idx="36">
                  <c:v>-1367285.2378755964</c:v>
                </c:pt>
                <c:pt idx="37">
                  <c:v>-1038660.6540573983</c:v>
                </c:pt>
                <c:pt idx="38">
                  <c:v>-701754.76688984502</c:v>
                </c:pt>
                <c:pt idx="39">
                  <c:v>-355803.34098494338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68-47BD-B690-24487AACEA41}"/>
            </c:ext>
          </c:extLst>
        </c:ser>
        <c:ser>
          <c:idx val="2"/>
          <c:order val="2"/>
          <c:tx>
            <c:strRef>
              <c:f>'Comparision of Reserves'!$E$3</c:f>
              <c:strCache>
                <c:ptCount val="1"/>
                <c:pt idx="0">
                  <c:v>Term 50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'Comparision of Reserves'!$B$4:$B$54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'Comparision of Reserves'!$E$4:$E$54</c:f>
              <c:numCache>
                <c:formatCode>_("₹"* #,##0.00_);_("₹"* \(#,##0.00\);_("₹"* "-"??_);_(@_)</c:formatCode>
                <c:ptCount val="51"/>
                <c:pt idx="0">
                  <c:v>-17495007.15575007</c:v>
                </c:pt>
                <c:pt idx="1">
                  <c:v>-17496915.975729041</c:v>
                </c:pt>
                <c:pt idx="2">
                  <c:v>-17345455.897924073</c:v>
                </c:pt>
                <c:pt idx="3">
                  <c:v>-17187871.797072101</c:v>
                </c:pt>
                <c:pt idx="4">
                  <c:v>-17023803.576459765</c:v>
                </c:pt>
                <c:pt idx="5">
                  <c:v>-16852932.132555038</c:v>
                </c:pt>
                <c:pt idx="6">
                  <c:v>-16675006.476243831</c:v>
                </c:pt>
                <c:pt idx="7">
                  <c:v>-16489791.358405475</c:v>
                </c:pt>
                <c:pt idx="8">
                  <c:v>-16297067.100771027</c:v>
                </c:pt>
                <c:pt idx="9">
                  <c:v>-16096655.461603912</c:v>
                </c:pt>
                <c:pt idx="10">
                  <c:v>-15888393.611718083</c:v>
                </c:pt>
                <c:pt idx="11">
                  <c:v>-15672133.658128012</c:v>
                </c:pt>
                <c:pt idx="12">
                  <c:v>-15447716.586980263</c:v>
                </c:pt>
                <c:pt idx="13">
                  <c:v>-15215021.930668443</c:v>
                </c:pt>
                <c:pt idx="14">
                  <c:v>-14973867.054873988</c:v>
                </c:pt>
                <c:pt idx="15">
                  <c:v>-14724129.872480789</c:v>
                </c:pt>
                <c:pt idx="16">
                  <c:v>-14465625.376439717</c:v>
                </c:pt>
                <c:pt idx="17">
                  <c:v>-14198225.756694306</c:v>
                </c:pt>
                <c:pt idx="18">
                  <c:v>-13921763.16870239</c:v>
                </c:pt>
                <c:pt idx="19">
                  <c:v>-13636099.575490888</c:v>
                </c:pt>
                <c:pt idx="20">
                  <c:v>-13341078.267965764</c:v>
                </c:pt>
                <c:pt idx="21">
                  <c:v>-13036545.422351159</c:v>
                </c:pt>
                <c:pt idx="22">
                  <c:v>-12722370.96991281</c:v>
                </c:pt>
                <c:pt idx="23">
                  <c:v>-12398491.06497347</c:v>
                </c:pt>
                <c:pt idx="24">
                  <c:v>-12064860.395617828</c:v>
                </c:pt>
                <c:pt idx="25">
                  <c:v>-11721514.390044408</c:v>
                </c:pt>
                <c:pt idx="26">
                  <c:v>-11368607.231052281</c:v>
                </c:pt>
                <c:pt idx="27">
                  <c:v>-11006363.289389636</c:v>
                </c:pt>
                <c:pt idx="28">
                  <c:v>-10635112.484673882</c:v>
                </c:pt>
                <c:pt idx="29">
                  <c:v>-10255262.218623102</c:v>
                </c:pt>
                <c:pt idx="30">
                  <c:v>-9867229.8303939383</c:v>
                </c:pt>
                <c:pt idx="31">
                  <c:v>-9471416.8561407495</c:v>
                </c:pt>
                <c:pt idx="32">
                  <c:v>-9068145.7740950715</c:v>
                </c:pt>
                <c:pt idx="33">
                  <c:v>-8657543.5993927177</c:v>
                </c:pt>
                <c:pt idx="34">
                  <c:v>-8239579.132288387</c:v>
                </c:pt>
                <c:pt idx="35">
                  <c:v>-7813972.1688223602</c:v>
                </c:pt>
                <c:pt idx="36">
                  <c:v>-7380231.3611487783</c:v>
                </c:pt>
                <c:pt idx="37">
                  <c:v>-6937655.2680128636</c:v>
                </c:pt>
                <c:pt idx="38">
                  <c:v>-6485416.4478879906</c:v>
                </c:pt>
                <c:pt idx="39">
                  <c:v>-6022589.746807158</c:v>
                </c:pt>
                <c:pt idx="40">
                  <c:v>-5548208.4949244056</c:v>
                </c:pt>
                <c:pt idx="41">
                  <c:v>-5061374.5245213006</c:v>
                </c:pt>
                <c:pt idx="42">
                  <c:v>-4561235.5612924751</c:v>
                </c:pt>
                <c:pt idx="43">
                  <c:v>-4047045.2486872924</c:v>
                </c:pt>
                <c:pt idx="44">
                  <c:v>-3518126.7000177409</c:v>
                </c:pt>
                <c:pt idx="45">
                  <c:v>-2973884.0888174502</c:v>
                </c:pt>
                <c:pt idx="46">
                  <c:v>-2413737.7495532427</c:v>
                </c:pt>
                <c:pt idx="47">
                  <c:v>-1837078.6623571005</c:v>
                </c:pt>
                <c:pt idx="48">
                  <c:v>-1243201.4960882002</c:v>
                </c:pt>
                <c:pt idx="49">
                  <c:v>-631228.24292575766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68-47BD-B690-24487AACE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743968"/>
        <c:axId val="1072746048"/>
      </c:scatterChart>
      <c:valAx>
        <c:axId val="1072743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100"/>
                  <a:t>Policy term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746048"/>
        <c:crosses val="autoZero"/>
        <c:crossBetween val="midCat"/>
      </c:valAx>
      <c:valAx>
        <c:axId val="10727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100"/>
                  <a:t>Annual Reserves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₹&quot;* #,##0.00_);_(&quot;₹&quot;* \(#,##0.00\);_(&quot;₹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743968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4.3482857255046463E-2"/>
                <c:y val="0.4586926929382925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52531</xdr:colOff>
      <xdr:row>2</xdr:row>
      <xdr:rowOff>90631</xdr:rowOff>
    </xdr:from>
    <xdr:to>
      <xdr:col>20</xdr:col>
      <xdr:colOff>36286</xdr:colOff>
      <xdr:row>29</xdr:row>
      <xdr:rowOff>126999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DAF96D-5E90-4B4D-A3E2-7BC7B53C0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CBBC-7C74-42CF-BD4D-309253073D59}">
  <dimension ref="B1:D119"/>
  <sheetViews>
    <sheetView showGridLines="0" topLeftCell="A50" zoomScale="85" zoomScaleNormal="85" workbookViewId="0">
      <selection activeCell="C17" sqref="C17"/>
    </sheetView>
  </sheetViews>
  <sheetFormatPr defaultRowHeight="14.5"/>
  <cols>
    <col min="1" max="1" width="5.453125" customWidth="1"/>
    <col min="2" max="2" width="8.453125" bestFit="1" customWidth="1"/>
    <col min="3" max="3" width="22.6328125" customWidth="1"/>
  </cols>
  <sheetData>
    <row r="1" spans="2:4" s="11" customFormat="1" ht="15" thickBot="1"/>
    <row r="2" spans="2:4" s="11" customFormat="1" ht="29" thickBot="1">
      <c r="B2" s="42" t="s">
        <v>36</v>
      </c>
      <c r="C2" s="44"/>
      <c r="D2" s="43"/>
    </row>
    <row r="4" spans="2:4">
      <c r="B4" s="39" t="s">
        <v>1</v>
      </c>
      <c r="C4" s="39" t="s">
        <v>2</v>
      </c>
      <c r="D4" s="39" t="s">
        <v>4</v>
      </c>
    </row>
    <row r="5" spans="2:4">
      <c r="B5" s="40">
        <v>1</v>
      </c>
      <c r="C5" s="41" t="s">
        <v>3</v>
      </c>
      <c r="D5" s="41"/>
    </row>
    <row r="6" spans="2:4">
      <c r="B6" s="40">
        <v>2</v>
      </c>
      <c r="C6" s="41">
        <v>9.1500000000000001E-4</v>
      </c>
      <c r="D6" s="41">
        <f t="shared" ref="D6:D69" si="0">1-C6</f>
        <v>0.999085</v>
      </c>
    </row>
    <row r="7" spans="2:4">
      <c r="B7" s="40">
        <v>3</v>
      </c>
      <c r="C7" s="41">
        <v>4.6999999999999999E-4</v>
      </c>
      <c r="D7" s="41">
        <f t="shared" si="0"/>
        <v>0.99953000000000003</v>
      </c>
    </row>
    <row r="8" spans="2:4">
      <c r="B8" s="40">
        <v>4</v>
      </c>
      <c r="C8" s="41">
        <v>2.7099999999999997E-4</v>
      </c>
      <c r="D8" s="41">
        <f t="shared" si="0"/>
        <v>0.99972899999999998</v>
      </c>
    </row>
    <row r="9" spans="2:4">
      <c r="B9" s="40">
        <v>5</v>
      </c>
      <c r="C9" s="41">
        <v>1.85E-4</v>
      </c>
      <c r="D9" s="41">
        <f t="shared" si="0"/>
        <v>0.99981500000000001</v>
      </c>
    </row>
    <row r="10" spans="2:4">
      <c r="B10" s="40">
        <v>6</v>
      </c>
      <c r="C10" s="41">
        <v>1.5200000000000001E-4</v>
      </c>
      <c r="D10" s="41">
        <f t="shared" si="0"/>
        <v>0.99984799999999996</v>
      </c>
    </row>
    <row r="11" spans="2:4">
      <c r="B11" s="40">
        <v>7</v>
      </c>
      <c r="C11" s="41">
        <v>1.4899999999999999E-4</v>
      </c>
      <c r="D11" s="41">
        <f t="shared" si="0"/>
        <v>0.99985100000000005</v>
      </c>
    </row>
    <row r="12" spans="2:4">
      <c r="B12" s="40">
        <v>8</v>
      </c>
      <c r="C12" s="41">
        <v>1.6699999999999999E-4</v>
      </c>
      <c r="D12" s="41">
        <f t="shared" si="0"/>
        <v>0.99983299999999997</v>
      </c>
    </row>
    <row r="13" spans="2:4">
      <c r="B13" s="40">
        <v>9</v>
      </c>
      <c r="C13" s="41">
        <v>2.0599999999999999E-4</v>
      </c>
      <c r="D13" s="41">
        <f t="shared" si="0"/>
        <v>0.99979399999999996</v>
      </c>
    </row>
    <row r="14" spans="2:4">
      <c r="B14" s="40">
        <v>10</v>
      </c>
      <c r="C14" s="41">
        <v>2.6499999999999999E-4</v>
      </c>
      <c r="D14" s="41">
        <f t="shared" si="0"/>
        <v>0.99973500000000004</v>
      </c>
    </row>
    <row r="15" spans="2:4">
      <c r="B15" s="40">
        <v>11</v>
      </c>
      <c r="C15" s="41">
        <v>3.4099999999999999E-4</v>
      </c>
      <c r="D15" s="41">
        <f t="shared" si="0"/>
        <v>0.99965899999999996</v>
      </c>
    </row>
    <row r="16" spans="2:4">
      <c r="B16" s="40">
        <v>12</v>
      </c>
      <c r="C16" s="41">
        <v>4.2900000000000002E-4</v>
      </c>
      <c r="D16" s="41">
        <f t="shared" si="0"/>
        <v>0.99957099999999999</v>
      </c>
    </row>
    <row r="17" spans="2:4">
      <c r="B17" s="40">
        <v>13</v>
      </c>
      <c r="C17" s="41">
        <v>5.22E-4</v>
      </c>
      <c r="D17" s="41">
        <f t="shared" si="0"/>
        <v>0.99947799999999998</v>
      </c>
    </row>
    <row r="18" spans="2:4">
      <c r="B18" s="40">
        <v>14</v>
      </c>
      <c r="C18" s="41">
        <v>6.1399999999999996E-4</v>
      </c>
      <c r="D18" s="41">
        <f t="shared" si="0"/>
        <v>0.999386</v>
      </c>
    </row>
    <row r="19" spans="2:4">
      <c r="B19" s="40">
        <v>15</v>
      </c>
      <c r="C19" s="41">
        <v>6.9800000000000005E-4</v>
      </c>
      <c r="D19" s="41">
        <f t="shared" si="0"/>
        <v>0.99930200000000002</v>
      </c>
    </row>
    <row r="20" spans="2:4">
      <c r="B20" s="40">
        <v>16</v>
      </c>
      <c r="C20" s="41">
        <v>7.6999999999999996E-4</v>
      </c>
      <c r="D20" s="41">
        <f t="shared" si="0"/>
        <v>0.99922999999999995</v>
      </c>
    </row>
    <row r="21" spans="2:4">
      <c r="B21" s="40">
        <v>17</v>
      </c>
      <c r="C21" s="41">
        <v>8.2899999999999998E-4</v>
      </c>
      <c r="D21" s="41">
        <f t="shared" si="0"/>
        <v>0.99917100000000003</v>
      </c>
    </row>
    <row r="22" spans="2:4">
      <c r="B22" s="40">
        <v>18</v>
      </c>
      <c r="C22" s="41">
        <v>8.7399999999999999E-4</v>
      </c>
      <c r="D22" s="41">
        <f t="shared" si="0"/>
        <v>0.99912599999999996</v>
      </c>
    </row>
    <row r="23" spans="2:4">
      <c r="B23" s="40">
        <v>19</v>
      </c>
      <c r="C23" s="41">
        <v>9.0499999999999999E-4</v>
      </c>
      <c r="D23" s="41">
        <f t="shared" si="0"/>
        <v>0.99909499999999996</v>
      </c>
    </row>
    <row r="24" spans="2:4">
      <c r="B24" s="40">
        <v>20</v>
      </c>
      <c r="C24" s="41">
        <v>9.2400000000000002E-4</v>
      </c>
      <c r="D24" s="41">
        <f t="shared" si="0"/>
        <v>0.99907599999999996</v>
      </c>
    </row>
    <row r="25" spans="2:4">
      <c r="B25" s="40">
        <v>21</v>
      </c>
      <c r="C25" s="41">
        <v>9.3400000000000004E-4</v>
      </c>
      <c r="D25" s="41">
        <f t="shared" si="0"/>
        <v>0.99906600000000001</v>
      </c>
    </row>
    <row r="26" spans="2:4">
      <c r="B26" s="40">
        <v>22</v>
      </c>
      <c r="C26" s="41">
        <v>9.3700000000000001E-4</v>
      </c>
      <c r="D26" s="41">
        <f t="shared" si="0"/>
        <v>0.99906300000000003</v>
      </c>
    </row>
    <row r="27" spans="2:4">
      <c r="B27" s="40">
        <v>23</v>
      </c>
      <c r="C27" s="41">
        <v>9.3599999999999998E-4</v>
      </c>
      <c r="D27" s="41">
        <f t="shared" si="0"/>
        <v>0.99906399999999995</v>
      </c>
    </row>
    <row r="28" spans="2:4">
      <c r="B28" s="40">
        <v>24</v>
      </c>
      <c r="C28" s="41">
        <v>9.3300000000000002E-4</v>
      </c>
      <c r="D28" s="41">
        <f t="shared" si="0"/>
        <v>0.99906700000000004</v>
      </c>
    </row>
    <row r="29" spans="2:4">
      <c r="B29" s="40">
        <v>25</v>
      </c>
      <c r="C29" s="41">
        <v>9.3099999999999997E-4</v>
      </c>
      <c r="D29" s="41">
        <f t="shared" si="0"/>
        <v>0.99906899999999998</v>
      </c>
    </row>
    <row r="30" spans="2:4">
      <c r="B30" s="40">
        <v>26</v>
      </c>
      <c r="C30" s="41">
        <v>9.3099999999999997E-4</v>
      </c>
      <c r="D30" s="41">
        <f t="shared" si="0"/>
        <v>0.99906899999999998</v>
      </c>
    </row>
    <row r="31" spans="2:4">
      <c r="B31" s="40">
        <v>27</v>
      </c>
      <c r="C31" s="41">
        <v>9.3400000000000004E-4</v>
      </c>
      <c r="D31" s="41">
        <f t="shared" si="0"/>
        <v>0.99906600000000001</v>
      </c>
    </row>
    <row r="32" spans="2:4">
      <c r="B32" s="40">
        <v>28</v>
      </c>
      <c r="C32" s="41">
        <v>9.4200000000000002E-4</v>
      </c>
      <c r="D32" s="41">
        <f t="shared" si="0"/>
        <v>0.999058</v>
      </c>
    </row>
    <row r="33" spans="2:4">
      <c r="B33" s="40">
        <v>29</v>
      </c>
      <c r="C33" s="41">
        <v>9.5600000000000004E-4</v>
      </c>
      <c r="D33" s="41">
        <f t="shared" si="0"/>
        <v>0.99904400000000004</v>
      </c>
    </row>
    <row r="34" spans="2:4">
      <c r="B34" s="40">
        <v>30</v>
      </c>
      <c r="C34" s="41">
        <v>9.77E-4</v>
      </c>
      <c r="D34" s="41">
        <f t="shared" si="0"/>
        <v>0.99902299999999999</v>
      </c>
    </row>
    <row r="35" spans="2:4">
      <c r="B35" s="40">
        <v>31</v>
      </c>
      <c r="C35" s="41">
        <v>1.005E-3</v>
      </c>
      <c r="D35" s="41">
        <f t="shared" si="0"/>
        <v>0.99899499999999997</v>
      </c>
    </row>
    <row r="36" spans="2:4">
      <c r="B36" s="40">
        <v>32</v>
      </c>
      <c r="C36" s="41">
        <v>1.042E-3</v>
      </c>
      <c r="D36" s="41">
        <f t="shared" si="0"/>
        <v>0.99895800000000001</v>
      </c>
    </row>
    <row r="37" spans="2:4">
      <c r="B37" s="40">
        <v>33</v>
      </c>
      <c r="C37" s="41">
        <v>1.0859999999999999E-3</v>
      </c>
      <c r="D37" s="41">
        <f t="shared" si="0"/>
        <v>0.99891399999999997</v>
      </c>
    </row>
    <row r="38" spans="2:4">
      <c r="B38" s="40">
        <v>34</v>
      </c>
      <c r="C38" s="41">
        <v>1.14E-3</v>
      </c>
      <c r="D38" s="41">
        <f t="shared" si="0"/>
        <v>0.99885999999999997</v>
      </c>
    </row>
    <row r="39" spans="2:4">
      <c r="B39" s="40">
        <v>35</v>
      </c>
      <c r="C39" s="41">
        <v>1.2019999999999999E-3</v>
      </c>
      <c r="D39" s="41">
        <f t="shared" si="0"/>
        <v>0.99879799999999996</v>
      </c>
    </row>
    <row r="40" spans="2:4">
      <c r="B40" s="40">
        <v>36</v>
      </c>
      <c r="C40" s="41">
        <v>1.2750000000000001E-3</v>
      </c>
      <c r="D40" s="41">
        <f t="shared" si="0"/>
        <v>0.99872499999999997</v>
      </c>
    </row>
    <row r="41" spans="2:4">
      <c r="B41" s="40">
        <v>37</v>
      </c>
      <c r="C41" s="41">
        <v>1.358E-3</v>
      </c>
      <c r="D41" s="41">
        <f t="shared" si="0"/>
        <v>0.99864200000000003</v>
      </c>
    </row>
    <row r="42" spans="2:4">
      <c r="B42" s="40">
        <v>38</v>
      </c>
      <c r="C42" s="41">
        <v>1.4530000000000001E-3</v>
      </c>
      <c r="D42" s="41">
        <f t="shared" si="0"/>
        <v>0.99854699999999996</v>
      </c>
    </row>
    <row r="43" spans="2:4">
      <c r="B43" s="40">
        <v>39</v>
      </c>
      <c r="C43" s="41">
        <v>1.56E-3</v>
      </c>
      <c r="D43" s="41">
        <f t="shared" si="0"/>
        <v>0.99843999999999999</v>
      </c>
    </row>
    <row r="44" spans="2:4">
      <c r="B44" s="40">
        <v>40</v>
      </c>
      <c r="C44" s="41">
        <v>1.6800000000000001E-3</v>
      </c>
      <c r="D44" s="41">
        <f t="shared" si="0"/>
        <v>0.99831999999999999</v>
      </c>
    </row>
    <row r="45" spans="2:4">
      <c r="B45" s="40">
        <v>41</v>
      </c>
      <c r="C45" s="41">
        <v>1.815E-3</v>
      </c>
      <c r="D45" s="41">
        <f t="shared" si="0"/>
        <v>0.99818499999999999</v>
      </c>
    </row>
    <row r="46" spans="2:4">
      <c r="B46" s="40">
        <v>42</v>
      </c>
      <c r="C46" s="41">
        <v>1.9689999999999998E-3</v>
      </c>
      <c r="D46" s="41">
        <f t="shared" si="0"/>
        <v>0.998031</v>
      </c>
    </row>
    <row r="47" spans="2:4">
      <c r="B47" s="40">
        <v>43</v>
      </c>
      <c r="C47" s="41">
        <v>2.1440000000000001E-3</v>
      </c>
      <c r="D47" s="41">
        <f t="shared" si="0"/>
        <v>0.99785599999999997</v>
      </c>
    </row>
    <row r="48" spans="2:4">
      <c r="B48" s="40">
        <v>44</v>
      </c>
      <c r="C48" s="41">
        <v>2.3449999999999999E-3</v>
      </c>
      <c r="D48" s="41">
        <f t="shared" si="0"/>
        <v>0.99765499999999996</v>
      </c>
    </row>
    <row r="49" spans="2:4">
      <c r="B49" s="40">
        <v>45</v>
      </c>
      <c r="C49" s="41">
        <v>2.5790000000000001E-3</v>
      </c>
      <c r="D49" s="41">
        <f t="shared" si="0"/>
        <v>0.997421</v>
      </c>
    </row>
    <row r="50" spans="2:4">
      <c r="B50" s="40">
        <v>46</v>
      </c>
      <c r="C50" s="41">
        <v>2.8509999999999998E-3</v>
      </c>
      <c r="D50" s="41">
        <f t="shared" si="0"/>
        <v>0.99714899999999995</v>
      </c>
    </row>
    <row r="51" spans="2:4">
      <c r="B51" s="40">
        <v>47</v>
      </c>
      <c r="C51" s="41">
        <v>3.1679999999999998E-3</v>
      </c>
      <c r="D51" s="41">
        <f t="shared" si="0"/>
        <v>0.99683200000000005</v>
      </c>
    </row>
    <row r="52" spans="2:4">
      <c r="B52" s="40">
        <v>48</v>
      </c>
      <c r="C52" s="41">
        <v>3.5360000000000001E-3</v>
      </c>
      <c r="D52" s="41">
        <f t="shared" si="0"/>
        <v>0.99646400000000002</v>
      </c>
    </row>
    <row r="53" spans="2:4">
      <c r="B53" s="40">
        <v>49</v>
      </c>
      <c r="C53" s="41">
        <v>3.9579999999999997E-3</v>
      </c>
      <c r="D53" s="41">
        <f t="shared" si="0"/>
        <v>0.99604199999999998</v>
      </c>
    </row>
    <row r="54" spans="2:4">
      <c r="B54" s="40">
        <v>50</v>
      </c>
      <c r="C54" s="41">
        <v>4.4359999999999998E-3</v>
      </c>
      <c r="D54" s="41">
        <f t="shared" si="0"/>
        <v>0.995564</v>
      </c>
    </row>
    <row r="55" spans="2:4">
      <c r="B55" s="40">
        <v>51</v>
      </c>
      <c r="C55" s="41">
        <v>4.9690000000000003E-3</v>
      </c>
      <c r="D55" s="41">
        <f t="shared" si="0"/>
        <v>0.995031</v>
      </c>
    </row>
    <row r="56" spans="2:4">
      <c r="B56" s="40">
        <v>52</v>
      </c>
      <c r="C56" s="41">
        <v>5.5500000000000002E-3</v>
      </c>
      <c r="D56" s="41">
        <f t="shared" si="0"/>
        <v>0.99444999999999995</v>
      </c>
    </row>
    <row r="57" spans="2:4">
      <c r="B57" s="40">
        <v>53</v>
      </c>
      <c r="C57" s="41">
        <v>6.1739999999999998E-3</v>
      </c>
      <c r="D57" s="41">
        <f t="shared" si="0"/>
        <v>0.99382599999999999</v>
      </c>
    </row>
    <row r="58" spans="2:4">
      <c r="B58" s="40">
        <v>54</v>
      </c>
      <c r="C58" s="41">
        <v>6.8310000000000003E-3</v>
      </c>
      <c r="D58" s="41">
        <f t="shared" si="0"/>
        <v>0.99316899999999997</v>
      </c>
    </row>
    <row r="59" spans="2:4">
      <c r="B59" s="40">
        <v>55</v>
      </c>
      <c r="C59" s="41">
        <v>7.5129999999999997E-3</v>
      </c>
      <c r="D59" s="41">
        <f t="shared" si="0"/>
        <v>0.99248700000000001</v>
      </c>
    </row>
    <row r="60" spans="2:4">
      <c r="B60" s="40">
        <v>56</v>
      </c>
      <c r="C60" s="41">
        <v>8.2120000000000005E-3</v>
      </c>
      <c r="D60" s="41">
        <f t="shared" si="0"/>
        <v>0.991788</v>
      </c>
    </row>
    <row r="61" spans="2:4">
      <c r="B61" s="40">
        <v>57</v>
      </c>
      <c r="C61" s="41">
        <v>8.9250000000000006E-3</v>
      </c>
      <c r="D61" s="41">
        <f t="shared" si="0"/>
        <v>0.99107500000000004</v>
      </c>
    </row>
    <row r="62" spans="2:4">
      <c r="B62" s="40">
        <v>58</v>
      </c>
      <c r="C62" s="41">
        <v>9.6509999999999999E-3</v>
      </c>
      <c r="D62" s="41">
        <f t="shared" si="0"/>
        <v>0.99034900000000003</v>
      </c>
    </row>
    <row r="63" spans="2:4">
      <c r="B63" s="40">
        <v>59</v>
      </c>
      <c r="C63" s="41">
        <v>1.0392999999999999E-2</v>
      </c>
      <c r="D63" s="41">
        <f t="shared" si="0"/>
        <v>0.98960700000000001</v>
      </c>
    </row>
    <row r="64" spans="2:4">
      <c r="B64" s="40">
        <v>60</v>
      </c>
      <c r="C64" s="41">
        <v>1.1162E-2</v>
      </c>
      <c r="D64" s="41">
        <f t="shared" si="0"/>
        <v>0.98883799999999999</v>
      </c>
    </row>
    <row r="65" spans="2:4">
      <c r="B65" s="40">
        <v>61</v>
      </c>
      <c r="C65" s="41">
        <v>1.1969E-2</v>
      </c>
      <c r="D65" s="41">
        <f t="shared" si="0"/>
        <v>0.98803099999999999</v>
      </c>
    </row>
    <row r="66" spans="2:4">
      <c r="B66" s="40">
        <v>62</v>
      </c>
      <c r="C66" s="41">
        <v>1.2831E-2</v>
      </c>
      <c r="D66" s="41">
        <f t="shared" si="0"/>
        <v>0.98716899999999996</v>
      </c>
    </row>
    <row r="67" spans="2:4">
      <c r="B67" s="40">
        <v>63</v>
      </c>
      <c r="C67" s="41">
        <v>1.3764999999999999E-2</v>
      </c>
      <c r="D67" s="41">
        <f t="shared" si="0"/>
        <v>0.98623499999999997</v>
      </c>
    </row>
    <row r="68" spans="2:4">
      <c r="B68" s="40">
        <v>64</v>
      </c>
      <c r="C68" s="41">
        <v>1.4792E-2</v>
      </c>
      <c r="D68" s="41">
        <f t="shared" si="0"/>
        <v>0.98520799999999997</v>
      </c>
    </row>
    <row r="69" spans="2:4">
      <c r="B69" s="40">
        <v>65</v>
      </c>
      <c r="C69" s="41">
        <v>1.5932000000000002E-2</v>
      </c>
      <c r="D69" s="41">
        <f t="shared" si="0"/>
        <v>0.98406799999999994</v>
      </c>
    </row>
    <row r="70" spans="2:4">
      <c r="B70" s="40">
        <v>66</v>
      </c>
      <c r="C70" s="41">
        <v>1.7205999999999999E-2</v>
      </c>
      <c r="D70" s="41">
        <f t="shared" ref="D70:D119" si="1">1-C70</f>
        <v>0.98279399999999995</v>
      </c>
    </row>
    <row r="71" spans="2:4">
      <c r="B71" s="40">
        <v>67</v>
      </c>
      <c r="C71" s="41">
        <v>1.8634999999999999E-2</v>
      </c>
      <c r="D71" s="41">
        <f t="shared" si="1"/>
        <v>0.98136500000000004</v>
      </c>
    </row>
    <row r="72" spans="2:4">
      <c r="B72" s="40">
        <v>68</v>
      </c>
      <c r="C72" s="41">
        <v>2.0240000000000001E-2</v>
      </c>
      <c r="D72" s="41">
        <f t="shared" si="1"/>
        <v>0.97975999999999996</v>
      </c>
    </row>
    <row r="73" spans="2:4">
      <c r="B73" s="40">
        <v>69</v>
      </c>
      <c r="C73" s="41">
        <v>2.2040000000000001E-2</v>
      </c>
      <c r="D73" s="41">
        <f t="shared" si="1"/>
        <v>0.97796000000000005</v>
      </c>
    </row>
    <row r="74" spans="2:4">
      <c r="B74" s="40">
        <v>70</v>
      </c>
      <c r="C74" s="41">
        <v>2.4058E-2</v>
      </c>
      <c r="D74" s="41">
        <f t="shared" si="1"/>
        <v>0.97594199999999998</v>
      </c>
    </row>
    <row r="75" spans="2:4">
      <c r="B75" s="40">
        <v>71</v>
      </c>
      <c r="C75" s="41">
        <v>2.6314000000000001E-2</v>
      </c>
      <c r="D75" s="41">
        <f t="shared" si="1"/>
        <v>0.97368600000000005</v>
      </c>
    </row>
    <row r="76" spans="2:4">
      <c r="B76" s="40">
        <v>72</v>
      </c>
      <c r="C76" s="41">
        <v>2.8832E-2</v>
      </c>
      <c r="D76" s="41">
        <f t="shared" si="1"/>
        <v>0.97116800000000003</v>
      </c>
    </row>
    <row r="77" spans="2:4">
      <c r="B77" s="40">
        <v>73</v>
      </c>
      <c r="C77" s="41">
        <v>3.1637999999999999E-2</v>
      </c>
      <c r="D77" s="41">
        <f t="shared" si="1"/>
        <v>0.96836199999999995</v>
      </c>
    </row>
    <row r="78" spans="2:4">
      <c r="B78" s="40">
        <v>74</v>
      </c>
      <c r="C78" s="41">
        <v>3.4757000000000003E-2</v>
      </c>
      <c r="D78" s="41">
        <f t="shared" si="1"/>
        <v>0.96524299999999996</v>
      </c>
    </row>
    <row r="79" spans="2:4">
      <c r="B79" s="40">
        <v>75</v>
      </c>
      <c r="C79" s="41">
        <v>3.8220999999999998E-2</v>
      </c>
      <c r="D79" s="41">
        <f t="shared" si="1"/>
        <v>0.96177900000000005</v>
      </c>
    </row>
    <row r="80" spans="2:4">
      <c r="B80" s="40">
        <v>76</v>
      </c>
      <c r="C80" s="41">
        <v>4.2061000000000001E-2</v>
      </c>
      <c r="D80" s="41">
        <f t="shared" si="1"/>
        <v>0.95793899999999998</v>
      </c>
    </row>
    <row r="81" spans="2:4">
      <c r="B81" s="40">
        <v>77</v>
      </c>
      <c r="C81" s="41">
        <v>4.6316000000000003E-2</v>
      </c>
      <c r="D81" s="41">
        <f t="shared" si="1"/>
        <v>0.95368399999999998</v>
      </c>
    </row>
    <row r="82" spans="2:4">
      <c r="B82" s="40">
        <v>78</v>
      </c>
      <c r="C82" s="41">
        <v>5.1024E-2</v>
      </c>
      <c r="D82" s="41">
        <f t="shared" si="1"/>
        <v>0.94897600000000004</v>
      </c>
    </row>
    <row r="83" spans="2:4">
      <c r="B83" s="40">
        <v>79</v>
      </c>
      <c r="C83" s="41">
        <v>5.6231000000000003E-2</v>
      </c>
      <c r="D83" s="41">
        <f t="shared" si="1"/>
        <v>0.94376899999999997</v>
      </c>
    </row>
    <row r="84" spans="2:4">
      <c r="B84" s="40">
        <v>80</v>
      </c>
      <c r="C84" s="41">
        <v>6.1984999999999998E-2</v>
      </c>
      <c r="D84" s="41">
        <f t="shared" si="1"/>
        <v>0.93801500000000004</v>
      </c>
    </row>
    <row r="85" spans="2:4">
      <c r="B85" s="40">
        <v>81</v>
      </c>
      <c r="C85" s="41">
        <v>6.8337999999999996E-2</v>
      </c>
      <c r="D85" s="41">
        <f t="shared" si="1"/>
        <v>0.93166199999999999</v>
      </c>
    </row>
    <row r="86" spans="2:4">
      <c r="B86" s="40">
        <v>82</v>
      </c>
      <c r="C86" s="41">
        <v>7.535E-2</v>
      </c>
      <c r="D86" s="41">
        <f t="shared" si="1"/>
        <v>0.92464999999999997</v>
      </c>
    </row>
    <row r="87" spans="2:4">
      <c r="B87" s="40">
        <v>83</v>
      </c>
      <c r="C87" s="41">
        <v>8.3082000000000003E-2</v>
      </c>
      <c r="D87" s="41">
        <f t="shared" si="1"/>
        <v>0.91691800000000001</v>
      </c>
    </row>
    <row r="88" spans="2:4">
      <c r="B88" s="40">
        <v>84</v>
      </c>
      <c r="C88" s="41">
        <v>9.1601000000000002E-2</v>
      </c>
      <c r="D88" s="41">
        <f t="shared" si="1"/>
        <v>0.90839899999999996</v>
      </c>
    </row>
    <row r="89" spans="2:4">
      <c r="B89" s="40">
        <v>85</v>
      </c>
      <c r="C89" s="41">
        <v>0.100979</v>
      </c>
      <c r="D89" s="41">
        <f t="shared" si="1"/>
        <v>0.89902099999999996</v>
      </c>
    </row>
    <row r="90" spans="2:4">
      <c r="B90" s="40">
        <v>86</v>
      </c>
      <c r="C90" s="41">
        <v>0.111291</v>
      </c>
      <c r="D90" s="41">
        <f t="shared" si="1"/>
        <v>0.88870899999999997</v>
      </c>
    </row>
    <row r="91" spans="2:4">
      <c r="B91" s="40">
        <v>87</v>
      </c>
      <c r="C91" s="41">
        <v>0.122616</v>
      </c>
      <c r="D91" s="41">
        <f t="shared" si="1"/>
        <v>0.87738399999999994</v>
      </c>
    </row>
    <row r="92" spans="2:4">
      <c r="B92" s="40">
        <v>88</v>
      </c>
      <c r="C92" s="41">
        <v>0.13503699999999999</v>
      </c>
      <c r="D92" s="41">
        <f t="shared" si="1"/>
        <v>0.86496300000000004</v>
      </c>
    </row>
    <row r="93" spans="2:4">
      <c r="B93" s="40">
        <v>89</v>
      </c>
      <c r="C93" s="41">
        <v>0.14863899999999999</v>
      </c>
      <c r="D93" s="41">
        <f t="shared" si="1"/>
        <v>0.85136100000000003</v>
      </c>
    </row>
    <row r="94" spans="2:4">
      <c r="B94" s="40">
        <v>90</v>
      </c>
      <c r="C94" s="41">
        <v>0.16350700000000001</v>
      </c>
      <c r="D94" s="41">
        <f t="shared" si="1"/>
        <v>0.83649299999999993</v>
      </c>
    </row>
    <row r="95" spans="2:4">
      <c r="B95" s="40">
        <v>91</v>
      </c>
      <c r="C95" s="41">
        <v>0.179726</v>
      </c>
      <c r="D95" s="41">
        <f t="shared" si="1"/>
        <v>0.82027399999999995</v>
      </c>
    </row>
    <row r="96" spans="2:4">
      <c r="B96" s="40">
        <v>92</v>
      </c>
      <c r="C96" s="41">
        <v>0.19738</v>
      </c>
      <c r="D96" s="41">
        <f t="shared" si="1"/>
        <v>0.80262</v>
      </c>
    </row>
    <row r="97" spans="2:4">
      <c r="B97" s="40">
        <v>93</v>
      </c>
      <c r="C97" s="41">
        <v>0.21654699999999999</v>
      </c>
      <c r="D97" s="41">
        <f t="shared" si="1"/>
        <v>0.78345299999999995</v>
      </c>
    </row>
    <row r="98" spans="2:4">
      <c r="B98" s="40">
        <v>94</v>
      </c>
      <c r="C98" s="41">
        <v>0.23730200000000001</v>
      </c>
      <c r="D98" s="41">
        <f t="shared" si="1"/>
        <v>0.76269799999999999</v>
      </c>
    </row>
    <row r="99" spans="2:4">
      <c r="B99" s="40">
        <v>95</v>
      </c>
      <c r="C99" s="41">
        <v>0.25970599999999999</v>
      </c>
      <c r="D99" s="41">
        <f t="shared" si="1"/>
        <v>0.74029400000000001</v>
      </c>
    </row>
    <row r="100" spans="2:4">
      <c r="B100" s="40">
        <v>96</v>
      </c>
      <c r="C100" s="41">
        <v>0.28381299999999998</v>
      </c>
      <c r="D100" s="41">
        <f t="shared" si="1"/>
        <v>0.71618700000000002</v>
      </c>
    </row>
    <row r="101" spans="2:4">
      <c r="B101" s="40">
        <v>97</v>
      </c>
      <c r="C101" s="41">
        <v>0.30965900000000002</v>
      </c>
      <c r="D101" s="41">
        <f t="shared" si="1"/>
        <v>0.69034099999999998</v>
      </c>
    </row>
    <row r="102" spans="2:4">
      <c r="B102" s="40">
        <v>98</v>
      </c>
      <c r="C102" s="41">
        <v>0.33726499999999998</v>
      </c>
      <c r="D102" s="41">
        <f t="shared" si="1"/>
        <v>0.66273500000000007</v>
      </c>
    </row>
    <row r="103" spans="2:4">
      <c r="B103" s="40">
        <v>99</v>
      </c>
      <c r="C103" s="41">
        <v>0.36663000000000001</v>
      </c>
      <c r="D103" s="41">
        <f t="shared" si="1"/>
        <v>0.63336999999999999</v>
      </c>
    </row>
    <row r="104" spans="2:4">
      <c r="B104" s="40">
        <v>100</v>
      </c>
      <c r="C104" s="41">
        <v>0.397733</v>
      </c>
      <c r="D104" s="41">
        <f t="shared" si="1"/>
        <v>0.602267</v>
      </c>
    </row>
    <row r="105" spans="2:4">
      <c r="B105" s="40">
        <v>101</v>
      </c>
      <c r="C105" s="41">
        <v>0.430529</v>
      </c>
      <c r="D105" s="41">
        <f t="shared" si="1"/>
        <v>0.56947100000000006</v>
      </c>
    </row>
    <row r="106" spans="2:4">
      <c r="B106" s="40">
        <v>102</v>
      </c>
      <c r="C106" s="41">
        <v>0.46494999999999997</v>
      </c>
      <c r="D106" s="41">
        <f t="shared" si="1"/>
        <v>0.53505000000000003</v>
      </c>
    </row>
    <row r="107" spans="2:4">
      <c r="B107" s="40">
        <v>103</v>
      </c>
      <c r="C107" s="41">
        <v>0.50090400000000002</v>
      </c>
      <c r="D107" s="41">
        <f t="shared" si="1"/>
        <v>0.49909599999999998</v>
      </c>
    </row>
    <row r="108" spans="2:4">
      <c r="B108" s="40">
        <v>104</v>
      </c>
      <c r="C108" s="41">
        <v>0.53827800000000003</v>
      </c>
      <c r="D108" s="41">
        <f t="shared" si="1"/>
        <v>0.46172199999999997</v>
      </c>
    </row>
    <row r="109" spans="2:4">
      <c r="B109" s="40">
        <v>105</v>
      </c>
      <c r="C109" s="41">
        <v>0.57694199999999995</v>
      </c>
      <c r="D109" s="41">
        <f t="shared" si="1"/>
        <v>0.42305800000000005</v>
      </c>
    </row>
    <row r="110" spans="2:4">
      <c r="B110" s="40">
        <v>106</v>
      </c>
      <c r="C110" s="41">
        <v>0.61675199999999997</v>
      </c>
      <c r="D110" s="41">
        <f t="shared" si="1"/>
        <v>0.38324800000000003</v>
      </c>
    </row>
    <row r="111" spans="2:4">
      <c r="B111" s="40">
        <v>107</v>
      </c>
      <c r="C111" s="41">
        <v>0.65755300000000005</v>
      </c>
      <c r="D111" s="41">
        <f t="shared" si="1"/>
        <v>0.34244699999999995</v>
      </c>
    </row>
    <row r="112" spans="2:4">
      <c r="B112" s="40">
        <v>108</v>
      </c>
      <c r="C112" s="41">
        <v>0.69919100000000001</v>
      </c>
      <c r="D112" s="41">
        <f t="shared" si="1"/>
        <v>0.30080899999999999</v>
      </c>
    </row>
    <row r="113" spans="2:4">
      <c r="B113" s="40">
        <v>109</v>
      </c>
      <c r="C113" s="41">
        <v>0.74151500000000004</v>
      </c>
      <c r="D113" s="41">
        <f t="shared" si="1"/>
        <v>0.25848499999999996</v>
      </c>
    </row>
    <row r="114" spans="2:4">
      <c r="B114" s="40">
        <v>110</v>
      </c>
      <c r="C114" s="41">
        <v>0.78438300000000005</v>
      </c>
      <c r="D114" s="41">
        <f t="shared" si="1"/>
        <v>0.21561699999999995</v>
      </c>
    </row>
    <row r="115" spans="2:4">
      <c r="B115" s="40">
        <v>111</v>
      </c>
      <c r="C115" s="41">
        <v>0.82767299999999999</v>
      </c>
      <c r="D115" s="41">
        <f t="shared" si="1"/>
        <v>0.17232700000000001</v>
      </c>
    </row>
    <row r="116" spans="2:4">
      <c r="B116" s="40">
        <v>112</v>
      </c>
      <c r="C116" s="41">
        <v>0.87128499999999998</v>
      </c>
      <c r="D116" s="41">
        <f t="shared" si="1"/>
        <v>0.12871500000000002</v>
      </c>
    </row>
    <row r="117" spans="2:4">
      <c r="B117" s="40">
        <v>113</v>
      </c>
      <c r="C117" s="41">
        <v>0.91514499999999999</v>
      </c>
      <c r="D117" s="41">
        <f t="shared" si="1"/>
        <v>8.4855000000000014E-2</v>
      </c>
    </row>
    <row r="118" spans="2:4">
      <c r="B118" s="40">
        <v>114</v>
      </c>
      <c r="C118" s="41">
        <v>0.95921400000000001</v>
      </c>
      <c r="D118" s="41">
        <f t="shared" si="1"/>
        <v>4.0785999999999989E-2</v>
      </c>
    </row>
    <row r="119" spans="2:4">
      <c r="B119" s="40">
        <v>115</v>
      </c>
      <c r="C119" s="41">
        <v>1</v>
      </c>
      <c r="D119" s="41">
        <f t="shared" si="1"/>
        <v>0</v>
      </c>
    </row>
  </sheetData>
  <autoFilter ref="B4:D119" xr:uid="{6BE5CBBC-7C74-42CF-BD4D-309253073D59}"/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DA6D-DD24-41C8-8B18-69969DA2A6F9}">
  <dimension ref="B1:N27"/>
  <sheetViews>
    <sheetView showGridLines="0" topLeftCell="A5" workbookViewId="0">
      <selection activeCell="F5" sqref="F5:H5"/>
    </sheetView>
  </sheetViews>
  <sheetFormatPr defaultRowHeight="14.5"/>
  <cols>
    <col min="1" max="1" width="5.7265625" customWidth="1"/>
    <col min="2" max="2" width="5.1796875" customWidth="1"/>
    <col min="4" max="4" width="12.453125" customWidth="1"/>
    <col min="5" max="5" width="18.1796875" bestFit="1" customWidth="1"/>
    <col min="6" max="6" width="22.08984375" bestFit="1" customWidth="1"/>
    <col min="7" max="7" width="17.54296875" customWidth="1"/>
    <col min="8" max="8" width="30.08984375" customWidth="1"/>
  </cols>
  <sheetData>
    <row r="1" spans="2:14" ht="15" thickBot="1"/>
    <row r="2" spans="2:14" ht="36.5" thickBot="1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8"/>
      <c r="M2" s="10"/>
      <c r="N2" s="10"/>
    </row>
    <row r="3" spans="2:14" ht="19" thickBot="1">
      <c r="F3" s="19" t="s">
        <v>19</v>
      </c>
      <c r="G3" s="20"/>
      <c r="H3" s="21"/>
    </row>
    <row r="4" spans="2:14" ht="15" thickBot="1"/>
    <row r="5" spans="2:14" ht="18.5">
      <c r="F5" s="27" t="s">
        <v>5</v>
      </c>
      <c r="G5" s="28"/>
      <c r="H5" s="29"/>
    </row>
    <row r="6" spans="2:14">
      <c r="F6" s="30" t="s">
        <v>6</v>
      </c>
      <c r="G6" s="31"/>
      <c r="H6" s="32"/>
    </row>
    <row r="7" spans="2:14">
      <c r="F7" s="3" t="s">
        <v>7</v>
      </c>
      <c r="G7" s="1">
        <v>200</v>
      </c>
      <c r="H7" s="7" t="s">
        <v>10</v>
      </c>
    </row>
    <row r="8" spans="2:14">
      <c r="F8" s="3" t="s">
        <v>8</v>
      </c>
      <c r="G8" s="2">
        <v>0.2</v>
      </c>
      <c r="H8" s="7" t="s">
        <v>9</v>
      </c>
    </row>
    <row r="9" spans="2:14">
      <c r="F9" s="30" t="s">
        <v>11</v>
      </c>
      <c r="G9" s="31"/>
      <c r="H9" s="32"/>
    </row>
    <row r="10" spans="2:14">
      <c r="F10" s="3" t="s">
        <v>7</v>
      </c>
      <c r="G10" s="1">
        <v>30</v>
      </c>
      <c r="H10" s="7" t="s">
        <v>26</v>
      </c>
    </row>
    <row r="11" spans="2:14">
      <c r="F11" s="3" t="s">
        <v>8</v>
      </c>
      <c r="G11" s="2">
        <v>0.03</v>
      </c>
      <c r="H11" s="7" t="s">
        <v>12</v>
      </c>
    </row>
    <row r="12" spans="2:14" ht="18.5">
      <c r="D12" s="9"/>
      <c r="F12" s="33" t="s">
        <v>13</v>
      </c>
      <c r="G12" s="34"/>
      <c r="H12" s="35"/>
    </row>
    <row r="13" spans="2:14" ht="21" customHeight="1">
      <c r="F13" s="3" t="s">
        <v>14</v>
      </c>
      <c r="G13" s="8">
        <f>1*10^7</f>
        <v>10000000</v>
      </c>
      <c r="H13" s="4"/>
    </row>
    <row r="14" spans="2:14" ht="23.5" customHeight="1">
      <c r="F14" s="16" t="s">
        <v>15</v>
      </c>
      <c r="G14" s="17"/>
      <c r="H14" s="18"/>
    </row>
    <row r="15" spans="2:14">
      <c r="F15" s="3" t="s">
        <v>16</v>
      </c>
      <c r="G15" s="1">
        <v>30</v>
      </c>
      <c r="H15" s="4"/>
    </row>
    <row r="16" spans="2:14">
      <c r="F16" s="3" t="s">
        <v>17</v>
      </c>
      <c r="G16" s="1">
        <v>40</v>
      </c>
      <c r="H16" s="4"/>
    </row>
    <row r="17" spans="6:8">
      <c r="F17" s="3" t="s">
        <v>18</v>
      </c>
      <c r="G17" s="1">
        <v>50</v>
      </c>
      <c r="H17" s="4"/>
    </row>
    <row r="18" spans="6:8" ht="18.5">
      <c r="F18" s="16" t="s">
        <v>1</v>
      </c>
      <c r="G18" s="17"/>
      <c r="H18" s="18"/>
    </row>
    <row r="19" spans="6:8">
      <c r="F19" s="3" t="s">
        <v>1</v>
      </c>
      <c r="G19" s="1">
        <v>20</v>
      </c>
      <c r="H19" s="7" t="s">
        <v>10</v>
      </c>
    </row>
    <row r="20" spans="6:8" ht="18.5">
      <c r="F20" s="16" t="s">
        <v>22</v>
      </c>
      <c r="G20" s="17"/>
      <c r="H20" s="18"/>
    </row>
    <row r="21" spans="6:8">
      <c r="F21" s="3" t="s">
        <v>22</v>
      </c>
      <c r="G21" s="2">
        <v>0.04</v>
      </c>
      <c r="H21" s="7" t="s">
        <v>10</v>
      </c>
    </row>
    <row r="22" spans="6:8" s="11" customFormat="1" ht="18.5">
      <c r="F22" s="16" t="s">
        <v>22</v>
      </c>
      <c r="G22" s="17"/>
      <c r="H22" s="18"/>
    </row>
    <row r="23" spans="6:8" s="11" customFormat="1">
      <c r="F23" s="3" t="s">
        <v>28</v>
      </c>
      <c r="G23" s="1">
        <f>11/24</f>
        <v>0.45833333333333331</v>
      </c>
      <c r="H23" s="7"/>
    </row>
    <row r="24" spans="6:8" ht="18.5">
      <c r="F24" s="22" t="s">
        <v>21</v>
      </c>
      <c r="G24" s="23"/>
      <c r="H24" s="24"/>
    </row>
    <row r="25" spans="6:8">
      <c r="F25" s="3" t="s">
        <v>16</v>
      </c>
      <c r="G25" s="1">
        <f>G15</f>
        <v>30</v>
      </c>
      <c r="H25" s="25" t="s">
        <v>20</v>
      </c>
    </row>
    <row r="26" spans="6:8">
      <c r="F26" s="3" t="s">
        <v>17</v>
      </c>
      <c r="G26" s="1">
        <f t="shared" ref="G26:G27" si="0">G16</f>
        <v>40</v>
      </c>
      <c r="H26" s="25"/>
    </row>
    <row r="27" spans="6:8" ht="15" thickBot="1">
      <c r="F27" s="5" t="s">
        <v>18</v>
      </c>
      <c r="G27" s="6">
        <f t="shared" si="0"/>
        <v>50</v>
      </c>
      <c r="H27" s="26"/>
    </row>
  </sheetData>
  <mergeCells count="12">
    <mergeCell ref="B2:L2"/>
    <mergeCell ref="F14:H14"/>
    <mergeCell ref="F18:H18"/>
    <mergeCell ref="F3:H3"/>
    <mergeCell ref="F24:H24"/>
    <mergeCell ref="H25:H27"/>
    <mergeCell ref="F20:H20"/>
    <mergeCell ref="F22:H22"/>
    <mergeCell ref="F5:H5"/>
    <mergeCell ref="F6:H6"/>
    <mergeCell ref="F9:H9"/>
    <mergeCell ref="F12:H1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2933-F5FA-4FC3-A1A2-C9C780AF87D8}">
  <dimension ref="A1:R48"/>
  <sheetViews>
    <sheetView showGridLines="0" zoomScale="58" zoomScaleNormal="85" workbookViewId="0">
      <selection activeCell="R15" sqref="R15"/>
    </sheetView>
  </sheetViews>
  <sheetFormatPr defaultRowHeight="14.5"/>
  <cols>
    <col min="1" max="1" width="3.1796875" style="11" customWidth="1"/>
    <col min="3" max="3" width="21.81640625" customWidth="1"/>
    <col min="4" max="4" width="13.6328125" customWidth="1"/>
    <col min="5" max="5" width="14.6328125" customWidth="1"/>
    <col min="6" max="6" width="4" style="47" customWidth="1"/>
    <col min="7" max="7" width="19.54296875" customWidth="1"/>
    <col min="8" max="8" width="28" bestFit="1" customWidth="1"/>
    <col min="9" max="9" width="3.26953125" style="47" customWidth="1"/>
    <col min="10" max="10" width="19.54296875" bestFit="1" customWidth="1"/>
    <col min="11" max="11" width="30" bestFit="1" customWidth="1"/>
    <col min="12" max="12" width="3.453125" style="47" customWidth="1"/>
    <col min="13" max="14" width="19.26953125" bestFit="1" customWidth="1"/>
    <col min="15" max="15" width="27.7265625" bestFit="1" customWidth="1"/>
    <col min="16" max="16" width="5.54296875" style="47" customWidth="1"/>
    <col min="17" max="17" width="21" customWidth="1"/>
    <col min="18" max="18" width="16.6328125" customWidth="1"/>
  </cols>
  <sheetData>
    <row r="1" spans="2:18" s="11" customFormat="1" ht="15" thickBot="1">
      <c r="F1" s="47"/>
      <c r="I1" s="47"/>
      <c r="L1" s="47"/>
      <c r="P1" s="47"/>
    </row>
    <row r="2" spans="2:18" ht="36.5" customHeight="1">
      <c r="C2" s="123" t="s">
        <v>35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2:18" ht="15" thickBot="1"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8"/>
    </row>
    <row r="4" spans="2:18" s="11" customFormat="1" ht="25.5" customHeight="1" thickBot="1">
      <c r="B4" s="46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2:18" ht="15.5">
      <c r="C5" s="103" t="s">
        <v>23</v>
      </c>
      <c r="D5" s="111">
        <f>i</f>
        <v>0.04</v>
      </c>
      <c r="H5" s="116" t="s">
        <v>40</v>
      </c>
      <c r="I5" s="117"/>
      <c r="J5" s="118">
        <v>19203.541978320256</v>
      </c>
    </row>
    <row r="6" spans="2:18" ht="16" thickBot="1">
      <c r="C6" s="104" t="s">
        <v>24</v>
      </c>
      <c r="D6" s="112">
        <f>1/(1+i)</f>
        <v>0.96153846153846145</v>
      </c>
      <c r="E6" s="11"/>
      <c r="H6" s="119" t="s">
        <v>41</v>
      </c>
      <c r="I6" s="120"/>
      <c r="J6" s="121">
        <f>12*J5</f>
        <v>230442.50373984309</v>
      </c>
    </row>
    <row r="7" spans="2:18" s="11" customFormat="1" ht="15" thickBot="1">
      <c r="B7"/>
      <c r="E7"/>
      <c r="F7" s="47"/>
      <c r="G7"/>
      <c r="H7"/>
      <c r="I7" s="47"/>
      <c r="J7"/>
      <c r="K7"/>
      <c r="L7" s="47"/>
      <c r="M7"/>
      <c r="N7"/>
      <c r="O7"/>
      <c r="P7" s="47"/>
      <c r="Q7"/>
      <c r="R7"/>
    </row>
    <row r="8" spans="2:18" s="11" customFormat="1" ht="15" thickBot="1">
      <c r="F8" s="47"/>
      <c r="H8" s="108" t="s">
        <v>42</v>
      </c>
      <c r="I8" s="109"/>
      <c r="J8" s="110">
        <f>H46-(K46+O46)</f>
        <v>0</v>
      </c>
      <c r="L8" s="47"/>
      <c r="P8" s="47"/>
    </row>
    <row r="9" spans="2:18" ht="15" thickBot="1">
      <c r="B9" s="11"/>
      <c r="C9" s="11"/>
      <c r="D9" s="11"/>
      <c r="E9" s="11"/>
      <c r="G9" s="11"/>
      <c r="H9" s="11"/>
      <c r="J9" s="11"/>
      <c r="K9" s="11"/>
      <c r="M9" s="11"/>
      <c r="N9" s="11"/>
      <c r="O9" s="11"/>
      <c r="Q9" s="11"/>
      <c r="R9" s="11"/>
    </row>
    <row r="10" spans="2:18">
      <c r="C10" s="55" t="s">
        <v>37</v>
      </c>
      <c r="D10" s="56" t="s">
        <v>27</v>
      </c>
      <c r="E10" s="57" t="s">
        <v>38</v>
      </c>
      <c r="F10" s="51"/>
      <c r="G10" s="66" t="s">
        <v>39</v>
      </c>
      <c r="H10" s="67" t="s">
        <v>29</v>
      </c>
      <c r="I10" s="48"/>
      <c r="J10" s="74" t="s">
        <v>33</v>
      </c>
      <c r="K10" s="76" t="s">
        <v>25</v>
      </c>
      <c r="L10" s="48"/>
      <c r="M10" s="81" t="s">
        <v>30</v>
      </c>
      <c r="N10" s="82" t="s">
        <v>31</v>
      </c>
      <c r="O10" s="83" t="s">
        <v>32</v>
      </c>
      <c r="P10" s="48"/>
      <c r="Q10" s="90" t="s">
        <v>34</v>
      </c>
      <c r="R10" s="94" t="s">
        <v>43</v>
      </c>
    </row>
    <row r="11" spans="2:18">
      <c r="C11" s="58"/>
      <c r="D11" s="53"/>
      <c r="E11" s="59"/>
      <c r="F11" s="51"/>
      <c r="G11" s="68"/>
      <c r="H11" s="69"/>
      <c r="I11" s="48"/>
      <c r="J11" s="75"/>
      <c r="K11" s="77"/>
      <c r="L11" s="48"/>
      <c r="M11" s="84"/>
      <c r="N11" s="45"/>
      <c r="O11" s="85"/>
      <c r="P11" s="48"/>
      <c r="Q11" s="91"/>
      <c r="R11" s="95"/>
    </row>
    <row r="12" spans="2:18">
      <c r="C12" s="58"/>
      <c r="D12" s="53"/>
      <c r="E12" s="59"/>
      <c r="F12" s="51"/>
      <c r="G12" s="68"/>
      <c r="H12" s="69"/>
      <c r="I12" s="48"/>
      <c r="J12" s="75"/>
      <c r="K12" s="77"/>
      <c r="L12" s="48"/>
      <c r="M12" s="84"/>
      <c r="N12" s="45"/>
      <c r="O12" s="85"/>
      <c r="P12" s="48"/>
      <c r="Q12" s="91"/>
      <c r="R12" s="95"/>
    </row>
    <row r="13" spans="2:18">
      <c r="C13" s="60">
        <v>0</v>
      </c>
      <c r="D13" s="54">
        <f>Age</f>
        <v>20</v>
      </c>
      <c r="E13" s="61">
        <f>C43</f>
        <v>30</v>
      </c>
      <c r="F13" s="52"/>
      <c r="G13" s="70">
        <f>G14*v*VLOOKUP(D13,'IALM 2012-14'!$B$5:$D$119,3,FALSE)+1-(monthlyconv*(1-v*VLOOKUP(D13,'IALM 2012-14'!$B$5:$D$119,3,FALSE)))</f>
        <v>17.433607134257521</v>
      </c>
      <c r="H13" s="71">
        <f t="shared" ref="H13:H43" si="0">G13*premium</f>
        <v>334787.0064362578</v>
      </c>
      <c r="I13" s="49"/>
      <c r="J13" s="78">
        <f>J14*v*VLOOKUP(D13,'IALM 2012-14'!$B$5:$D$119,3,FALSE)+v*VLOOKUP(D13,'IALM 2012-14'!$B$5:$D$119,2,FALSE)</f>
        <v>2.3029800276412906E-2</v>
      </c>
      <c r="K13" s="71">
        <f t="shared" ref="K13:K43" si="1">SumAssured*J13</f>
        <v>230298.00276412905</v>
      </c>
      <c r="L13" s="49"/>
      <c r="M13" s="86">
        <f>InitialFixedExp</f>
        <v>200</v>
      </c>
      <c r="N13" s="13">
        <f>0.2*J6</f>
        <v>46088.500747968617</v>
      </c>
      <c r="O13" s="87">
        <f>M13+N13</f>
        <v>46288.500747968617</v>
      </c>
      <c r="P13" s="80"/>
      <c r="Q13" s="92">
        <f>((Q14*VLOOKUP(D13,'IALM 2012-14'!$B$5:$D$119,3,FALSE)+SumAssured*VLOOKUP(D13,'IALM 2012-14'!$B$5:$D$119,2,FALSE))/(1+i))-$J$6+InitialFixedExp+InitialVarExp*'Term-30'!$J$6</f>
        <v>-3693545.1317835823</v>
      </c>
      <c r="R13" s="87">
        <f>Q14*VLOOKUP(D13,'IALM 2012-14'!$B$5:$D$119,3,FALSE)-'Term-30'!Q13*(1+i)</f>
        <v>182280.1631115498</v>
      </c>
    </row>
    <row r="14" spans="2:18">
      <c r="C14" s="62">
        <f>C13+1</f>
        <v>1</v>
      </c>
      <c r="D14" s="12">
        <f>1+D13</f>
        <v>21</v>
      </c>
      <c r="E14" s="61">
        <f>E13-1</f>
        <v>29</v>
      </c>
      <c r="F14" s="52"/>
      <c r="G14" s="70">
        <f>G15*v*VLOOKUP(D14,'IALM 2012-14'!$B$5:$D$119,3,FALSE)+1-(monthlyconv*(1-v*VLOOKUP(D14,'IALM 2012-14'!$B$5:$D$119,3,FALSE)))</f>
        <v>17.125532244755313</v>
      </c>
      <c r="H14" s="71">
        <f>G14*premium</f>
        <v>328870.87736323575</v>
      </c>
      <c r="I14" s="49"/>
      <c r="J14" s="78">
        <f>J15*v*VLOOKUP(D14,'IALM 2012-14'!$B$5:$D$119,3,FALSE)+v*VLOOKUP(D14,'IALM 2012-14'!$B$5:$D$119,2,FALSE)</f>
        <v>2.3048288906418954E-2</v>
      </c>
      <c r="K14" s="71">
        <f t="shared" si="1"/>
        <v>230482.88906418954</v>
      </c>
      <c r="L14" s="49"/>
      <c r="M14" s="86">
        <f t="shared" ref="M14:M43" si="2">RenFixedExp*G14</f>
        <v>513.76596734265934</v>
      </c>
      <c r="N14" s="13">
        <f>RenVarExp*G14*premium</f>
        <v>9866.1263208970722</v>
      </c>
      <c r="O14" s="87">
        <f t="shared" ref="O14:O43" si="3">M14+N14</f>
        <v>10379.892288239731</v>
      </c>
      <c r="P14" s="80"/>
      <c r="Q14" s="92">
        <f>((Q15*VLOOKUP(D14,'IALM 2012-14'!$B$5:$D$119,3,FALSE)+SumAssured*VLOOKUP(D14,'IALM 2012-14'!$B$5:$D$119,2,FALSE))/(1+i))-$J$6+12*RenFixedExp+$J$6*RenVarExp</f>
        <v>-3662390.8230638872</v>
      </c>
      <c r="R14" s="87">
        <f>Q15*VLOOKUP(D14,'IALM 2012-14'!$B$5:$D$119,3,FALSE)-'Term-30'!Q14*(1+i)</f>
        <v>222755.9977727537</v>
      </c>
    </row>
    <row r="15" spans="2:18">
      <c r="C15" s="62">
        <f t="shared" ref="C15:C43" si="4">C14+1</f>
        <v>2</v>
      </c>
      <c r="D15" s="12">
        <f>1+D14</f>
        <v>22</v>
      </c>
      <c r="E15" s="61">
        <f>E14-1</f>
        <v>28</v>
      </c>
      <c r="F15" s="52"/>
      <c r="G15" s="70">
        <f>G16*v*VLOOKUP(D15,'IALM 2012-14'!$B$5:$D$119,3,FALSE)+1-(monthlyconv*(1-v*VLOOKUP(D15,'IALM 2012-14'!$B$5:$D$119,3,FALSE)))</f>
        <v>16.805010831328651</v>
      </c>
      <c r="H15" s="71">
        <f t="shared" si="0"/>
        <v>322715.73094554635</v>
      </c>
      <c r="I15" s="49"/>
      <c r="J15" s="78">
        <f>J16*v*VLOOKUP(D15,'IALM 2012-14'!$B$5:$D$119,3,FALSE)+v*VLOOKUP(D15,'IALM 2012-14'!$B$5:$D$119,2,FALSE)</f>
        <v>2.3057756407160002E-2</v>
      </c>
      <c r="K15" s="71">
        <f t="shared" si="1"/>
        <v>230577.56407160003</v>
      </c>
      <c r="L15" s="49"/>
      <c r="M15" s="86">
        <f t="shared" si="2"/>
        <v>504.15032493985956</v>
      </c>
      <c r="N15" s="13">
        <f>RenVarExp*G15*premium</f>
        <v>9681.4719283663908</v>
      </c>
      <c r="O15" s="87">
        <f t="shared" si="3"/>
        <v>10185.62225330625</v>
      </c>
      <c r="P15" s="80"/>
      <c r="Q15" s="92">
        <f>((Q16*VLOOKUP(D15,'IALM 2012-14'!$B$5:$D$119,3,FALSE)+SumAssured*VLOOKUP(D15,'IALM 2012-14'!$B$5:$D$119,2,FALSE))/(1+i))-$J$6+12*RenFixedExp+$J$6*RenVarExp</f>
        <v>-3589483.0353687238</v>
      </c>
      <c r="R15" s="87">
        <f>Q16*VLOOKUP(D15,'IALM 2012-14'!$B$5:$D$119,3,FALSE)-'Term-30'!Q15*(1+i)</f>
        <v>222725.9977727537</v>
      </c>
    </row>
    <row r="16" spans="2:18">
      <c r="C16" s="62">
        <f t="shared" si="4"/>
        <v>3</v>
      </c>
      <c r="D16" s="12">
        <f t="shared" ref="D16:D43" si="5">1+D15</f>
        <v>23</v>
      </c>
      <c r="E16" s="61">
        <f t="shared" ref="E16:E43" si="6">E15-1</f>
        <v>27</v>
      </c>
      <c r="F16" s="52"/>
      <c r="G16" s="70">
        <f>G17*v*VLOOKUP(D16,'IALM 2012-14'!$B$5:$D$119,3,FALSE)+1-(monthlyconv*(1-v*VLOOKUP(D16,'IALM 2012-14'!$B$5:$D$119,3,FALSE)))</f>
        <v>16.471407765324575</v>
      </c>
      <c r="H16" s="71">
        <f t="shared" si="0"/>
        <v>316309.37046344072</v>
      </c>
      <c r="I16" s="49"/>
      <c r="J16" s="78">
        <f>J17*v*VLOOKUP(D16,'IALM 2012-14'!$B$5:$D$119,3,FALSE)+v*VLOOKUP(D16,'IALM 2012-14'!$B$5:$D$119,2,FALSE)</f>
        <v>2.306467826698257E-2</v>
      </c>
      <c r="K16" s="71">
        <f t="shared" si="1"/>
        <v>230646.78266982568</v>
      </c>
      <c r="L16" s="49"/>
      <c r="M16" s="86">
        <f t="shared" si="2"/>
        <v>494.14223295973721</v>
      </c>
      <c r="N16" s="13">
        <f>RenVarExp*G16*premium</f>
        <v>9489.2811139032201</v>
      </c>
      <c r="O16" s="87">
        <f t="shared" si="3"/>
        <v>9983.4233468629573</v>
      </c>
      <c r="P16" s="80"/>
      <c r="Q16" s="92">
        <f>((Q17*VLOOKUP(D16,'IALM 2012-14'!$B$5:$D$119,3,FALSE)+SumAssured*VLOOKUP(D16,'IALM 2012-14'!$B$5:$D$119,2,FALSE))/(1+i))-$J$6+12*RenFixedExp+$J$6*RenVarExp</f>
        <v>-3513628.6290361257</v>
      </c>
      <c r="R16" s="87">
        <f>Q17*VLOOKUP(D16,'IALM 2012-14'!$B$5:$D$119,3,FALSE)-'Term-30'!Q16*(1+i)</f>
        <v>222735.9977727537</v>
      </c>
    </row>
    <row r="17" spans="3:18">
      <c r="C17" s="62">
        <f t="shared" si="4"/>
        <v>4</v>
      </c>
      <c r="D17" s="12">
        <f t="shared" si="5"/>
        <v>24</v>
      </c>
      <c r="E17" s="61">
        <f t="shared" si="6"/>
        <v>26</v>
      </c>
      <c r="F17" s="52"/>
      <c r="G17" s="70">
        <f>G18*v*VLOOKUP(D17,'IALM 2012-14'!$B$5:$D$119,3,FALSE)+1-(monthlyconv*(1-v*VLOOKUP(D17,'IALM 2012-14'!$B$5:$D$119,3,FALSE)))</f>
        <v>16.124118584265766</v>
      </c>
      <c r="H17" s="71">
        <f t="shared" si="0"/>
        <v>309640.18809636141</v>
      </c>
      <c r="I17" s="49"/>
      <c r="J17" s="78">
        <f>J18*v*VLOOKUP(D17,'IALM 2012-14'!$B$5:$D$119,3,FALSE)+v*VLOOKUP(D17,'IALM 2012-14'!$B$5:$D$119,2,FALSE)</f>
        <v>2.3072861596115841E-2</v>
      </c>
      <c r="K17" s="71">
        <f t="shared" si="1"/>
        <v>230728.61596115842</v>
      </c>
      <c r="L17" s="49"/>
      <c r="M17" s="86">
        <f t="shared" si="2"/>
        <v>483.72355752797296</v>
      </c>
      <c r="N17" s="13">
        <f>RenVarExp*G17*premium</f>
        <v>9289.2056428908418</v>
      </c>
      <c r="O17" s="87">
        <f t="shared" si="3"/>
        <v>9772.9292004188155</v>
      </c>
      <c r="P17" s="80"/>
      <c r="Q17" s="92">
        <f>((Q18*VLOOKUP(D17,'IALM 2012-14'!$B$5:$D$119,3,FALSE)+SumAssured*VLOOKUP(D17,'IALM 2012-14'!$B$5:$D$119,2,FALSE))/(1+i))-$J$6+12*RenFixedExp+$J$6*RenVarExp</f>
        <v>-3434652.6112689651</v>
      </c>
      <c r="R17" s="87">
        <f>Q18*VLOOKUP(D17,'IALM 2012-14'!$B$5:$D$119,3,FALSE)-'Term-30'!Q17*(1+i)</f>
        <v>222765.9977727537</v>
      </c>
    </row>
    <row r="18" spans="3:18">
      <c r="C18" s="62">
        <f t="shared" si="4"/>
        <v>5</v>
      </c>
      <c r="D18" s="12">
        <f t="shared" si="5"/>
        <v>25</v>
      </c>
      <c r="E18" s="61">
        <f t="shared" si="6"/>
        <v>25</v>
      </c>
      <c r="F18" s="52"/>
      <c r="G18" s="70">
        <f>G19*v*VLOOKUP(D18,'IALM 2012-14'!$B$5:$D$119,3,FALSE)+1-(monthlyconv*(1-v*VLOOKUP(D18,'IALM 2012-14'!$B$5:$D$119,3,FALSE)))</f>
        <v>15.762550745815572</v>
      </c>
      <c r="H18" s="71">
        <f t="shared" si="0"/>
        <v>302696.80493267259</v>
      </c>
      <c r="I18" s="49"/>
      <c r="J18" s="78">
        <f>J19*v*VLOOKUP(D18,'IALM 2012-14'!$B$5:$D$119,3,FALSE)+v*VLOOKUP(D18,'IALM 2012-14'!$B$5:$D$119,2,FALSE)</f>
        <v>2.3084313724665587E-2</v>
      </c>
      <c r="K18" s="71">
        <f t="shared" si="1"/>
        <v>230843.13724665585</v>
      </c>
      <c r="L18" s="49"/>
      <c r="M18" s="86">
        <f t="shared" si="2"/>
        <v>472.87652237446719</v>
      </c>
      <c r="N18" s="13">
        <f>RenVarExp*G18*premium</f>
        <v>9080.9041479801781</v>
      </c>
      <c r="O18" s="87">
        <f t="shared" si="3"/>
        <v>9553.7806703546448</v>
      </c>
      <c r="P18" s="80"/>
      <c r="Q18" s="92">
        <f>((Q19*VLOOKUP(D18,'IALM 2012-14'!$B$5:$D$119,3,FALSE)+SumAssured*VLOOKUP(D18,'IALM 2012-14'!$B$5:$D$119,2,FALSE))/(1+i))-$J$6+12*RenFixedExp+$J$6*RenVarExp</f>
        <v>-3352400.5076205796</v>
      </c>
      <c r="R18" s="87">
        <f>Q19*VLOOKUP(D18,'IALM 2012-14'!$B$5:$D$119,3,FALSE)-'Term-30'!Q18*(1+i)</f>
        <v>222785.9977727537</v>
      </c>
    </row>
    <row r="19" spans="3:18">
      <c r="C19" s="62">
        <f t="shared" si="4"/>
        <v>6</v>
      </c>
      <c r="D19" s="12">
        <f t="shared" si="5"/>
        <v>26</v>
      </c>
      <c r="E19" s="61">
        <f t="shared" si="6"/>
        <v>24</v>
      </c>
      <c r="F19" s="52"/>
      <c r="G19" s="70">
        <f>G20*v*VLOOKUP(D19,'IALM 2012-14'!$B$5:$D$119,3,FALSE)+1-(monthlyconv*(1-v*VLOOKUP(D19,'IALM 2012-14'!$B$5:$D$119,3,FALSE)))</f>
        <v>15.386137311151547</v>
      </c>
      <c r="H19" s="71">
        <f t="shared" si="0"/>
        <v>295468.33373889828</v>
      </c>
      <c r="I19" s="49"/>
      <c r="J19" s="78">
        <f>J20*v*VLOOKUP(D19,'IALM 2012-14'!$B$5:$D$119,3,FALSE)+v*VLOOKUP(D19,'IALM 2012-14'!$B$5:$D$119,2,FALSE)</f>
        <v>2.3098190689183843E-2</v>
      </c>
      <c r="K19" s="71">
        <f t="shared" si="1"/>
        <v>230981.90689183844</v>
      </c>
      <c r="L19" s="49"/>
      <c r="M19" s="86">
        <f t="shared" si="2"/>
        <v>461.58411933454641</v>
      </c>
      <c r="N19" s="13">
        <f>RenVarExp*G19*premium</f>
        <v>8864.0500121669484</v>
      </c>
      <c r="O19" s="87">
        <f t="shared" si="3"/>
        <v>9325.6341315014943</v>
      </c>
      <c r="P19" s="80"/>
      <c r="Q19" s="92">
        <f>((Q20*VLOOKUP(D19,'IALM 2012-14'!$B$5:$D$119,3,FALSE)+SumAssured*VLOOKUP(D19,'IALM 2012-14'!$B$5:$D$119,2,FALSE))/(1+i))-$J$6+12*RenFixedExp+$J$6*RenVarExp</f>
        <v>-3266751.8761493443</v>
      </c>
      <c r="R19" s="87">
        <f>Q20*VLOOKUP(D19,'IALM 2012-14'!$B$5:$D$119,3,FALSE)-'Term-30'!Q19*(1+i)</f>
        <v>222785.9977727537</v>
      </c>
    </row>
    <row r="20" spans="3:18">
      <c r="C20" s="62">
        <f t="shared" si="4"/>
        <v>7</v>
      </c>
      <c r="D20" s="12">
        <f t="shared" si="5"/>
        <v>27</v>
      </c>
      <c r="E20" s="61">
        <f t="shared" si="6"/>
        <v>23</v>
      </c>
      <c r="F20" s="52"/>
      <c r="G20" s="70">
        <f>G21*v*VLOOKUP(D20,'IALM 2012-14'!$B$5:$D$119,3,FALSE)+1-(monthlyconv*(1-v*VLOOKUP(D20,'IALM 2012-14'!$B$5:$D$119,3,FALSE)))</f>
        <v>14.994302540929883</v>
      </c>
      <c r="H20" s="71">
        <f t="shared" si="0"/>
        <v>287943.71828038112</v>
      </c>
      <c r="I20" s="49"/>
      <c r="J20" s="78">
        <f>J21*v*VLOOKUP(D20,'IALM 2012-14'!$B$5:$D$119,3,FALSE)+v*VLOOKUP(D20,'IALM 2012-14'!$B$5:$D$119,2,FALSE)</f>
        <v>2.3112636181035741E-2</v>
      </c>
      <c r="K20" s="71">
        <f t="shared" si="1"/>
        <v>231126.3618103574</v>
      </c>
      <c r="L20" s="49"/>
      <c r="M20" s="86">
        <f t="shared" si="2"/>
        <v>449.82907622789651</v>
      </c>
      <c r="N20" s="13">
        <f>RenVarExp*G20*premium</f>
        <v>8638.3115484114314</v>
      </c>
      <c r="O20" s="87">
        <f t="shared" si="3"/>
        <v>9088.1406246393271</v>
      </c>
      <c r="P20" s="80"/>
      <c r="Q20" s="92">
        <f>((Q21*VLOOKUP(D20,'IALM 2012-14'!$B$5:$D$119,3,FALSE)+SumAssured*VLOOKUP(D20,'IALM 2012-14'!$B$5:$D$119,2,FALSE))/(1+i))-$J$6+12*RenFixedExp+$J$6*RenVarExp</f>
        <v>-3177594.2937100087</v>
      </c>
      <c r="R20" s="87">
        <f>Q21*VLOOKUP(D20,'IALM 2012-14'!$B$5:$D$119,3,FALSE)-'Term-30'!Q20*(1+i)</f>
        <v>222755.9977727537</v>
      </c>
    </row>
    <row r="21" spans="3:18">
      <c r="C21" s="62">
        <f t="shared" si="4"/>
        <v>8</v>
      </c>
      <c r="D21" s="12">
        <f t="shared" si="5"/>
        <v>28</v>
      </c>
      <c r="E21" s="61">
        <f t="shared" si="6"/>
        <v>22</v>
      </c>
      <c r="F21" s="52"/>
      <c r="G21" s="70">
        <f>G22*v*VLOOKUP(D21,'IALM 2012-14'!$B$5:$D$119,3,FALSE)+1-(monthlyconv*(1-v*VLOOKUP(D21,'IALM 2012-14'!$B$5:$D$119,3,FALSE)))</f>
        <v>14.586459812698807</v>
      </c>
      <c r="H21" s="71">
        <f t="shared" si="0"/>
        <v>280111.69332824298</v>
      </c>
      <c r="I21" s="49"/>
      <c r="J21" s="78">
        <f>J22*v*VLOOKUP(D21,'IALM 2012-14'!$B$5:$D$119,3,FALSE)+v*VLOOKUP(D21,'IALM 2012-14'!$B$5:$D$119,2,FALSE)</f>
        <v>2.3124740135563791E-2</v>
      </c>
      <c r="K21" s="71">
        <f t="shared" si="1"/>
        <v>231247.40135563791</v>
      </c>
      <c r="L21" s="49"/>
      <c r="M21" s="86">
        <f t="shared" si="2"/>
        <v>437.5937943809642</v>
      </c>
      <c r="N21" s="13">
        <f>RenVarExp*G21*premium</f>
        <v>8403.3507998472887</v>
      </c>
      <c r="O21" s="87">
        <f t="shared" si="3"/>
        <v>8840.9445942282528</v>
      </c>
      <c r="P21" s="80"/>
      <c r="Q21" s="92">
        <f>((Q22*VLOOKUP(D21,'IALM 2012-14'!$B$5:$D$119,3,FALSE)+SumAssured*VLOOKUP(D21,'IALM 2012-14'!$B$5:$D$119,2,FALSE))/(1+i))-$J$6+12*RenFixedExp+$J$6*RenVarExp</f>
        <v>-3084823.2926409822</v>
      </c>
      <c r="R21" s="87">
        <f>Q22*VLOOKUP(D21,'IALM 2012-14'!$B$5:$D$119,3,FALSE)-'Term-30'!Q21*(1+i)</f>
        <v>222675.9977727537</v>
      </c>
    </row>
    <row r="22" spans="3:18">
      <c r="C22" s="62">
        <f t="shared" si="4"/>
        <v>9</v>
      </c>
      <c r="D22" s="12">
        <f t="shared" si="5"/>
        <v>29</v>
      </c>
      <c r="E22" s="61">
        <f t="shared" si="6"/>
        <v>21</v>
      </c>
      <c r="F22" s="52"/>
      <c r="G22" s="70">
        <f>G23*v*VLOOKUP(D22,'IALM 2012-14'!$B$5:$D$119,3,FALSE)+1-(monthlyconv*(1-v*VLOOKUP(D22,'IALM 2012-14'!$B$5:$D$119,3,FALSE)))</f>
        <v>14.162023915068088</v>
      </c>
      <c r="H22" s="71">
        <f t="shared" si="0"/>
        <v>271961.02075098542</v>
      </c>
      <c r="I22" s="49"/>
      <c r="J22" s="78">
        <f>J23*v*VLOOKUP(D22,'IALM 2012-14'!$B$5:$D$119,3,FALSE)+v*VLOOKUP(D22,'IALM 2012-14'!$B$5:$D$119,2,FALSE)</f>
        <v>2.3129517746703739E-2</v>
      </c>
      <c r="K22" s="71">
        <f t="shared" si="1"/>
        <v>231295.1774670374</v>
      </c>
      <c r="L22" s="49"/>
      <c r="M22" s="86">
        <f t="shared" si="2"/>
        <v>424.86071745204265</v>
      </c>
      <c r="N22" s="13">
        <f>RenVarExp*G22*premium</f>
        <v>8158.8306225295619</v>
      </c>
      <c r="O22" s="87">
        <f t="shared" si="3"/>
        <v>8583.691339981604</v>
      </c>
      <c r="P22" s="80"/>
      <c r="Q22" s="92">
        <f>((Q23*VLOOKUP(D22,'IALM 2012-14'!$B$5:$D$119,3,FALSE)+SumAssured*VLOOKUP(D22,'IALM 2012-14'!$B$5:$D$119,2,FALSE))/(1+i))-$J$6+12*RenFixedExp+$J$6*RenVarExp</f>
        <v>-2988355.2572261747</v>
      </c>
      <c r="R22" s="87">
        <f>Q23*VLOOKUP(D22,'IALM 2012-14'!$B$5:$D$119,3,FALSE)-'Term-30'!Q22*(1+i)</f>
        <v>222535.9977727537</v>
      </c>
    </row>
    <row r="23" spans="3:18">
      <c r="C23" s="62">
        <f t="shared" si="4"/>
        <v>10</v>
      </c>
      <c r="D23" s="12">
        <f t="shared" si="5"/>
        <v>30</v>
      </c>
      <c r="E23" s="61">
        <f t="shared" si="6"/>
        <v>20</v>
      </c>
      <c r="F23" s="52"/>
      <c r="G23" s="70">
        <f>G24*v*VLOOKUP(D23,'IALM 2012-14'!$B$5:$D$119,3,FALSE)+1-(monthlyconv*(1-v*VLOOKUP(D23,'IALM 2012-14'!$B$5:$D$119,3,FALSE)))</f>
        <v>13.72039306744329</v>
      </c>
      <c r="H23" s="71">
        <f t="shared" si="0"/>
        <v>263480.14422970143</v>
      </c>
      <c r="I23" s="49"/>
      <c r="J23" s="78">
        <f>J24*v*VLOOKUP(D23,'IALM 2012-14'!$B$5:$D$119,3,FALSE)+v*VLOOKUP(D23,'IALM 2012-14'!$B$5:$D$119,2,FALSE)</f>
        <v>2.3120801943229619E-2</v>
      </c>
      <c r="K23" s="71">
        <f t="shared" si="1"/>
        <v>231208.01943229619</v>
      </c>
      <c r="L23" s="49"/>
      <c r="M23" s="86">
        <f t="shared" si="2"/>
        <v>411.61179202329868</v>
      </c>
      <c r="N23" s="13">
        <f>RenVarExp*G23*premium</f>
        <v>7904.4043268910427</v>
      </c>
      <c r="O23" s="87">
        <f t="shared" si="3"/>
        <v>8316.0161189143419</v>
      </c>
      <c r="P23" s="80"/>
      <c r="Q23" s="92">
        <f>((Q24*VLOOKUP(D23,'IALM 2012-14'!$B$5:$D$119,3,FALSE)+SumAssured*VLOOKUP(D23,'IALM 2012-14'!$B$5:$D$119,2,FALSE))/(1+i))-$J$6+12*RenFixedExp+$J$6*RenVarExp</f>
        <v>-2888114.507211362</v>
      </c>
      <c r="R23" s="87">
        <f>Q24*VLOOKUP(D23,'IALM 2012-14'!$B$5:$D$119,3,FALSE)-'Term-30'!Q23*(1+i)</f>
        <v>222325.9977727537</v>
      </c>
    </row>
    <row r="24" spans="3:18">
      <c r="C24" s="62">
        <f t="shared" si="4"/>
        <v>11</v>
      </c>
      <c r="D24" s="12">
        <f t="shared" si="5"/>
        <v>31</v>
      </c>
      <c r="E24" s="61">
        <f t="shared" si="6"/>
        <v>19</v>
      </c>
      <c r="F24" s="52"/>
      <c r="G24" s="70">
        <f>G25*v*VLOOKUP(D24,'IALM 2012-14'!$B$5:$D$119,3,FALSE)+1-(monthlyconv*(1-v*VLOOKUP(D24,'IALM 2012-14'!$B$5:$D$119,3,FALSE)))</f>
        <v>13.260945859245506</v>
      </c>
      <c r="H24" s="71">
        <f t="shared" si="0"/>
        <v>254657.13048025325</v>
      </c>
      <c r="I24" s="49"/>
      <c r="J24" s="78">
        <f>J25*v*VLOOKUP(D24,'IALM 2012-14'!$B$5:$D$119,3,FALSE)+v*VLOOKUP(D24,'IALM 2012-14'!$B$5:$D$119,2,FALSE)</f>
        <v>2.3091194117611711E-2</v>
      </c>
      <c r="K24" s="71">
        <f t="shared" si="1"/>
        <v>230911.94117611711</v>
      </c>
      <c r="L24" s="49"/>
      <c r="M24" s="86">
        <f t="shared" si="2"/>
        <v>397.82837577736518</v>
      </c>
      <c r="N24" s="13">
        <f>RenVarExp*G24*premium</f>
        <v>7639.7139144075973</v>
      </c>
      <c r="O24" s="87">
        <f t="shared" si="3"/>
        <v>8037.5422901849624</v>
      </c>
      <c r="P24" s="80"/>
      <c r="Q24" s="92">
        <f>((Q25*VLOOKUP(D24,'IALM 2012-14'!$B$5:$D$119,3,FALSE)+SumAssured*VLOOKUP(D24,'IALM 2012-14'!$B$5:$D$119,2,FALSE))/(1+i))-$J$6+12*RenFixedExp+$J$6*RenVarExp</f>
        <v>-2784033.0900560473</v>
      </c>
      <c r="R24" s="87">
        <f>Q25*VLOOKUP(D24,'IALM 2012-14'!$B$5:$D$119,3,FALSE)-'Term-30'!Q24*(1+i)</f>
        <v>222045.9977727537</v>
      </c>
    </row>
    <row r="25" spans="3:18">
      <c r="C25" s="62">
        <f t="shared" si="4"/>
        <v>12</v>
      </c>
      <c r="D25" s="12">
        <f t="shared" si="5"/>
        <v>32</v>
      </c>
      <c r="E25" s="61">
        <f t="shared" si="6"/>
        <v>18</v>
      </c>
      <c r="F25" s="52"/>
      <c r="G25" s="70">
        <f>G26*v*VLOOKUP(D25,'IALM 2012-14'!$B$5:$D$119,3,FALSE)+1-(monthlyconv*(1-v*VLOOKUP(D25,'IALM 2012-14'!$B$5:$D$119,3,FALSE)))</f>
        <v>12.783024591663283</v>
      </c>
      <c r="H25" s="71">
        <f t="shared" si="0"/>
        <v>245479.34935590602</v>
      </c>
      <c r="I25" s="49"/>
      <c r="J25" s="78">
        <f>J26*v*VLOOKUP(D25,'IALM 2012-14'!$B$5:$D$119,3,FALSE)+v*VLOOKUP(D25,'IALM 2012-14'!$B$5:$D$119,2,FALSE)</f>
        <v>2.303299003730367E-2</v>
      </c>
      <c r="K25" s="71">
        <f t="shared" si="1"/>
        <v>230329.90037303671</v>
      </c>
      <c r="L25" s="49"/>
      <c r="M25" s="86">
        <f t="shared" si="2"/>
        <v>383.49073774989847</v>
      </c>
      <c r="N25" s="13">
        <f>RenVarExp*G25*premium</f>
        <v>7364.3804806771805</v>
      </c>
      <c r="O25" s="87">
        <f t="shared" si="3"/>
        <v>7747.8712184270789</v>
      </c>
      <c r="P25" s="80"/>
      <c r="Q25" s="92">
        <f>((Q26*VLOOKUP(D25,'IALM 2012-14'!$B$5:$D$119,3,FALSE)+SumAssured*VLOOKUP(D25,'IALM 2012-14'!$B$5:$D$119,2,FALSE))/(1+i))-$J$6+12*RenFixedExp+$J$6*RenVarExp</f>
        <v>-2676037.8339086138</v>
      </c>
      <c r="R25" s="87">
        <f>Q26*VLOOKUP(D25,'IALM 2012-14'!$B$5:$D$119,3,FALSE)-'Term-30'!Q25*(1+i)</f>
        <v>221675.9977727537</v>
      </c>
    </row>
    <row r="26" spans="3:18">
      <c r="C26" s="62">
        <f t="shared" si="4"/>
        <v>13</v>
      </c>
      <c r="D26" s="12">
        <f t="shared" si="5"/>
        <v>33</v>
      </c>
      <c r="E26" s="61">
        <f t="shared" si="6"/>
        <v>17</v>
      </c>
      <c r="F26" s="52"/>
      <c r="G26" s="70">
        <f>G27*v*VLOOKUP(D26,'IALM 2012-14'!$B$5:$D$119,3,FALSE)+1-(monthlyconv*(1-v*VLOOKUP(D26,'IALM 2012-14'!$B$5:$D$119,3,FALSE)))</f>
        <v>12.285958460712546</v>
      </c>
      <c r="H26" s="71">
        <f t="shared" si="0"/>
        <v>235933.9190441923</v>
      </c>
      <c r="I26" s="49"/>
      <c r="J26" s="78">
        <f>J27*v*VLOOKUP(D26,'IALM 2012-14'!$B$5:$D$119,3,FALSE)+v*VLOOKUP(D26,'IALM 2012-14'!$B$5:$D$119,2,FALSE)</f>
        <v>2.2936209168749656E-2</v>
      </c>
      <c r="K26" s="71">
        <f t="shared" si="1"/>
        <v>229362.09168749655</v>
      </c>
      <c r="L26" s="49"/>
      <c r="M26" s="86">
        <f t="shared" si="2"/>
        <v>368.57875382137638</v>
      </c>
      <c r="N26" s="13">
        <f>RenVarExp*G26*premium</f>
        <v>7078.0175713257686</v>
      </c>
      <c r="O26" s="87">
        <f t="shared" si="3"/>
        <v>7446.5963251471449</v>
      </c>
      <c r="P26" s="80"/>
      <c r="Q26" s="92">
        <f>((Q27*VLOOKUP(D26,'IALM 2012-14'!$B$5:$D$119,3,FALSE)+SumAssured*VLOOKUP(D26,'IALM 2012-14'!$B$5:$D$119,2,FALSE))/(1+i))-$J$6+12*RenFixedExp+$J$6*RenVarExp</f>
        <v>-2564075.1157628298</v>
      </c>
      <c r="R26" s="87">
        <f>Q27*VLOOKUP(D26,'IALM 2012-14'!$B$5:$D$119,3,FALSE)-'Term-30'!Q26*(1+i)</f>
        <v>221235.9977727537</v>
      </c>
    </row>
    <row r="27" spans="3:18">
      <c r="C27" s="62">
        <f t="shared" si="4"/>
        <v>14</v>
      </c>
      <c r="D27" s="12">
        <f t="shared" si="5"/>
        <v>34</v>
      </c>
      <c r="E27" s="61">
        <f t="shared" si="6"/>
        <v>16</v>
      </c>
      <c r="F27" s="52"/>
      <c r="G27" s="70">
        <f>G28*v*VLOOKUP(D27,'IALM 2012-14'!$B$5:$D$119,3,FALSE)+1-(monthlyconv*(1-v*VLOOKUP(D27,'IALM 2012-14'!$B$5:$D$119,3,FALSE)))</f>
        <v>11.769009026276919</v>
      </c>
      <c r="H27" s="71">
        <f t="shared" si="0"/>
        <v>226006.65887933882</v>
      </c>
      <c r="I27" s="49"/>
      <c r="J27" s="78">
        <f>J28*v*VLOOKUP(D27,'IALM 2012-14'!$B$5:$D$119,3,FALSE)+v*VLOOKUP(D27,'IALM 2012-14'!$B$5:$D$119,2,FALSE)</f>
        <v>2.2792410092860493E-2</v>
      </c>
      <c r="K27" s="71">
        <f t="shared" si="1"/>
        <v>227924.10092860492</v>
      </c>
      <c r="L27" s="49"/>
      <c r="M27" s="86">
        <f t="shared" si="2"/>
        <v>353.07027078830754</v>
      </c>
      <c r="N27" s="13">
        <f>RenVarExp*G27*premium</f>
        <v>6780.199766380164</v>
      </c>
      <c r="O27" s="87">
        <f t="shared" si="3"/>
        <v>7133.2700371684714</v>
      </c>
      <c r="P27" s="80"/>
      <c r="Q27" s="92">
        <f>((Q28*VLOOKUP(D27,'IALM 2012-14'!$B$5:$D$119,3,FALSE)+SumAssured*VLOOKUP(D27,'IALM 2012-14'!$B$5:$D$119,2,FALSE))/(1+i))-$J$6+12*RenFixedExp+$J$6*RenVarExp</f>
        <v>-2448060.7165587726</v>
      </c>
      <c r="R27" s="87">
        <f>Q28*VLOOKUP(D27,'IALM 2012-14'!$B$5:$D$119,3,FALSE)-'Term-30'!Q27*(1+i)</f>
        <v>220695.9977727537</v>
      </c>
    </row>
    <row r="28" spans="3:18">
      <c r="C28" s="62">
        <f t="shared" si="4"/>
        <v>15</v>
      </c>
      <c r="D28" s="12">
        <f t="shared" si="5"/>
        <v>35</v>
      </c>
      <c r="E28" s="61">
        <f t="shared" si="6"/>
        <v>15</v>
      </c>
      <c r="F28" s="52"/>
      <c r="G28" s="70">
        <f>G29*v*VLOOKUP(D28,'IALM 2012-14'!$B$5:$D$119,3,FALSE)+1-(monthlyconv*(1-v*VLOOKUP(D28,'IALM 2012-14'!$B$5:$D$119,3,FALSE)))</f>
        <v>11.231429049778075</v>
      </c>
      <c r="H28" s="71">
        <f t="shared" si="0"/>
        <v>215683.21923393884</v>
      </c>
      <c r="I28" s="49"/>
      <c r="J28" s="78">
        <f>J29*v*VLOOKUP(D28,'IALM 2012-14'!$B$5:$D$119,3,FALSE)+v*VLOOKUP(D28,'IALM 2012-14'!$B$5:$D$119,2,FALSE)</f>
        <v>2.2589858935761681E-2</v>
      </c>
      <c r="K28" s="71">
        <f t="shared" si="1"/>
        <v>225898.58935761682</v>
      </c>
      <c r="L28" s="49"/>
      <c r="M28" s="86">
        <f t="shared" si="2"/>
        <v>336.94287149334224</v>
      </c>
      <c r="N28" s="13">
        <f>RenVarExp*G28*premium</f>
        <v>6470.4965770181652</v>
      </c>
      <c r="O28" s="87">
        <f t="shared" si="3"/>
        <v>6807.4394485115072</v>
      </c>
      <c r="P28" s="80"/>
      <c r="Q28" s="92">
        <f>((Q29*VLOOKUP(D28,'IALM 2012-14'!$B$5:$D$119,3,FALSE)+SumAssured*VLOOKUP(D28,'IALM 2012-14'!$B$5:$D$119,2,FALSE))/(1+i))-$J$6+12*RenFixedExp+$J$6*RenVarExp</f>
        <v>-2327941.0001885849</v>
      </c>
      <c r="R28" s="87">
        <f>Q29*VLOOKUP(D28,'IALM 2012-14'!$B$5:$D$119,3,FALSE)-'Term-30'!Q28*(1+i)</f>
        <v>220075.9977727537</v>
      </c>
    </row>
    <row r="29" spans="3:18">
      <c r="C29" s="62">
        <f t="shared" si="4"/>
        <v>16</v>
      </c>
      <c r="D29" s="12">
        <f t="shared" si="5"/>
        <v>36</v>
      </c>
      <c r="E29" s="61">
        <f t="shared" si="6"/>
        <v>14</v>
      </c>
      <c r="F29" s="52"/>
      <c r="G29" s="70">
        <f>G30*v*VLOOKUP(D29,'IALM 2012-14'!$B$5:$D$119,3,FALSE)+1-(monthlyconv*(1-v*VLOOKUP(D29,'IALM 2012-14'!$B$5:$D$119,3,FALSE)))</f>
        <v>10.672398684988558</v>
      </c>
      <c r="H29" s="71">
        <f t="shared" si="0"/>
        <v>204947.85615654767</v>
      </c>
      <c r="I29" s="49"/>
      <c r="J29" s="78">
        <f>J30*v*VLOOKUP(D29,'IALM 2012-14'!$B$5:$D$119,3,FALSE)+v*VLOOKUP(D29,'IALM 2012-14'!$B$5:$D$119,2,FALSE)</f>
        <v>2.2318279865590589E-2</v>
      </c>
      <c r="K29" s="71">
        <f t="shared" si="1"/>
        <v>223182.79865590588</v>
      </c>
      <c r="L29" s="49"/>
      <c r="M29" s="86">
        <f t="shared" si="2"/>
        <v>320.17196054965672</v>
      </c>
      <c r="N29" s="13">
        <f>RenVarExp*G29*premium</f>
        <v>6148.4356846964301</v>
      </c>
      <c r="O29" s="87">
        <f t="shared" si="3"/>
        <v>6468.6076452460866</v>
      </c>
      <c r="P29" s="80"/>
      <c r="Q29" s="92">
        <f>((Q30*VLOOKUP(D29,'IALM 2012-14'!$B$5:$D$119,3,FALSE)+SumAssured*VLOOKUP(D29,'IALM 2012-14'!$B$5:$D$119,2,FALSE))/(1+i))-$J$6+12*RenFixedExp+$J$6*RenVarExp</f>
        <v>-2203631.4073750395</v>
      </c>
      <c r="R29" s="87">
        <f>Q30*VLOOKUP(D29,'IALM 2012-14'!$B$5:$D$119,3,FALSE)-'Term-30'!Q29*(1+i)</f>
        <v>219345.99777275324</v>
      </c>
    </row>
    <row r="30" spans="3:18">
      <c r="C30" s="62">
        <f t="shared" si="4"/>
        <v>17</v>
      </c>
      <c r="D30" s="12">
        <f t="shared" si="5"/>
        <v>37</v>
      </c>
      <c r="E30" s="61">
        <f t="shared" si="6"/>
        <v>13</v>
      </c>
      <c r="F30" s="52"/>
      <c r="G30" s="70">
        <f>G31*v*VLOOKUP(D30,'IALM 2012-14'!$B$5:$D$119,3,FALSE)+1-(monthlyconv*(1-v*VLOOKUP(D30,'IALM 2012-14'!$B$5:$D$119,3,FALSE)))</f>
        <v>10.091078465765285</v>
      </c>
      <c r="H30" s="71">
        <f t="shared" si="0"/>
        <v>193784.44892384723</v>
      </c>
      <c r="I30" s="49"/>
      <c r="J30" s="78">
        <f>J31*v*VLOOKUP(D30,'IALM 2012-14'!$B$5:$D$119,3,FALSE)+v*VLOOKUP(D30,'IALM 2012-14'!$B$5:$D$119,2,FALSE)</f>
        <v>2.1964015179568166E-2</v>
      </c>
      <c r="K30" s="71">
        <f t="shared" si="1"/>
        <v>219640.15179568165</v>
      </c>
      <c r="L30" s="49"/>
      <c r="M30" s="86">
        <f t="shared" si="2"/>
        <v>302.73235397295855</v>
      </c>
      <c r="N30" s="13">
        <f>RenVarExp*G30*premium</f>
        <v>5813.5334677154169</v>
      </c>
      <c r="O30" s="87">
        <f t="shared" si="3"/>
        <v>6116.2658216883756</v>
      </c>
      <c r="P30" s="80"/>
      <c r="Q30" s="92">
        <f>((Q31*VLOOKUP(D30,'IALM 2012-14'!$B$5:$D$119,3,FALSE)+SumAssured*VLOOKUP(D30,'IALM 2012-14'!$B$5:$D$119,2,FALSE))/(1+i))-$J$6+12*RenFixedExp+$J$6*RenVarExp</f>
        <v>-2075076.3882923608</v>
      </c>
      <c r="R30" s="87">
        <f>Q31*VLOOKUP(D30,'IALM 2012-14'!$B$5:$D$119,3,FALSE)-'Term-30'!Q30*(1+i)</f>
        <v>218515.99777275347</v>
      </c>
    </row>
    <row r="31" spans="3:18">
      <c r="C31" s="62">
        <f t="shared" si="4"/>
        <v>18</v>
      </c>
      <c r="D31" s="12">
        <f t="shared" si="5"/>
        <v>38</v>
      </c>
      <c r="E31" s="61">
        <f t="shared" si="6"/>
        <v>12</v>
      </c>
      <c r="F31" s="52"/>
      <c r="G31" s="70">
        <f>G32*v*VLOOKUP(D31,'IALM 2012-14'!$B$5:$D$119,3,FALSE)+1-(monthlyconv*(1-v*VLOOKUP(D31,'IALM 2012-14'!$B$5:$D$119,3,FALSE)))</f>
        <v>9.4865601030157922</v>
      </c>
      <c r="H31" s="71">
        <f t="shared" si="0"/>
        <v>182175.55516812191</v>
      </c>
      <c r="I31" s="49"/>
      <c r="J31" s="78">
        <f>J32*v*VLOOKUP(D31,'IALM 2012-14'!$B$5:$D$119,3,FALSE)+v*VLOOKUP(D31,'IALM 2012-14'!$B$5:$D$119,2,FALSE)</f>
        <v>2.1513791515629117E-2</v>
      </c>
      <c r="K31" s="71">
        <f t="shared" si="1"/>
        <v>215137.91515629116</v>
      </c>
      <c r="L31" s="49"/>
      <c r="M31" s="86">
        <f t="shared" si="2"/>
        <v>284.59680309047377</v>
      </c>
      <c r="N31" s="13">
        <f>RenVarExp*G31*premium</f>
        <v>5465.266655043657</v>
      </c>
      <c r="O31" s="87">
        <f t="shared" si="3"/>
        <v>5749.8634581341312</v>
      </c>
      <c r="P31" s="80"/>
      <c r="Q31" s="92">
        <f>((Q32*VLOOKUP(D31,'IALM 2012-14'!$B$5:$D$119,3,FALSE)+SumAssured*VLOOKUP(D31,'IALM 2012-14'!$B$5:$D$119,2,FALSE))/(1+i))-$J$6+12*RenFixedExp+$J$6*RenVarExp</f>
        <v>-1942200.9549481212</v>
      </c>
      <c r="R31" s="87">
        <f>Q32*VLOOKUP(D31,'IALM 2012-14'!$B$5:$D$119,3,FALSE)-'Term-30'!Q31*(1+i)</f>
        <v>217565.99777275347</v>
      </c>
    </row>
    <row r="32" spans="3:18">
      <c r="C32" s="62">
        <f t="shared" si="4"/>
        <v>19</v>
      </c>
      <c r="D32" s="12">
        <f t="shared" si="5"/>
        <v>39</v>
      </c>
      <c r="E32" s="61">
        <f t="shared" si="6"/>
        <v>11</v>
      </c>
      <c r="F32" s="52"/>
      <c r="G32" s="70">
        <f>G33*v*VLOOKUP(D32,'IALM 2012-14'!$B$5:$D$119,3,FALSE)+1-(monthlyconv*(1-v*VLOOKUP(D32,'IALM 2012-14'!$B$5:$D$119,3,FALSE)))</f>
        <v>8.8578923163387326</v>
      </c>
      <c r="H32" s="71">
        <f t="shared" si="0"/>
        <v>170102.9069362513</v>
      </c>
      <c r="I32" s="49"/>
      <c r="J32" s="78">
        <f>J33*v*VLOOKUP(D32,'IALM 2012-14'!$B$5:$D$119,3,FALSE)+v*VLOOKUP(D32,'IALM 2012-14'!$B$5:$D$119,2,FALSE)</f>
        <v>2.0951786121488805E-2</v>
      </c>
      <c r="K32" s="71">
        <f t="shared" si="1"/>
        <v>209517.86121488805</v>
      </c>
      <c r="L32" s="49"/>
      <c r="M32" s="86">
        <f t="shared" si="2"/>
        <v>265.73676949016198</v>
      </c>
      <c r="N32" s="13">
        <f>RenVarExp*G32*premium</f>
        <v>5103.0872080875388</v>
      </c>
      <c r="O32" s="87">
        <f t="shared" si="3"/>
        <v>5368.823977577701</v>
      </c>
      <c r="P32" s="80"/>
      <c r="Q32" s="92">
        <f>((Q33*VLOOKUP(D32,'IALM 2012-14'!$B$5:$D$119,3,FALSE)+SumAssured*VLOOKUP(D32,'IALM 2012-14'!$B$5:$D$119,2,FALSE))/(1+i))-$J$6+12*RenFixedExp+$J$6*RenVarExp</f>
        <v>-1804945.5813029257</v>
      </c>
      <c r="R32" s="87">
        <f>Q33*VLOOKUP(D32,'IALM 2012-14'!$B$5:$D$119,3,FALSE)-'Term-30'!Q32*(1+i)</f>
        <v>216495.99777275347</v>
      </c>
    </row>
    <row r="33" spans="3:18">
      <c r="C33" s="62">
        <f t="shared" si="4"/>
        <v>20</v>
      </c>
      <c r="D33" s="12">
        <f t="shared" si="5"/>
        <v>40</v>
      </c>
      <c r="E33" s="61">
        <f t="shared" si="6"/>
        <v>10</v>
      </c>
      <c r="F33" s="52"/>
      <c r="G33" s="70">
        <f>G34*v*VLOOKUP(D33,'IALM 2012-14'!$B$5:$D$119,3,FALSE)+1-(monthlyconv*(1-v*VLOOKUP(D33,'IALM 2012-14'!$B$5:$D$119,3,FALSE)))</f>
        <v>8.2040546676070836</v>
      </c>
      <c r="H33" s="71">
        <f t="shared" si="0"/>
        <v>157546.90820182685</v>
      </c>
      <c r="I33" s="49"/>
      <c r="J33" s="78">
        <f>J34*v*VLOOKUP(D33,'IALM 2012-14'!$B$5:$D$119,3,FALSE)+v*VLOOKUP(D33,'IALM 2012-14'!$B$5:$D$119,2,FALSE)</f>
        <v>2.0261465452454188E-2</v>
      </c>
      <c r="K33" s="71">
        <f t="shared" si="1"/>
        <v>202614.65452454187</v>
      </c>
      <c r="L33" s="49"/>
      <c r="M33" s="86">
        <f t="shared" si="2"/>
        <v>246.12164002821251</v>
      </c>
      <c r="N33" s="13">
        <f>RenVarExp*G33*premium</f>
        <v>4726.4072460548059</v>
      </c>
      <c r="O33" s="87">
        <f t="shared" si="3"/>
        <v>4972.5288860830187</v>
      </c>
      <c r="P33" s="80"/>
      <c r="Q33" s="92">
        <f>((Q34*VLOOKUP(D33,'IALM 2012-14'!$B$5:$D$119,3,FALSE)+SumAssured*VLOOKUP(D33,'IALM 2012-14'!$B$5:$D$119,2,FALSE))/(1+i))-$J$6+12*RenFixedExp+$J$6*RenVarExp</f>
        <v>-1663242.0644027577</v>
      </c>
      <c r="R33" s="87">
        <f>Q34*VLOOKUP(D33,'IALM 2012-14'!$B$5:$D$119,3,FALSE)-'Term-30'!Q33*(1+i)</f>
        <v>215295.9977727537</v>
      </c>
    </row>
    <row r="34" spans="3:18">
      <c r="C34" s="62">
        <f t="shared" si="4"/>
        <v>21</v>
      </c>
      <c r="D34" s="12">
        <f t="shared" si="5"/>
        <v>41</v>
      </c>
      <c r="E34" s="61">
        <f t="shared" si="6"/>
        <v>9</v>
      </c>
      <c r="F34" s="52"/>
      <c r="G34" s="70">
        <f>G35*v*VLOOKUP(D34,'IALM 2012-14'!$B$5:$D$119,3,FALSE)+1-(monthlyconv*(1-v*VLOOKUP(D34,'IALM 2012-14'!$B$5:$D$119,3,FALSE)))</f>
        <v>7.5239604411858938</v>
      </c>
      <c r="H34" s="71">
        <f t="shared" si="0"/>
        <v>144486.69017553431</v>
      </c>
      <c r="I34" s="49"/>
      <c r="J34" s="78">
        <f>J35*v*VLOOKUP(D34,'IALM 2012-14'!$B$5:$D$119,3,FALSE)+v*VLOOKUP(D34,'IALM 2012-14'!$B$5:$D$119,2,FALSE)</f>
        <v>1.9424557326861484E-2</v>
      </c>
      <c r="K34" s="71">
        <f t="shared" si="1"/>
        <v>194245.57326861485</v>
      </c>
      <c r="L34" s="49"/>
      <c r="M34" s="86">
        <f t="shared" si="2"/>
        <v>225.71881323557682</v>
      </c>
      <c r="N34" s="13">
        <f>RenVarExp*G34*premium</f>
        <v>4334.6007052660289</v>
      </c>
      <c r="O34" s="87">
        <f t="shared" si="3"/>
        <v>4560.3195185016057</v>
      </c>
      <c r="P34" s="80"/>
      <c r="Q34" s="92">
        <f>((Q35*VLOOKUP(D34,'IALM 2012-14'!$B$5:$D$119,3,FALSE)+SumAssured*VLOOKUP(D34,'IALM 2012-14'!$B$5:$D$119,2,FALSE))/(1+i))-$J$6+12*RenFixedExp+$J$6*RenVarExp</f>
        <v>-1517024.3501143064</v>
      </c>
      <c r="R34" s="87">
        <f>Q35*VLOOKUP(D34,'IALM 2012-14'!$B$5:$D$119,3,FALSE)-'Term-30'!Q34*(1+i)</f>
        <v>213945.9977727537</v>
      </c>
    </row>
    <row r="35" spans="3:18">
      <c r="C35" s="62">
        <f t="shared" si="4"/>
        <v>22</v>
      </c>
      <c r="D35" s="12">
        <f t="shared" si="5"/>
        <v>42</v>
      </c>
      <c r="E35" s="61">
        <f t="shared" si="6"/>
        <v>8</v>
      </c>
      <c r="F35" s="52"/>
      <c r="G35" s="70">
        <f>G36*v*VLOOKUP(D35,'IALM 2012-14'!$B$5:$D$119,3,FALSE)+1-(monthlyconv*(1-v*VLOOKUP(D35,'IALM 2012-14'!$B$5:$D$119,3,FALSE)))</f>
        <v>6.8164559346881228</v>
      </c>
      <c r="H35" s="71">
        <f t="shared" si="0"/>
        <v>130900.09768515361</v>
      </c>
      <c r="I35" s="49"/>
      <c r="J35" s="78">
        <f>J36*v*VLOOKUP(D35,'IALM 2012-14'!$B$5:$D$119,3,FALSE)+v*VLOOKUP(D35,'IALM 2012-14'!$B$5:$D$119,2,FALSE)</f>
        <v>1.8419971868877959E-2</v>
      </c>
      <c r="K35" s="71">
        <f t="shared" si="1"/>
        <v>184199.7186887796</v>
      </c>
      <c r="L35" s="49"/>
      <c r="M35" s="86">
        <f t="shared" si="2"/>
        <v>204.49367804064369</v>
      </c>
      <c r="N35" s="13">
        <f>RenVarExp*G35*premium</f>
        <v>3927.0029305546077</v>
      </c>
      <c r="O35" s="87">
        <f t="shared" si="3"/>
        <v>4131.496608595251</v>
      </c>
      <c r="P35" s="80"/>
      <c r="Q35" s="92">
        <f>((Q36*VLOOKUP(D35,'IALM 2012-14'!$B$5:$D$119,3,FALSE)+SumAssured*VLOOKUP(D35,'IALM 2012-14'!$B$5:$D$119,2,FALSE))/(1+i))-$J$6+12*RenFixedExp+$J$6*RenVarExp</f>
        <v>-1366239.0502222783</v>
      </c>
      <c r="R35" s="87">
        <f>Q36*VLOOKUP(D35,'IALM 2012-14'!$B$5:$D$119,3,FALSE)-'Term-30'!Q35*(1+i)</f>
        <v>212405.9977727537</v>
      </c>
    </row>
    <row r="36" spans="3:18">
      <c r="C36" s="62">
        <f t="shared" si="4"/>
        <v>23</v>
      </c>
      <c r="D36" s="12">
        <f t="shared" si="5"/>
        <v>43</v>
      </c>
      <c r="E36" s="61">
        <f t="shared" si="6"/>
        <v>7</v>
      </c>
      <c r="F36" s="52"/>
      <c r="G36" s="70">
        <f>G37*v*VLOOKUP(D36,'IALM 2012-14'!$B$5:$D$119,3,FALSE)+1-(monthlyconv*(1-v*VLOOKUP(D36,'IALM 2012-14'!$B$5:$D$119,3,FALSE)))</f>
        <v>6.080322117992643</v>
      </c>
      <c r="H36" s="71">
        <f t="shared" si="0"/>
        <v>116763.72103458084</v>
      </c>
      <c r="I36" s="49"/>
      <c r="J36" s="78">
        <f>J37*v*VLOOKUP(D36,'IALM 2012-14'!$B$5:$D$119,3,FALSE)+v*VLOOKUP(D36,'IALM 2012-14'!$B$5:$D$119,2,FALSE)</f>
        <v>1.7221680232009907E-2</v>
      </c>
      <c r="K36" s="71">
        <f t="shared" si="1"/>
        <v>172216.80232009909</v>
      </c>
      <c r="L36" s="49"/>
      <c r="M36" s="86">
        <f t="shared" si="2"/>
        <v>182.4096635397793</v>
      </c>
      <c r="N36" s="13">
        <f>RenVarExp*G36*premium</f>
        <v>3502.9116310374252</v>
      </c>
      <c r="O36" s="87">
        <f t="shared" si="3"/>
        <v>3685.3212945772043</v>
      </c>
      <c r="P36" s="80"/>
      <c r="Q36" s="92">
        <f>((Q37*VLOOKUP(D36,'IALM 2012-14'!$B$5:$D$119,3,FALSE)+SumAssured*VLOOKUP(D36,'IALM 2012-14'!$B$5:$D$119,2,FALSE))/(1+i))-$J$6+12*RenFixedExp+$J$6*RenVarExp</f>
        <v>-1210866.8112096877</v>
      </c>
      <c r="R36" s="87">
        <f>Q37*VLOOKUP(D36,'IALM 2012-14'!$B$5:$D$119,3,FALSE)-'Term-30'!Q36*(1+i)</f>
        <v>210655.9977727537</v>
      </c>
    </row>
    <row r="37" spans="3:18">
      <c r="C37" s="62">
        <f t="shared" si="4"/>
        <v>24</v>
      </c>
      <c r="D37" s="12">
        <f t="shared" si="5"/>
        <v>44</v>
      </c>
      <c r="E37" s="61">
        <f t="shared" si="6"/>
        <v>6</v>
      </c>
      <c r="F37" s="52"/>
      <c r="G37" s="70">
        <f>G38*v*VLOOKUP(D37,'IALM 2012-14'!$B$5:$D$119,3,FALSE)+1-(monthlyconv*(1-v*VLOOKUP(D37,'IALM 2012-14'!$B$5:$D$119,3,FALSE)))</f>
        <v>5.3142447434422895</v>
      </c>
      <c r="H37" s="71">
        <f t="shared" si="0"/>
        <v>102052.32201376176</v>
      </c>
      <c r="I37" s="49"/>
      <c r="J37" s="78">
        <f>J38*v*VLOOKUP(D37,'IALM 2012-14'!$B$5:$D$119,3,FALSE)+v*VLOOKUP(D37,'IALM 2012-14'!$B$5:$D$119,2,FALSE)</f>
        <v>1.5800423549380178E-2</v>
      </c>
      <c r="K37" s="71">
        <f t="shared" si="1"/>
        <v>158004.23549380177</v>
      </c>
      <c r="L37" s="49"/>
      <c r="M37" s="86">
        <f t="shared" si="2"/>
        <v>159.42734230326869</v>
      </c>
      <c r="N37" s="13">
        <f>RenVarExp*G37*premium</f>
        <v>3061.569660412853</v>
      </c>
      <c r="O37" s="87">
        <f t="shared" si="3"/>
        <v>3220.9970027161216</v>
      </c>
      <c r="P37" s="80"/>
      <c r="Q37" s="92">
        <f>((Q38*VLOOKUP(D37,'IALM 2012-14'!$B$5:$D$119,3,FALSE)+SumAssured*VLOOKUP(D37,'IALM 2012-14'!$B$5:$D$119,2,FALSE))/(1+i))-$J$6+12*RenFixedExp+$J$6*RenVarExp</f>
        <v>-1050898.6125105442</v>
      </c>
      <c r="R37" s="87">
        <f>Q38*VLOOKUP(D37,'IALM 2012-14'!$B$5:$D$119,3,FALSE)-'Term-30'!Q37*(1+i)</f>
        <v>208645.9977727537</v>
      </c>
    </row>
    <row r="38" spans="3:18">
      <c r="C38" s="62">
        <f t="shared" si="4"/>
        <v>25</v>
      </c>
      <c r="D38" s="12">
        <f t="shared" si="5"/>
        <v>45</v>
      </c>
      <c r="E38" s="61">
        <f t="shared" si="6"/>
        <v>5</v>
      </c>
      <c r="F38" s="52"/>
      <c r="G38" s="70">
        <f>G39*v*VLOOKUP(D38,'IALM 2012-14'!$B$5:$D$119,3,FALSE)+1-(monthlyconv*(1-v*VLOOKUP(D38,'IALM 2012-14'!$B$5:$D$119,3,FALSE)))</f>
        <v>4.5168145883897557</v>
      </c>
      <c r="H38" s="71">
        <f t="shared" si="0"/>
        <v>86738.838556432005</v>
      </c>
      <c r="I38" s="49"/>
      <c r="J38" s="78">
        <f>J39*v*VLOOKUP(D38,'IALM 2012-14'!$B$5:$D$119,3,FALSE)+v*VLOOKUP(D38,'IALM 2012-14'!$B$5:$D$119,2,FALSE)</f>
        <v>1.4120553188582614E-2</v>
      </c>
      <c r="K38" s="71">
        <f t="shared" si="1"/>
        <v>141205.53188582615</v>
      </c>
      <c r="L38" s="49"/>
      <c r="M38" s="86">
        <f t="shared" si="2"/>
        <v>135.50443765169268</v>
      </c>
      <c r="N38" s="13">
        <f>RenVarExp*G38*premium</f>
        <v>2602.1651566929604</v>
      </c>
      <c r="O38" s="87">
        <f t="shared" si="3"/>
        <v>2737.669594344653</v>
      </c>
      <c r="P38" s="80"/>
      <c r="Q38" s="92">
        <f>((Q39*VLOOKUP(D38,'IALM 2012-14'!$B$5:$D$119,3,FALSE)+SumAssured*VLOOKUP(D38,'IALM 2012-14'!$B$5:$D$119,2,FALSE))/(1+i))-$J$6+12*RenFixedExp+$J$6*RenVarExp</f>
        <v>-886367.0900644135</v>
      </c>
      <c r="R38" s="87">
        <f>Q39*VLOOKUP(D38,'IALM 2012-14'!$B$5:$D$119,3,FALSE)-'Term-30'!Q38*(1+i)</f>
        <v>206305.9977727537</v>
      </c>
    </row>
    <row r="39" spans="3:18">
      <c r="C39" s="62">
        <f t="shared" si="4"/>
        <v>26</v>
      </c>
      <c r="D39" s="12">
        <f t="shared" si="5"/>
        <v>46</v>
      </c>
      <c r="E39" s="61">
        <f t="shared" si="6"/>
        <v>4</v>
      </c>
      <c r="F39" s="52"/>
      <c r="G39" s="70">
        <f>G40*v*VLOOKUP(D39,'IALM 2012-14'!$B$5:$D$119,3,FALSE)+1-(monthlyconv*(1-v*VLOOKUP(D39,'IALM 2012-14'!$B$5:$D$119,3,FALSE)))</f>
        <v>3.6865100563606994</v>
      </c>
      <c r="H39" s="71">
        <f t="shared" si="0"/>
        <v>70794.050620822469</v>
      </c>
      <c r="I39" s="49"/>
      <c r="J39" s="78">
        <f>J40*v*VLOOKUP(D39,'IALM 2012-14'!$B$5:$D$119,3,FALSE)+v*VLOOKUP(D39,'IALM 2012-14'!$B$5:$D$119,2,FALSE)</f>
        <v>1.2137678388690351E-2</v>
      </c>
      <c r="K39" s="71">
        <f t="shared" si="1"/>
        <v>121376.78388690352</v>
      </c>
      <c r="L39" s="49"/>
      <c r="M39" s="86">
        <f t="shared" si="2"/>
        <v>110.59530169082097</v>
      </c>
      <c r="N39" s="13">
        <f>RenVarExp*G39*premium</f>
        <v>2123.8215186246739</v>
      </c>
      <c r="O39" s="87">
        <f t="shared" si="3"/>
        <v>2234.416820315495</v>
      </c>
      <c r="P39" s="80"/>
      <c r="Q39" s="92">
        <f>((Q40*VLOOKUP(D39,'IALM 2012-14'!$B$5:$D$119,3,FALSE)+SumAssured*VLOOKUP(D39,'IALM 2012-14'!$B$5:$D$119,2,FALSE))/(1+i))-$J$6+12*RenFixedExp+$J$6*RenVarExp</f>
        <v>-717365.862453504</v>
      </c>
      <c r="R39" s="87">
        <f>Q40*VLOOKUP(D39,'IALM 2012-14'!$B$5:$D$119,3,FALSE)-'Term-30'!Q39*(1+i)</f>
        <v>203585.9977727537</v>
      </c>
    </row>
    <row r="40" spans="3:18">
      <c r="C40" s="62">
        <f t="shared" si="4"/>
        <v>27</v>
      </c>
      <c r="D40" s="12">
        <f t="shared" si="5"/>
        <v>47</v>
      </c>
      <c r="E40" s="61">
        <f t="shared" si="6"/>
        <v>3</v>
      </c>
      <c r="F40" s="52"/>
      <c r="G40" s="70">
        <f>G41*v*VLOOKUP(D40,'IALM 2012-14'!$B$5:$D$119,3,FALSE)+1-(monthlyconv*(1-v*VLOOKUP(D40,'IALM 2012-14'!$B$5:$D$119,3,FALSE)))</f>
        <v>2.8216550387974055</v>
      </c>
      <c r="H40" s="71">
        <f t="shared" si="0"/>
        <v>54185.770985884847</v>
      </c>
      <c r="I40" s="49"/>
      <c r="J40" s="78">
        <f>J41*v*VLOOKUP(D40,'IALM 2012-14'!$B$5:$D$119,3,FALSE)+v*VLOOKUP(D40,'IALM 2012-14'!$B$5:$D$119,2,FALSE)</f>
        <v>9.8001256825589432E-3</v>
      </c>
      <c r="K40" s="71">
        <f t="shared" si="1"/>
        <v>98001.256825589429</v>
      </c>
      <c r="L40" s="49"/>
      <c r="M40" s="86">
        <f t="shared" si="2"/>
        <v>84.649651163922172</v>
      </c>
      <c r="N40" s="13">
        <f>RenVarExp*G40*premium</f>
        <v>1625.5731295765454</v>
      </c>
      <c r="O40" s="87">
        <f t="shared" si="3"/>
        <v>1710.2227807404677</v>
      </c>
      <c r="P40" s="80"/>
      <c r="Q40" s="92">
        <f>((Q41*VLOOKUP(D40,'IALM 2012-14'!$B$5:$D$119,3,FALSE)+SumAssured*VLOOKUP(D40,'IALM 2012-14'!$B$5:$D$119,2,FALSE))/(1+i))-$J$6+12*RenFixedExp+$J$6*RenVarExp</f>
        <v>-544025.51592479215</v>
      </c>
      <c r="R40" s="87">
        <f>Q41*VLOOKUP(D40,'IALM 2012-14'!$B$5:$D$119,3,FALSE)-'Term-30'!Q40*(1+i)</f>
        <v>200415.9977727537</v>
      </c>
    </row>
    <row r="41" spans="3:18">
      <c r="C41" s="62">
        <f>C40+1</f>
        <v>28</v>
      </c>
      <c r="D41" s="12">
        <f t="shared" si="5"/>
        <v>48</v>
      </c>
      <c r="E41" s="61">
        <f t="shared" si="6"/>
        <v>2</v>
      </c>
      <c r="F41" s="52"/>
      <c r="G41" s="70">
        <f>G42*v*VLOOKUP(D41,'IALM 2012-14'!$B$5:$D$119,3,FALSE)+1-(monthlyconv*(1-v*VLOOKUP(D41,'IALM 2012-14'!$B$5:$D$119,3,FALSE)))</f>
        <v>1.9203903703759861</v>
      </c>
      <c r="H41" s="71">
        <f t="shared" si="0"/>
        <v>36878.297092277237</v>
      </c>
      <c r="I41" s="49"/>
      <c r="J41" s="78">
        <f>J42*v*VLOOKUP(D41,'IALM 2012-14'!$B$5:$D$119,3,FALSE)+v*VLOOKUP(D41,'IALM 2012-14'!$B$5:$D$119,2,FALSE)</f>
        <v>7.0464538757396443E-3</v>
      </c>
      <c r="K41" s="71">
        <f t="shared" si="1"/>
        <v>70464.53875739644</v>
      </c>
      <c r="L41" s="49"/>
      <c r="M41" s="86">
        <f t="shared" si="2"/>
        <v>57.611711111279583</v>
      </c>
      <c r="N41" s="13">
        <f>RenVarExp*G41*premium</f>
        <v>1106.3489127683169</v>
      </c>
      <c r="O41" s="87">
        <f t="shared" si="3"/>
        <v>1163.9606238795966</v>
      </c>
      <c r="P41" s="80"/>
      <c r="Q41" s="92">
        <f>((Q42*VLOOKUP(D41,'IALM 2012-14'!$B$5:$D$119,3,FALSE)+SumAssured*VLOOKUP(D41,'IALM 2012-14'!$B$5:$D$119,2,FALSE))/(1+i))-$J$6+12*RenFixedExp+$J$6*RenVarExp</f>
        <v>-366531.71125027101</v>
      </c>
      <c r="R41" s="87">
        <f>Q42*VLOOKUP(D41,'IALM 2012-14'!$B$5:$D$119,3,FALSE)-'Term-30'!Q41*(1+i)</f>
        <v>196735.99777275373</v>
      </c>
    </row>
    <row r="42" spans="3:18">
      <c r="C42" s="62">
        <f t="shared" si="4"/>
        <v>29</v>
      </c>
      <c r="D42" s="12">
        <f t="shared" si="5"/>
        <v>49</v>
      </c>
      <c r="E42" s="61">
        <f t="shared" si="6"/>
        <v>1</v>
      </c>
      <c r="F42" s="52"/>
      <c r="G42" s="70">
        <f>G43*v*VLOOKUP(D42,'IALM 2012-14'!$B$5:$D$119,3,FALSE)+1-(monthlyconv*(1-v*VLOOKUP(D42,'IALM 2012-14'!$B$5:$D$119,3,FALSE)))</f>
        <v>0.98062748397435895</v>
      </c>
      <c r="H42" s="71">
        <f t="shared" si="0"/>
        <v>18831.521053596178</v>
      </c>
      <c r="I42" s="49"/>
      <c r="J42" s="78">
        <f>v*VLOOKUP($D$42,'IALM 2012-14'!$B$5:$D$119,2,FALSE)</f>
        <v>3.8057692307692302E-3</v>
      </c>
      <c r="K42" s="71">
        <f t="shared" si="1"/>
        <v>38057.692307692305</v>
      </c>
      <c r="L42" s="49"/>
      <c r="M42" s="86">
        <f t="shared" si="2"/>
        <v>29.418824519230768</v>
      </c>
      <c r="N42" s="13">
        <f>RenVarExp*G42*premium</f>
        <v>564.94563160788528</v>
      </c>
      <c r="O42" s="87">
        <f t="shared" si="3"/>
        <v>594.364456127116</v>
      </c>
      <c r="P42" s="80"/>
      <c r="Q42" s="92">
        <f>((Q43*VLOOKUP(D42,'IALM 2012-14'!$B$5:$D$119,3,FALSE)+SumAssured*VLOOKUP(D42,'IALM 2012-14'!$B$5:$D$119,2,FALSE))/(1+i))-$J$6+12*RenFixedExp+$J$6*RenVarExp</f>
        <v>-185111.53631995548</v>
      </c>
      <c r="R42" s="87">
        <f>Q43*VLOOKUP(D42,'IALM 2012-14'!$B$5:$D$119,3,FALSE)-'Term-30'!Q42*(1+i)</f>
        <v>192515.9977727537</v>
      </c>
    </row>
    <row r="43" spans="3:18" ht="15" thickBot="1">
      <c r="C43" s="63">
        <f t="shared" si="4"/>
        <v>30</v>
      </c>
      <c r="D43" s="64">
        <f t="shared" si="5"/>
        <v>50</v>
      </c>
      <c r="E43" s="65">
        <f t="shared" si="6"/>
        <v>0</v>
      </c>
      <c r="F43" s="52"/>
      <c r="G43" s="72">
        <v>0</v>
      </c>
      <c r="H43" s="73">
        <f t="shared" si="0"/>
        <v>0</v>
      </c>
      <c r="I43" s="49"/>
      <c r="J43" s="79">
        <v>0</v>
      </c>
      <c r="K43" s="73">
        <f t="shared" si="1"/>
        <v>0</v>
      </c>
      <c r="L43" s="49"/>
      <c r="M43" s="88">
        <f t="shared" si="2"/>
        <v>0</v>
      </c>
      <c r="N43" s="13">
        <f>RenVarExp*G43*premium</f>
        <v>0</v>
      </c>
      <c r="O43" s="89">
        <f t="shared" si="3"/>
        <v>0</v>
      </c>
      <c r="P43" s="80"/>
      <c r="Q43" s="93">
        <f>K43+M43+N43-H43</f>
        <v>0</v>
      </c>
      <c r="R43" s="89">
        <f>Q44*VLOOKUP(D43,'IALM 2012-14'!$B$5:$D$119,3,FALSE)-'Term-30'!Q43*(1+i)</f>
        <v>0</v>
      </c>
    </row>
    <row r="45" spans="3:18" ht="15" thickBot="1"/>
    <row r="46" spans="3:18" ht="44.5" thickBot="1">
      <c r="G46" s="99" t="s">
        <v>46</v>
      </c>
      <c r="H46" s="100">
        <f>SUM(H13:H43)</f>
        <v>6161934.1501639914</v>
      </c>
      <c r="I46" s="50"/>
      <c r="J46" s="97" t="s">
        <v>45</v>
      </c>
      <c r="K46" s="98">
        <f t="shared" ref="K46:O46" si="7">SUM(K13:K43)</f>
        <v>5931727.9970396096</v>
      </c>
      <c r="L46" s="50"/>
      <c r="M46" s="101" t="s">
        <v>44</v>
      </c>
      <c r="N46" s="102"/>
      <c r="O46" s="96">
        <f t="shared" si="7"/>
        <v>230206.15312438202</v>
      </c>
      <c r="P46" s="50"/>
    </row>
    <row r="47" spans="3:18">
      <c r="O47" s="47"/>
      <c r="P47"/>
    </row>
    <row r="48" spans="3:18">
      <c r="O48" s="47"/>
      <c r="P48"/>
    </row>
  </sheetData>
  <mergeCells count="14">
    <mergeCell ref="M46:N46"/>
    <mergeCell ref="C2:R3"/>
    <mergeCell ref="Q10:Q12"/>
    <mergeCell ref="R10:R12"/>
    <mergeCell ref="H10:H12"/>
    <mergeCell ref="K10:K12"/>
    <mergeCell ref="M10:M12"/>
    <mergeCell ref="N10:N12"/>
    <mergeCell ref="O10:O12"/>
    <mergeCell ref="J10:J12"/>
    <mergeCell ref="C10:C12"/>
    <mergeCell ref="D10:D12"/>
    <mergeCell ref="E10:E12"/>
    <mergeCell ref="G10:G1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BC8E-1E66-4817-8CF2-054CE0444223}">
  <dimension ref="C1:R57"/>
  <sheetViews>
    <sheetView showGridLines="0" topLeftCell="A48" zoomScale="70" zoomScaleNormal="70" workbookViewId="0">
      <selection activeCell="H68" sqref="H68"/>
    </sheetView>
  </sheetViews>
  <sheetFormatPr defaultRowHeight="14.5"/>
  <cols>
    <col min="1" max="1" width="3.1796875" style="11" customWidth="1"/>
    <col min="2" max="2" width="8.7265625" style="11"/>
    <col min="3" max="3" width="21.81640625" style="11" customWidth="1"/>
    <col min="4" max="4" width="13.6328125" style="11" customWidth="1"/>
    <col min="5" max="5" width="14.6328125" style="11" customWidth="1"/>
    <col min="6" max="6" width="4" style="47" customWidth="1"/>
    <col min="7" max="7" width="19.54296875" style="11" customWidth="1"/>
    <col min="8" max="8" width="28" style="11" bestFit="1" customWidth="1"/>
    <col min="9" max="9" width="3.90625" style="47" customWidth="1"/>
    <col min="10" max="10" width="19.54296875" style="11" bestFit="1" customWidth="1"/>
    <col min="11" max="11" width="30" style="11" bestFit="1" customWidth="1"/>
    <col min="12" max="12" width="3.453125" style="47" customWidth="1"/>
    <col min="13" max="14" width="19.26953125" style="11" bestFit="1" customWidth="1"/>
    <col min="15" max="15" width="27.7265625" style="11" bestFit="1" customWidth="1"/>
    <col min="16" max="16" width="5.54296875" style="47" customWidth="1"/>
    <col min="17" max="17" width="21" style="11" customWidth="1"/>
    <col min="18" max="18" width="16.6328125" style="11" customWidth="1"/>
    <col min="19" max="16384" width="8.7265625" style="11"/>
  </cols>
  <sheetData>
    <row r="1" spans="3:18" ht="15" thickBot="1"/>
    <row r="2" spans="3:18" ht="36.5" thickBot="1">
      <c r="C2" s="105" t="s">
        <v>47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3:18" ht="15" thickBot="1">
      <c r="Q3" s="14"/>
    </row>
    <row r="4" spans="3:18" ht="15.5">
      <c r="C4" s="103" t="s">
        <v>23</v>
      </c>
      <c r="D4" s="111">
        <f>i</f>
        <v>0.04</v>
      </c>
      <c r="H4" s="116" t="s">
        <v>40</v>
      </c>
      <c r="I4" s="117"/>
      <c r="J4" s="118">
        <v>39183.508014831248</v>
      </c>
    </row>
    <row r="5" spans="3:18" ht="16" thickBot="1">
      <c r="C5" s="104" t="s">
        <v>24</v>
      </c>
      <c r="D5" s="112">
        <f>1/(1+i)</f>
        <v>0.96153846153846145</v>
      </c>
      <c r="H5" s="119" t="s">
        <v>41</v>
      </c>
      <c r="I5" s="120"/>
      <c r="J5" s="121">
        <f>12*J4</f>
        <v>470202.09617797495</v>
      </c>
    </row>
    <row r="6" spans="3:18" ht="15" thickBot="1">
      <c r="Q6" s="14"/>
    </row>
    <row r="7" spans="3:18" ht="15" thickBot="1">
      <c r="H7" s="108" t="s">
        <v>42</v>
      </c>
      <c r="I7" s="109"/>
      <c r="J7" s="110">
        <f>H55-K55-O55</f>
        <v>0</v>
      </c>
    </row>
    <row r="8" spans="3:18" ht="15" thickBot="1"/>
    <row r="9" spans="3:18">
      <c r="C9" s="55" t="s">
        <v>37</v>
      </c>
      <c r="D9" s="56" t="s">
        <v>27</v>
      </c>
      <c r="E9" s="57" t="s">
        <v>38</v>
      </c>
      <c r="F9" s="51"/>
      <c r="G9" s="66" t="s">
        <v>39</v>
      </c>
      <c r="H9" s="67" t="s">
        <v>29</v>
      </c>
      <c r="I9" s="48"/>
      <c r="J9" s="74" t="s">
        <v>33</v>
      </c>
      <c r="K9" s="76" t="s">
        <v>25</v>
      </c>
      <c r="L9" s="48"/>
      <c r="M9" s="81" t="s">
        <v>30</v>
      </c>
      <c r="N9" s="82" t="s">
        <v>31</v>
      </c>
      <c r="O9" s="83" t="s">
        <v>32</v>
      </c>
      <c r="P9" s="48"/>
      <c r="Q9" s="90" t="s">
        <v>34</v>
      </c>
      <c r="R9" s="94" t="s">
        <v>43</v>
      </c>
    </row>
    <row r="10" spans="3:18">
      <c r="C10" s="58"/>
      <c r="D10" s="53"/>
      <c r="E10" s="59"/>
      <c r="F10" s="51"/>
      <c r="G10" s="68"/>
      <c r="H10" s="69"/>
      <c r="I10" s="48"/>
      <c r="J10" s="75"/>
      <c r="K10" s="77"/>
      <c r="L10" s="48"/>
      <c r="M10" s="84"/>
      <c r="N10" s="45"/>
      <c r="O10" s="85"/>
      <c r="P10" s="48"/>
      <c r="Q10" s="91"/>
      <c r="R10" s="95"/>
    </row>
    <row r="11" spans="3:18">
      <c r="C11" s="58"/>
      <c r="D11" s="53"/>
      <c r="E11" s="59"/>
      <c r="F11" s="51"/>
      <c r="G11" s="68"/>
      <c r="H11" s="69"/>
      <c r="I11" s="48"/>
      <c r="J11" s="75"/>
      <c r="K11" s="77"/>
      <c r="L11" s="48"/>
      <c r="M11" s="84"/>
      <c r="N11" s="45"/>
      <c r="O11" s="85"/>
      <c r="P11" s="48"/>
      <c r="Q11" s="91"/>
      <c r="R11" s="95"/>
    </row>
    <row r="12" spans="3:18">
      <c r="C12" s="60">
        <v>0</v>
      </c>
      <c r="D12" s="54">
        <f>Age</f>
        <v>20</v>
      </c>
      <c r="E12" s="61">
        <f>C52</f>
        <v>40</v>
      </c>
      <c r="F12" s="52"/>
      <c r="G12" s="70">
        <f>G13*v*VLOOKUP(D12,'IALM 2012-14'!$B$5:$D$119,3,FALSE)+1-(monthlyconv*(1-v*VLOOKUP(D12,'IALM 2012-14'!$B$5:$D$119,3,FALSE)))</f>
        <v>19.802578340009315</v>
      </c>
      <c r="H12" s="71">
        <f t="shared" ref="H12:H52" si="0">G12*premium</f>
        <v>775934.48710007872</v>
      </c>
      <c r="I12" s="49"/>
      <c r="J12" s="78">
        <f>J13*v*VLOOKUP(D12,'IALM 2012-14'!$B$5:$D$119,3,FALSE)+v*VLOOKUP(D12,'IALM 2012-14'!$B$5:$D$119,2,FALSE)</f>
        <v>3.934334351161195E-2</v>
      </c>
      <c r="K12" s="71">
        <f t="shared" ref="K12:K52" si="1">SumAssured*J12</f>
        <v>393433.43511611951</v>
      </c>
      <c r="L12" s="49"/>
      <c r="M12" s="86">
        <f>InitialFixedExp</f>
        <v>200</v>
      </c>
      <c r="N12" s="13">
        <f>0.2*J5</f>
        <v>94040.419235594993</v>
      </c>
      <c r="O12" s="87">
        <f>M12+N12</f>
        <v>94240.419235594993</v>
      </c>
      <c r="P12" s="80"/>
      <c r="Q12" s="92">
        <f>((Q13*VLOOKUP(D12,'IALM 2012-14'!$B$5:$D$119,3,FALSE)+SumAssured*VLOOKUP(D12,'IALM 2012-14'!$B$5:$D$119,2,FALSE))/(1+i))-$J$5+InitialFixedExp+InitialVarExp*'Term-40'!$J$5</f>
        <v>-8721851.0932108648</v>
      </c>
      <c r="R12" s="87">
        <f>Q13*VLOOKUP(D12,'IALM 2012-14'!$B$5:$D$119,3,FALSE)-'Term-40'!Q12*(1+i)</f>
        <v>381760.14402007684</v>
      </c>
    </row>
    <row r="13" spans="3:18">
      <c r="C13" s="62">
        <f>C12+1</f>
        <v>1</v>
      </c>
      <c r="D13" s="12">
        <f>D12+1</f>
        <v>21</v>
      </c>
      <c r="E13" s="61">
        <f>E12-1</f>
        <v>39</v>
      </c>
      <c r="F13" s="52"/>
      <c r="G13" s="70">
        <f>G14*v*VLOOKUP(D13,'IALM 2012-14'!$B$5:$D$119,3,FALSE)+1-(monthlyconv*(1-v*VLOOKUP(D13,'IALM 2012-14'!$B$5:$D$119,3,FALSE)))</f>
        <v>19.591540890726055</v>
      </c>
      <c r="H13" s="71">
        <f>G13*premium</f>
        <v>767665.29951465852</v>
      </c>
      <c r="I13" s="49"/>
      <c r="J13" s="78">
        <f>J14*v*VLOOKUP(D13,'IALM 2012-14'!$B$5:$D$119,3,FALSE)+v*VLOOKUP(D13,'IALM 2012-14'!$B$5:$D$119,2,FALSE)</f>
        <v>4.0030065032166155E-2</v>
      </c>
      <c r="K13" s="71">
        <f t="shared" si="1"/>
        <v>400300.65032166155</v>
      </c>
      <c r="L13" s="49"/>
      <c r="M13" s="86">
        <f t="shared" ref="M13:M52" si="2">RenFixedExp*G13</f>
        <v>587.74622672178168</v>
      </c>
      <c r="N13" s="13">
        <f>RenVarExp*G13*premium</f>
        <v>23029.958985439756</v>
      </c>
      <c r="O13" s="87">
        <f t="shared" ref="O13:O41" si="3">M13+N13</f>
        <v>23617.705212161538</v>
      </c>
      <c r="P13" s="80"/>
      <c r="Q13" s="92">
        <f>((Q14*VLOOKUP(D13,'IALM 2012-14'!$B$5:$D$119,3,FALSE)+SumAssured*VLOOKUP(D13,'IALM 2012-14'!$B$5:$D$119,2,FALSE))/(1+i))-$J$5+12*RenFixedExp+$J$5*RenVarExp</f>
        <v>-8697001.0218634252</v>
      </c>
      <c r="R13" s="87">
        <f>Q14*VLOOKUP(D13,'IALM 2012-14'!$B$5:$D$119,3,FALSE)-'Term-40'!Q13*(1+i)</f>
        <v>464625.47462434135</v>
      </c>
    </row>
    <row r="14" spans="3:18">
      <c r="C14" s="62">
        <f t="shared" ref="C14:D52" si="4">C13+1</f>
        <v>2</v>
      </c>
      <c r="D14" s="12">
        <f t="shared" si="4"/>
        <v>22</v>
      </c>
      <c r="E14" s="61">
        <f>E13-1</f>
        <v>38</v>
      </c>
      <c r="F14" s="52"/>
      <c r="G14" s="70">
        <f>G15*v*VLOOKUP(D14,'IALM 2012-14'!$B$5:$D$119,3,FALSE)+1-(monthlyconv*(1-v*VLOOKUP(D14,'IALM 2012-14'!$B$5:$D$119,3,FALSE)))</f>
        <v>19.372057444675089</v>
      </c>
      <c r="H14" s="71">
        <f t="shared" si="0"/>
        <v>759065.16814719769</v>
      </c>
      <c r="I14" s="49"/>
      <c r="J14" s="78">
        <f>J15*v*VLOOKUP(D14,'IALM 2012-14'!$B$5:$D$119,3,FALSE)+v*VLOOKUP(D14,'IALM 2012-14'!$B$5:$D$119,2,FALSE)</f>
        <v>4.073531441711839E-2</v>
      </c>
      <c r="K14" s="71">
        <f t="shared" si="1"/>
        <v>407353.14417118393</v>
      </c>
      <c r="L14" s="49"/>
      <c r="M14" s="86">
        <f t="shared" si="2"/>
        <v>581.16172334025271</v>
      </c>
      <c r="N14" s="13">
        <f>RenVarExp*G14*premium</f>
        <v>22771.955044415929</v>
      </c>
      <c r="O14" s="87">
        <f t="shared" si="3"/>
        <v>23353.116767756183</v>
      </c>
      <c r="P14" s="80"/>
      <c r="Q14" s="92">
        <f>((Q15*VLOOKUP(D14,'IALM 2012-14'!$B$5:$D$119,3,FALSE)+SumAssured*VLOOKUP(D14,'IALM 2012-14'!$B$5:$D$119,2,FALSE))/(1+i))-$J$5+12*RenFixedExp+$J$5*RenVarExp</f>
        <v>-8588277.0388679244</v>
      </c>
      <c r="R14" s="87">
        <f>Q15*VLOOKUP(D14,'IALM 2012-14'!$B$5:$D$119,3,FALSE)-'Term-40'!Q14*(1+i)</f>
        <v>464595.47462434135</v>
      </c>
    </row>
    <row r="15" spans="3:18">
      <c r="C15" s="62">
        <f t="shared" si="4"/>
        <v>3</v>
      </c>
      <c r="D15" s="12">
        <f t="shared" si="4"/>
        <v>23</v>
      </c>
      <c r="E15" s="61">
        <f t="shared" ref="E15:E52" si="5">E14-1</f>
        <v>37</v>
      </c>
      <c r="F15" s="52"/>
      <c r="G15" s="70">
        <f>G16*v*VLOOKUP(D15,'IALM 2012-14'!$B$5:$D$119,3,FALSE)+1-(monthlyconv*(1-v*VLOOKUP(D15,'IALM 2012-14'!$B$5:$D$119,3,FALSE)))</f>
        <v>19.143640124925817</v>
      </c>
      <c r="H15" s="71">
        <f t="shared" si="0"/>
        <v>750114.97626807587</v>
      </c>
      <c r="I15" s="49"/>
      <c r="J15" s="78">
        <f>J16*v*VLOOKUP(D15,'IALM 2012-14'!$B$5:$D$119,3,FALSE)+v*VLOOKUP(D15,'IALM 2012-14'!$B$5:$D$119,2,FALSE)</f>
        <v>4.1466581180369132E-2</v>
      </c>
      <c r="K15" s="71">
        <f t="shared" si="1"/>
        <v>414665.81180369132</v>
      </c>
      <c r="L15" s="49"/>
      <c r="M15" s="86">
        <f t="shared" si="2"/>
        <v>574.30920374777452</v>
      </c>
      <c r="N15" s="13">
        <f>RenVarExp*G15*premium</f>
        <v>22503.449288042273</v>
      </c>
      <c r="O15" s="87">
        <f t="shared" si="3"/>
        <v>23077.758491790046</v>
      </c>
      <c r="P15" s="80"/>
      <c r="Q15" s="92">
        <f>((Q16*VLOOKUP(D15,'IALM 2012-14'!$B$5:$D$119,3,FALSE)+SumAssured*VLOOKUP(D15,'IALM 2012-14'!$B$5:$D$119,2,FALSE))/(1+i))-$J$5+12*RenFixedExp+$J$5*RenVarExp</f>
        <v>-8475153.8649697751</v>
      </c>
      <c r="R15" s="87">
        <f>Q16*VLOOKUP(D15,'IALM 2012-14'!$B$5:$D$119,3,FALSE)-'Term-40'!Q15*(1+i)</f>
        <v>464605.47462434135</v>
      </c>
    </row>
    <row r="16" spans="3:18">
      <c r="C16" s="62">
        <f t="shared" si="4"/>
        <v>4</v>
      </c>
      <c r="D16" s="12">
        <f t="shared" si="4"/>
        <v>24</v>
      </c>
      <c r="E16" s="61">
        <f t="shared" si="5"/>
        <v>36</v>
      </c>
      <c r="F16" s="52"/>
      <c r="G16" s="70">
        <f>G17*v*VLOOKUP(D16,'IALM 2012-14'!$B$5:$D$119,3,FALSE)+1-(monthlyconv*(1-v*VLOOKUP(D16,'IALM 2012-14'!$B$5:$D$119,3,FALSE)))</f>
        <v>18.905843933177639</v>
      </c>
      <c r="H16" s="71">
        <f t="shared" si="0"/>
        <v>740797.28728281474</v>
      </c>
      <c r="I16" s="49"/>
      <c r="J16" s="78">
        <f>J17*v*VLOOKUP(D16,'IALM 2012-14'!$B$5:$D$119,3,FALSE)+v*VLOOKUP(D16,'IALM 2012-14'!$B$5:$D$119,2,FALSE)</f>
        <v>4.2228770556825092E-2</v>
      </c>
      <c r="K16" s="71">
        <f t="shared" si="1"/>
        <v>422287.70556825091</v>
      </c>
      <c r="L16" s="49"/>
      <c r="M16" s="86">
        <f t="shared" si="2"/>
        <v>567.17531799532912</v>
      </c>
      <c r="N16" s="13">
        <f>RenVarExp*G16*premium</f>
        <v>22223.918618484444</v>
      </c>
      <c r="O16" s="87">
        <f t="shared" si="3"/>
        <v>22791.093936479774</v>
      </c>
      <c r="P16" s="80"/>
      <c r="Q16" s="92">
        <f>((Q17*VLOOKUP(D16,'IALM 2012-14'!$B$5:$D$119,3,FALSE)+SumAssured*VLOOKUP(D16,'IALM 2012-14'!$B$5:$D$119,2,FALSE))/(1+i))-$J$5+12*RenFixedExp+$J$5*RenVarExp</f>
        <v>-8357377.049862897</v>
      </c>
      <c r="R16" s="87">
        <f>Q17*VLOOKUP(D16,'IALM 2012-14'!$B$5:$D$119,3,FALSE)-'Term-40'!Q16*(1+i)</f>
        <v>464635.47462434135</v>
      </c>
    </row>
    <row r="17" spans="3:18">
      <c r="C17" s="62">
        <f t="shared" si="4"/>
        <v>5</v>
      </c>
      <c r="D17" s="12">
        <f t="shared" si="4"/>
        <v>25</v>
      </c>
      <c r="E17" s="61">
        <f t="shared" si="5"/>
        <v>35</v>
      </c>
      <c r="F17" s="52"/>
      <c r="G17" s="70">
        <f>G18*v*VLOOKUP(D17,'IALM 2012-14'!$B$5:$D$119,3,FALSE)+1-(monthlyconv*(1-v*VLOOKUP(D17,'IALM 2012-14'!$B$5:$D$119,3,FALSE)))</f>
        <v>18.658246793096037</v>
      </c>
      <c r="H17" s="71">
        <f t="shared" si="0"/>
        <v>731095.562759978</v>
      </c>
      <c r="I17" s="49"/>
      <c r="J17" s="78">
        <f>J18*v*VLOOKUP(D17,'IALM 2012-14'!$B$5:$D$119,3,FALSE)+v*VLOOKUP(D17,'IALM 2012-14'!$B$5:$D$119,2,FALSE)</f>
        <v>4.3025063763589527E-2</v>
      </c>
      <c r="K17" s="71">
        <f t="shared" si="1"/>
        <v>430250.63763589528</v>
      </c>
      <c r="L17" s="49"/>
      <c r="M17" s="86">
        <f t="shared" si="2"/>
        <v>559.74740379288107</v>
      </c>
      <c r="N17" s="13">
        <f>RenVarExp*G17*premium</f>
        <v>21932.866882799342</v>
      </c>
      <c r="O17" s="87">
        <f t="shared" si="3"/>
        <v>22492.614286592223</v>
      </c>
      <c r="P17" s="80"/>
      <c r="Q17" s="92">
        <f>((Q18*VLOOKUP(D17,'IALM 2012-14'!$B$5:$D$119,3,FALSE)+SumAssured*VLOOKUP(D17,'IALM 2012-14'!$B$5:$D$119,2,FALSE))/(1+i))-$J$5+12*RenFixedExp+$J$5*RenVarExp</f>
        <v>-8234719.6506671449</v>
      </c>
      <c r="R17" s="87">
        <f>Q18*VLOOKUP(D17,'IALM 2012-14'!$B$5:$D$119,3,FALSE)-'Term-40'!Q17*(1+i)</f>
        <v>464655.47462434042</v>
      </c>
    </row>
    <row r="18" spans="3:18">
      <c r="C18" s="62">
        <f t="shared" si="4"/>
        <v>6</v>
      </c>
      <c r="D18" s="12">
        <f t="shared" si="4"/>
        <v>26</v>
      </c>
      <c r="E18" s="61">
        <f t="shared" si="5"/>
        <v>34</v>
      </c>
      <c r="F18" s="52"/>
      <c r="G18" s="70">
        <f>G19*v*VLOOKUP(D18,'IALM 2012-14'!$B$5:$D$119,3,FALSE)+1-(monthlyconv*(1-v*VLOOKUP(D18,'IALM 2012-14'!$B$5:$D$119,3,FALSE)))</f>
        <v>18.400467541767934</v>
      </c>
      <c r="H18" s="71">
        <f t="shared" si="0"/>
        <v>720994.86739950604</v>
      </c>
      <c r="I18" s="49"/>
      <c r="J18" s="78">
        <f>J19*v*VLOOKUP(D18,'IALM 2012-14'!$B$5:$D$119,3,FALSE)+v*VLOOKUP(D18,'IALM 2012-14'!$B$5:$D$119,2,FALSE)</f>
        <v>4.3855896153451979E-2</v>
      </c>
      <c r="K18" s="71">
        <f t="shared" si="1"/>
        <v>438558.9615345198</v>
      </c>
      <c r="L18" s="49"/>
      <c r="M18" s="86">
        <f t="shared" si="2"/>
        <v>552.01402625303808</v>
      </c>
      <c r="N18" s="13">
        <f>RenVarExp*G18*premium</f>
        <v>21629.84602198518</v>
      </c>
      <c r="O18" s="87">
        <f t="shared" si="3"/>
        <v>22181.860048238217</v>
      </c>
      <c r="P18" s="80"/>
      <c r="Q18" s="92">
        <f>((Q19*VLOOKUP(D18,'IALM 2012-14'!$B$5:$D$119,3,FALSE)+SumAssured*VLOOKUP(D18,'IALM 2012-14'!$B$5:$D$119,2,FALSE))/(1+i))-$J$5+12*RenFixedExp+$J$5*RenVarExp</f>
        <v>-8107000.5796091063</v>
      </c>
      <c r="R18" s="87">
        <f>Q19*VLOOKUP(D18,'IALM 2012-14'!$B$5:$D$119,3,FALSE)-'Term-40'!Q18*(1+i)</f>
        <v>464655.47462434042</v>
      </c>
    </row>
    <row r="19" spans="3:18">
      <c r="C19" s="62">
        <f t="shared" si="4"/>
        <v>7</v>
      </c>
      <c r="D19" s="12">
        <f t="shared" si="4"/>
        <v>27</v>
      </c>
      <c r="E19" s="61">
        <f t="shared" si="5"/>
        <v>33</v>
      </c>
      <c r="F19" s="52"/>
      <c r="G19" s="70">
        <f>G20*v*VLOOKUP(D19,'IALM 2012-14'!$B$5:$D$119,3,FALSE)+1-(monthlyconv*(1-v*VLOOKUP(D19,'IALM 2012-14'!$B$5:$D$119,3,FALSE)))</f>
        <v>18.13212729561754</v>
      </c>
      <c r="H19" s="71">
        <f t="shared" si="0"/>
        <v>710480.35521377029</v>
      </c>
      <c r="I19" s="49"/>
      <c r="J19" s="78">
        <f>J20*v*VLOOKUP(D19,'IALM 2012-14'!$B$5:$D$119,3,FALSE)+v*VLOOKUP(D19,'IALM 2012-14'!$B$5:$D$119,2,FALSE)</f>
        <v>4.4720767033698441E-2</v>
      </c>
      <c r="K19" s="71">
        <f t="shared" si="1"/>
        <v>447207.67033698439</v>
      </c>
      <c r="L19" s="49"/>
      <c r="M19" s="86">
        <f t="shared" si="2"/>
        <v>543.96381886852623</v>
      </c>
      <c r="N19" s="13">
        <f>RenVarExp*G19*premium</f>
        <v>21314.410656413111</v>
      </c>
      <c r="O19" s="87">
        <f t="shared" si="3"/>
        <v>21858.374475281638</v>
      </c>
      <c r="P19" s="80"/>
      <c r="Q19" s="92">
        <f>((Q20*VLOOKUP(D19,'IALM 2012-14'!$B$5:$D$119,3,FALSE)+SumAssured*VLOOKUP(D19,'IALM 2012-14'!$B$5:$D$119,2,FALSE))/(1+i))-$J$5+12*RenFixedExp+$J$5*RenVarExp</f>
        <v>-7974048.9677581126</v>
      </c>
      <c r="R19" s="87">
        <f>Q20*VLOOKUP(D19,'IALM 2012-14'!$B$5:$D$119,3,FALSE)-'Term-40'!Q19*(1+i)</f>
        <v>464625.47462434135</v>
      </c>
    </row>
    <row r="20" spans="3:18">
      <c r="C20" s="62">
        <f t="shared" si="4"/>
        <v>8</v>
      </c>
      <c r="D20" s="12">
        <f t="shared" si="4"/>
        <v>28</v>
      </c>
      <c r="E20" s="61">
        <f t="shared" si="5"/>
        <v>32</v>
      </c>
      <c r="F20" s="52"/>
      <c r="G20" s="70">
        <f>G21*v*VLOOKUP(D20,'IALM 2012-14'!$B$5:$D$119,3,FALSE)+1-(monthlyconv*(1-v*VLOOKUP(D20,'IALM 2012-14'!$B$5:$D$119,3,FALSE)))</f>
        <v>17.852848364481336</v>
      </c>
      <c r="H20" s="71">
        <f t="shared" si="0"/>
        <v>699537.22697722132</v>
      </c>
      <c r="I20" s="49"/>
      <c r="J20" s="78">
        <f>J21*v*VLOOKUP(D20,'IALM 2012-14'!$B$5:$D$119,3,FALSE)+v*VLOOKUP(D20,'IALM 2012-14'!$B$5:$D$119,2,FALSE)</f>
        <v>4.5618205118627173E-2</v>
      </c>
      <c r="K20" s="71">
        <f t="shared" si="1"/>
        <v>456182.05118627171</v>
      </c>
      <c r="L20" s="49"/>
      <c r="M20" s="86">
        <f t="shared" si="2"/>
        <v>535.58545093444002</v>
      </c>
      <c r="N20" s="13">
        <f>RenVarExp*G20*premium</f>
        <v>20986.116809316642</v>
      </c>
      <c r="O20" s="87">
        <f t="shared" si="3"/>
        <v>21521.702260251081</v>
      </c>
      <c r="P20" s="80"/>
      <c r="Q20" s="92">
        <f>((Q21*VLOOKUP(D20,'IALM 2012-14'!$B$5:$D$119,3,FALSE)+SumAssured*VLOOKUP(D20,'IALM 2012-14'!$B$5:$D$119,2,FALSE))/(1+i))-$J$5+12*RenFixedExp+$J$5*RenVarExp</f>
        <v>-7835703.9993795166</v>
      </c>
      <c r="R20" s="87">
        <f>Q21*VLOOKUP(D20,'IALM 2012-14'!$B$5:$D$119,3,FALSE)-'Term-40'!Q20*(1+i)</f>
        <v>464545.47462434135</v>
      </c>
    </row>
    <row r="21" spans="3:18">
      <c r="C21" s="62">
        <f t="shared" si="4"/>
        <v>9</v>
      </c>
      <c r="D21" s="12">
        <f t="shared" si="4"/>
        <v>29</v>
      </c>
      <c r="E21" s="61">
        <f t="shared" si="5"/>
        <v>31</v>
      </c>
      <c r="F21" s="52"/>
      <c r="G21" s="70">
        <f>G22*v*VLOOKUP(D21,'IALM 2012-14'!$B$5:$D$119,3,FALSE)+1-(monthlyconv*(1-v*VLOOKUP(D21,'IALM 2012-14'!$B$5:$D$119,3,FALSE)))</f>
        <v>17.562271041715221</v>
      </c>
      <c r="H21" s="71">
        <f t="shared" si="0"/>
        <v>688151.38812168711</v>
      </c>
      <c r="I21" s="49"/>
      <c r="J21" s="78">
        <f>J22*v*VLOOKUP(D21,'IALM 2012-14'!$B$5:$D$119,3,FALSE)+v*VLOOKUP(D21,'IALM 2012-14'!$B$5:$D$119,2,FALSE)</f>
        <v>4.6544778504723709E-2</v>
      </c>
      <c r="K21" s="71">
        <f t="shared" si="1"/>
        <v>465447.78504723712</v>
      </c>
      <c r="L21" s="49"/>
      <c r="M21" s="86">
        <f t="shared" si="2"/>
        <v>526.86813125145659</v>
      </c>
      <c r="N21" s="13">
        <f>RenVarExp*G21*premium</f>
        <v>20644.541643650613</v>
      </c>
      <c r="O21" s="87">
        <f t="shared" si="3"/>
        <v>21171.409774902069</v>
      </c>
      <c r="P21" s="80"/>
      <c r="Q21" s="92">
        <f>((Q22*VLOOKUP(D21,'IALM 2012-14'!$B$5:$D$119,3,FALSE)+SumAssured*VLOOKUP(D21,'IALM 2012-14'!$B$5:$D$119,2,FALSE))/(1+i))-$J$5+12*RenFixedExp+$J$5*RenVarExp</f>
        <v>-7691832.3908425299</v>
      </c>
      <c r="R21" s="87">
        <f>Q22*VLOOKUP(D21,'IALM 2012-14'!$B$5:$D$119,3,FALSE)-'Term-40'!Q21*(1+i)</f>
        <v>464405.47462434135</v>
      </c>
    </row>
    <row r="22" spans="3:18">
      <c r="C22" s="62">
        <f t="shared" si="4"/>
        <v>10</v>
      </c>
      <c r="D22" s="12">
        <f t="shared" si="4"/>
        <v>30</v>
      </c>
      <c r="E22" s="61">
        <f t="shared" si="5"/>
        <v>30</v>
      </c>
      <c r="F22" s="52"/>
      <c r="G22" s="70">
        <f>G23*v*VLOOKUP(D22,'IALM 2012-14'!$B$5:$D$119,3,FALSE)+1-(monthlyconv*(1-v*VLOOKUP(D22,'IALM 2012-14'!$B$5:$D$119,3,FALSE)))</f>
        <v>17.260033975864758</v>
      </c>
      <c r="H22" s="71">
        <f t="shared" si="0"/>
        <v>676308.67962955637</v>
      </c>
      <c r="I22" s="49"/>
      <c r="J22" s="78">
        <f>J23*v*VLOOKUP(D22,'IALM 2012-14'!$B$5:$D$119,3,FALSE)+v*VLOOKUP(D22,'IALM 2012-14'!$B$5:$D$119,2,FALSE)</f>
        <v>4.7495975797775335E-2</v>
      </c>
      <c r="K22" s="71">
        <f t="shared" si="1"/>
        <v>474959.75797775335</v>
      </c>
      <c r="L22" s="49"/>
      <c r="M22" s="86">
        <f t="shared" si="2"/>
        <v>517.80101927594274</v>
      </c>
      <c r="N22" s="13">
        <f>RenVarExp*G22*premium</f>
        <v>20289.260388886691</v>
      </c>
      <c r="O22" s="87">
        <f t="shared" si="3"/>
        <v>20807.061408162634</v>
      </c>
      <c r="P22" s="80"/>
      <c r="Q22" s="92">
        <f>((Q23*VLOOKUP(D22,'IALM 2012-14'!$B$5:$D$119,3,FALSE)+SumAssured*VLOOKUP(D22,'IALM 2012-14'!$B$5:$D$119,2,FALSE))/(1+i))-$J$5+12*RenFixedExp+$J$5*RenVarExp</f>
        <v>-7542310.6608436564</v>
      </c>
      <c r="R22" s="87">
        <f>Q23*VLOOKUP(D22,'IALM 2012-14'!$B$5:$D$119,3,FALSE)-'Term-40'!Q22*(1+i)</f>
        <v>464195.47462434135</v>
      </c>
    </row>
    <row r="23" spans="3:18">
      <c r="C23" s="62">
        <f t="shared" si="4"/>
        <v>11</v>
      </c>
      <c r="D23" s="12">
        <f t="shared" si="4"/>
        <v>31</v>
      </c>
      <c r="E23" s="61">
        <f t="shared" si="5"/>
        <v>29</v>
      </c>
      <c r="F23" s="52"/>
      <c r="G23" s="70">
        <f>G24*v*VLOOKUP(D23,'IALM 2012-14'!$B$5:$D$119,3,FALSE)+1-(monthlyconv*(1-v*VLOOKUP(D23,'IALM 2012-14'!$B$5:$D$119,3,FALSE)))</f>
        <v>16.945772479611929</v>
      </c>
      <c r="H23" s="71">
        <f t="shared" si="0"/>
        <v>663994.81177238084</v>
      </c>
      <c r="I23" s="49"/>
      <c r="J23" s="78">
        <f>J24*v*VLOOKUP(D23,'IALM 2012-14'!$B$5:$D$119,3,FALSE)+v*VLOOKUP(D23,'IALM 2012-14'!$B$5:$D$119,2,FALSE)</f>
        <v>4.8466166274136184E-2</v>
      </c>
      <c r="K23" s="71">
        <f t="shared" si="1"/>
        <v>484661.66274136183</v>
      </c>
      <c r="L23" s="49"/>
      <c r="M23" s="86">
        <f t="shared" si="2"/>
        <v>508.37317438835788</v>
      </c>
      <c r="N23" s="13">
        <f>RenVarExp*G23*premium</f>
        <v>19919.844353171422</v>
      </c>
      <c r="O23" s="87">
        <f t="shared" si="3"/>
        <v>20428.21752755978</v>
      </c>
      <c r="P23" s="80"/>
      <c r="Q23" s="92">
        <f>((Q24*VLOOKUP(D23,'IALM 2012-14'!$B$5:$D$119,3,FALSE)+SumAssured*VLOOKUP(D23,'IALM 2012-14'!$B$5:$D$119,2,FALSE))/(1+i))-$J$5+12*RenFixedExp+$J$5*RenVarExp</f>
        <v>-7387024.7358199582</v>
      </c>
      <c r="R23" s="87">
        <f>Q24*VLOOKUP(D23,'IALM 2012-14'!$B$5:$D$119,3,FALSE)-'Term-40'!Q23*(1+i)</f>
        <v>463915.47462434042</v>
      </c>
    </row>
    <row r="24" spans="3:18">
      <c r="C24" s="62">
        <f t="shared" si="4"/>
        <v>12</v>
      </c>
      <c r="D24" s="12">
        <f t="shared" si="4"/>
        <v>32</v>
      </c>
      <c r="E24" s="61">
        <f t="shared" si="5"/>
        <v>28</v>
      </c>
      <c r="F24" s="52"/>
      <c r="G24" s="70">
        <f>G25*v*VLOOKUP(D24,'IALM 2012-14'!$B$5:$D$119,3,FALSE)+1-(monthlyconv*(1-v*VLOOKUP(D24,'IALM 2012-14'!$B$5:$D$119,3,FALSE)))</f>
        <v>16.619099532159563</v>
      </c>
      <c r="H24" s="71">
        <f t="shared" si="0"/>
        <v>651194.61971765244</v>
      </c>
      <c r="I24" s="49"/>
      <c r="J24" s="78">
        <f>J25*v*VLOOKUP(D24,'IALM 2012-14'!$B$5:$D$119,3,FALSE)+v*VLOOKUP(D24,'IALM 2012-14'!$B$5:$D$119,2,FALSE)</f>
        <v>4.9449509682332381E-2</v>
      </c>
      <c r="K24" s="71">
        <f t="shared" si="1"/>
        <v>494495.09682332381</v>
      </c>
      <c r="L24" s="49"/>
      <c r="M24" s="86">
        <f t="shared" si="2"/>
        <v>498.57298596478688</v>
      </c>
      <c r="N24" s="13">
        <f>RenVarExp*G24*premium</f>
        <v>19535.838591529573</v>
      </c>
      <c r="O24" s="87">
        <f t="shared" si="3"/>
        <v>20034.41157749436</v>
      </c>
      <c r="P24" s="80"/>
      <c r="Q24" s="92">
        <f>((Q25*VLOOKUP(D24,'IALM 2012-14'!$B$5:$D$119,3,FALSE)+SumAssured*VLOOKUP(D24,'IALM 2012-14'!$B$5:$D$119,2,FALSE))/(1+i))-$J$5+12*RenFixedExp+$J$5*RenVarExp</f>
        <v>-7225852.2321216986</v>
      </c>
      <c r="R24" s="87">
        <f>Q25*VLOOKUP(D24,'IALM 2012-14'!$B$5:$D$119,3,FALSE)-'Term-40'!Q24*(1+i)</f>
        <v>463545.47462434042</v>
      </c>
    </row>
    <row r="25" spans="3:18">
      <c r="C25" s="62">
        <f t="shared" si="4"/>
        <v>13</v>
      </c>
      <c r="D25" s="12">
        <f t="shared" si="4"/>
        <v>33</v>
      </c>
      <c r="E25" s="61">
        <f t="shared" si="5"/>
        <v>27</v>
      </c>
      <c r="F25" s="52"/>
      <c r="G25" s="70">
        <f>G26*v*VLOOKUP(D25,'IALM 2012-14'!$B$5:$D$119,3,FALSE)+1-(monthlyconv*(1-v*VLOOKUP(D25,'IALM 2012-14'!$B$5:$D$119,3,FALSE)))</f>
        <v>16.27963781271346</v>
      </c>
      <c r="H25" s="71">
        <f t="shared" si="0"/>
        <v>637893.31871300773</v>
      </c>
      <c r="I25" s="49"/>
      <c r="J25" s="78">
        <f>J26*v*VLOOKUP(D25,'IALM 2012-14'!$B$5:$D$119,3,FALSE)+v*VLOOKUP(D25,'IALM 2012-14'!$B$5:$D$119,2,FALSE)</f>
        <v>5.0438046514093372E-2</v>
      </c>
      <c r="K25" s="71">
        <f t="shared" si="1"/>
        <v>504380.46514093369</v>
      </c>
      <c r="L25" s="49"/>
      <c r="M25" s="86">
        <f t="shared" si="2"/>
        <v>488.38913438140378</v>
      </c>
      <c r="N25" s="13">
        <f>RenVarExp*G25*premium</f>
        <v>19136.799561390231</v>
      </c>
      <c r="O25" s="87">
        <f t="shared" si="3"/>
        <v>19625.188695771634</v>
      </c>
      <c r="P25" s="80"/>
      <c r="Q25" s="92">
        <f>((Q26*VLOOKUP(D25,'IALM 2012-14'!$B$5:$D$119,3,FALSE)+SumAssured*VLOOKUP(D25,'IALM 2012-14'!$B$5:$D$119,2,FALSE))/(1+i))-$J$5+12*RenFixedExp+$J$5*RenVarExp</f>
        <v>-7058696.0080225859</v>
      </c>
      <c r="R25" s="87">
        <f>Q26*VLOOKUP(D25,'IALM 2012-14'!$B$5:$D$119,3,FALSE)-'Term-40'!Q25*(1+i)</f>
        <v>463105.47462434042</v>
      </c>
    </row>
    <row r="26" spans="3:18">
      <c r="C26" s="62">
        <f t="shared" si="4"/>
        <v>14</v>
      </c>
      <c r="D26" s="12">
        <f t="shared" si="4"/>
        <v>34</v>
      </c>
      <c r="E26" s="61">
        <f t="shared" si="5"/>
        <v>26</v>
      </c>
      <c r="F26" s="52"/>
      <c r="G26" s="70">
        <f>G27*v*VLOOKUP(D26,'IALM 2012-14'!$B$5:$D$119,3,FALSE)+1-(monthlyconv*(1-v*VLOOKUP(D26,'IALM 2012-14'!$B$5:$D$119,3,FALSE)))</f>
        <v>15.92695107742542</v>
      </c>
      <c r="H26" s="71">
        <f t="shared" si="0"/>
        <v>624073.81519412412</v>
      </c>
      <c r="I26" s="49"/>
      <c r="J26" s="78">
        <f>J27*v*VLOOKUP(D26,'IALM 2012-14'!$B$5:$D$119,3,FALSE)+v*VLOOKUP(D26,'IALM 2012-14'!$B$5:$D$119,2,FALSE)</f>
        <v>5.1425416376842364E-2</v>
      </c>
      <c r="K26" s="71">
        <f t="shared" si="1"/>
        <v>514254.16376842366</v>
      </c>
      <c r="L26" s="49"/>
      <c r="M26" s="86">
        <f t="shared" si="2"/>
        <v>477.80853232276257</v>
      </c>
      <c r="N26" s="13">
        <f>RenVarExp*G26*premium</f>
        <v>18722.214455823723</v>
      </c>
      <c r="O26" s="87">
        <f t="shared" si="3"/>
        <v>19200.022988146487</v>
      </c>
      <c r="P26" s="80"/>
      <c r="Q26" s="92">
        <f>((Q27*VLOOKUP(D26,'IALM 2012-14'!$B$5:$D$119,3,FALSE)+SumAssured*VLOOKUP(D26,'IALM 2012-14'!$B$5:$D$119,2,FALSE))/(1+i))-$J$5+12*RenFixedExp+$J$5*RenVarExp</f>
        <v>-6885415.9354250208</v>
      </c>
      <c r="R26" s="87">
        <f>Q27*VLOOKUP(D26,'IALM 2012-14'!$B$5:$D$119,3,FALSE)-'Term-40'!Q26*(1+i)</f>
        <v>462565.47462434042</v>
      </c>
    </row>
    <row r="27" spans="3:18">
      <c r="C27" s="62">
        <f t="shared" si="4"/>
        <v>15</v>
      </c>
      <c r="D27" s="12">
        <f t="shared" si="4"/>
        <v>35</v>
      </c>
      <c r="E27" s="61">
        <f t="shared" si="5"/>
        <v>25</v>
      </c>
      <c r="F27" s="52"/>
      <c r="G27" s="70">
        <f>G28*v*VLOOKUP(D27,'IALM 2012-14'!$B$5:$D$119,3,FALSE)+1-(monthlyconv*(1-v*VLOOKUP(D27,'IALM 2012-14'!$B$5:$D$119,3,FALSE)))</f>
        <v>15.560624065290202</v>
      </c>
      <c r="H27" s="71">
        <f t="shared" si="0"/>
        <v>609719.83777807467</v>
      </c>
      <c r="I27" s="49"/>
      <c r="J27" s="78">
        <f>J28*v*VLOOKUP(D27,'IALM 2012-14'!$B$5:$D$119,3,FALSE)+v*VLOOKUP(D27,'IALM 2012-14'!$B$5:$D$119,2,FALSE)</f>
        <v>5.2402171507434543E-2</v>
      </c>
      <c r="K27" s="71">
        <f t="shared" si="1"/>
        <v>524021.71507434541</v>
      </c>
      <c r="L27" s="49"/>
      <c r="M27" s="86">
        <f t="shared" si="2"/>
        <v>466.81872195870608</v>
      </c>
      <c r="N27" s="13">
        <f>RenVarExp*G27*premium</f>
        <v>18291.595133342238</v>
      </c>
      <c r="O27" s="87">
        <f t="shared" si="3"/>
        <v>18758.413855300943</v>
      </c>
      <c r="P27" s="80"/>
      <c r="Q27" s="92">
        <f>((Q28*VLOOKUP(D27,'IALM 2012-14'!$B$5:$D$119,3,FALSE)+SumAssured*VLOOKUP(D27,'IALM 2012-14'!$B$5:$D$119,2,FALSE))/(1+i))-$J$5+12*RenFixedExp+$J$5*RenVarExp</f>
        <v>-6705911.8377126735</v>
      </c>
      <c r="R27" s="87">
        <f>Q28*VLOOKUP(D27,'IALM 2012-14'!$B$5:$D$119,3,FALSE)-'Term-40'!Q27*(1+i)</f>
        <v>461945.47462434042</v>
      </c>
    </row>
    <row r="28" spans="3:18">
      <c r="C28" s="62">
        <f t="shared" si="4"/>
        <v>16</v>
      </c>
      <c r="D28" s="12">
        <f t="shared" si="4"/>
        <v>36</v>
      </c>
      <c r="E28" s="61">
        <f t="shared" si="5"/>
        <v>24</v>
      </c>
      <c r="F28" s="52"/>
      <c r="G28" s="70">
        <f>G29*v*VLOOKUP(D28,'IALM 2012-14'!$B$5:$D$119,3,FALSE)+1-(monthlyconv*(1-v*VLOOKUP(D28,'IALM 2012-14'!$B$5:$D$119,3,FALSE)))</f>
        <v>15.180179854086424</v>
      </c>
      <c r="H28" s="71">
        <f t="shared" si="0"/>
        <v>594812.69897917518</v>
      </c>
      <c r="I28" s="49"/>
      <c r="J28" s="78">
        <f>J29*v*VLOOKUP(D28,'IALM 2012-14'!$B$5:$D$119,3,FALSE)+v*VLOOKUP(D28,'IALM 2012-14'!$B$5:$D$119,2,FALSE)</f>
        <v>5.3360397565605788E-2</v>
      </c>
      <c r="K28" s="71">
        <f t="shared" si="1"/>
        <v>533603.97565605794</v>
      </c>
      <c r="L28" s="49"/>
      <c r="M28" s="86">
        <f t="shared" si="2"/>
        <v>455.40539562259272</v>
      </c>
      <c r="N28" s="13">
        <f>RenVarExp*G28*premium</f>
        <v>17844.380969375256</v>
      </c>
      <c r="O28" s="87">
        <f t="shared" si="3"/>
        <v>18299.78636499785</v>
      </c>
      <c r="P28" s="80"/>
      <c r="Q28" s="92">
        <f>((Q29*VLOOKUP(D28,'IALM 2012-14'!$B$5:$D$119,3,FALSE)+SumAssured*VLOOKUP(D28,'IALM 2012-14'!$B$5:$D$119,2,FALSE))/(1+i))-$J$5+12*RenFixedExp+$J$5*RenVarExp</f>
        <v>-6520039.9245861927</v>
      </c>
      <c r="R28" s="87">
        <f>Q29*VLOOKUP(D28,'IALM 2012-14'!$B$5:$D$119,3,FALSE)-'Term-40'!Q28*(1+i)</f>
        <v>461215.47462434042</v>
      </c>
    </row>
    <row r="29" spans="3:18">
      <c r="C29" s="62">
        <f t="shared" si="4"/>
        <v>17</v>
      </c>
      <c r="D29" s="12">
        <f t="shared" si="4"/>
        <v>37</v>
      </c>
      <c r="E29" s="61">
        <f t="shared" si="5"/>
        <v>23</v>
      </c>
      <c r="F29" s="52"/>
      <c r="G29" s="70">
        <f>G30*v*VLOOKUP(D29,'IALM 2012-14'!$B$5:$D$119,3,FALSE)+1-(monthlyconv*(1-v*VLOOKUP(D29,'IALM 2012-14'!$B$5:$D$119,3,FALSE)))</f>
        <v>14.785155830266806</v>
      </c>
      <c r="H29" s="71">
        <f t="shared" si="0"/>
        <v>579334.2719757884</v>
      </c>
      <c r="I29" s="49"/>
      <c r="J29" s="78">
        <f>J30*v*VLOOKUP(D29,'IALM 2012-14'!$B$5:$D$119,3,FALSE)+v*VLOOKUP(D29,'IALM 2012-14'!$B$5:$D$119,2,FALSE)</f>
        <v>5.4289031984009639E-2</v>
      </c>
      <c r="K29" s="71">
        <f t="shared" si="1"/>
        <v>542890.3198400964</v>
      </c>
      <c r="L29" s="49"/>
      <c r="M29" s="86">
        <f t="shared" si="2"/>
        <v>443.55467490800419</v>
      </c>
      <c r="N29" s="13">
        <f>RenVarExp*G29*premium</f>
        <v>17380.02815927365</v>
      </c>
      <c r="O29" s="87">
        <f t="shared" si="3"/>
        <v>17823.582834181656</v>
      </c>
      <c r="P29" s="80"/>
      <c r="Q29" s="92">
        <f>((Q30*VLOOKUP(D29,'IALM 2012-14'!$B$5:$D$119,3,FALSE)+SumAssured*VLOOKUP(D29,'IALM 2012-14'!$B$5:$D$119,2,FALSE))/(1+i))-$J$5+12*RenFixedExp+$J$5*RenVarExp</f>
        <v>-6327693.8566124812</v>
      </c>
      <c r="R29" s="87">
        <f>Q30*VLOOKUP(D29,'IALM 2012-14'!$B$5:$D$119,3,FALSE)-'Term-40'!Q29*(1+i)</f>
        <v>460385.47462434042</v>
      </c>
    </row>
    <row r="30" spans="3:18">
      <c r="C30" s="62">
        <f t="shared" si="4"/>
        <v>18</v>
      </c>
      <c r="D30" s="12">
        <f t="shared" si="4"/>
        <v>38</v>
      </c>
      <c r="E30" s="61">
        <f t="shared" si="5"/>
        <v>22</v>
      </c>
      <c r="F30" s="52"/>
      <c r="G30" s="70">
        <f>G31*v*VLOOKUP(D30,'IALM 2012-14'!$B$5:$D$119,3,FALSE)+1-(monthlyconv*(1-v*VLOOKUP(D30,'IALM 2012-14'!$B$5:$D$119,3,FALSE)))</f>
        <v>14.37503911659782</v>
      </c>
      <c r="H30" s="71">
        <f t="shared" si="0"/>
        <v>563264.46043872344</v>
      </c>
      <c r="I30" s="49"/>
      <c r="J30" s="78">
        <f>J31*v*VLOOKUP(D30,'IALM 2012-14'!$B$5:$D$119,3,FALSE)+v*VLOOKUP(D30,'IALM 2012-14'!$B$5:$D$119,2,FALSE)</f>
        <v>5.5177524341425685E-2</v>
      </c>
      <c r="K30" s="71">
        <f t="shared" si="1"/>
        <v>551775.24341425684</v>
      </c>
      <c r="L30" s="49"/>
      <c r="M30" s="86">
        <f t="shared" si="2"/>
        <v>431.25117349793459</v>
      </c>
      <c r="N30" s="13">
        <f>RenVarExp*G30*premium</f>
        <v>16897.933813161701</v>
      </c>
      <c r="O30" s="87">
        <f t="shared" si="3"/>
        <v>17329.184986659635</v>
      </c>
      <c r="P30" s="80"/>
      <c r="Q30" s="92">
        <f>((Q31*VLOOKUP(D30,'IALM 2012-14'!$B$5:$D$119,3,FALSE)+SumAssured*VLOOKUP(D30,'IALM 2012-14'!$B$5:$D$119,2,FALSE))/(1+i))-$J$5+12*RenFixedExp+$J$5*RenVarExp</f>
        <v>-6128738.9637654331</v>
      </c>
      <c r="R30" s="87">
        <f>Q31*VLOOKUP(D30,'IALM 2012-14'!$B$5:$D$119,3,FALSE)-'Term-40'!Q30*(1+i)</f>
        <v>459435.47462434042</v>
      </c>
    </row>
    <row r="31" spans="3:18">
      <c r="C31" s="62">
        <f t="shared" si="4"/>
        <v>19</v>
      </c>
      <c r="D31" s="12">
        <f t="shared" si="4"/>
        <v>39</v>
      </c>
      <c r="E31" s="61">
        <f t="shared" si="5"/>
        <v>21</v>
      </c>
      <c r="F31" s="52"/>
      <c r="G31" s="70">
        <f>G32*v*VLOOKUP(D31,'IALM 2012-14'!$B$5:$D$119,3,FALSE)+1-(monthlyconv*(1-v*VLOOKUP(D31,'IALM 2012-14'!$B$5:$D$119,3,FALSE)))</f>
        <v>13.949308317914332</v>
      </c>
      <c r="H31" s="71">
        <f t="shared" si="0"/>
        <v>546582.83427634835</v>
      </c>
      <c r="I31" s="49"/>
      <c r="J31" s="78">
        <f>J32*v*VLOOKUP(D31,'IALM 2012-14'!$B$5:$D$119,3,FALSE)+v*VLOOKUP(D31,'IALM 2012-14'!$B$5:$D$119,2,FALSE)</f>
        <v>5.6013012221841053E-2</v>
      </c>
      <c r="K31" s="71">
        <f t="shared" si="1"/>
        <v>560130.12221841048</v>
      </c>
      <c r="L31" s="49"/>
      <c r="M31" s="86">
        <f t="shared" si="2"/>
        <v>418.47924953742995</v>
      </c>
      <c r="N31" s="13">
        <f>RenVarExp*G31*premium</f>
        <v>16397.485028290452</v>
      </c>
      <c r="O31" s="87">
        <f t="shared" si="3"/>
        <v>16815.964277827883</v>
      </c>
      <c r="P31" s="80"/>
      <c r="Q31" s="92">
        <f>((Q32*VLOOKUP(D31,'IALM 2012-14'!$B$5:$D$119,3,FALSE)+SumAssured*VLOOKUP(D31,'IALM 2012-14'!$B$5:$D$119,2,FALSE))/(1+i))-$J$5+12*RenFixedExp+$J$5*RenVarExp</f>
        <v>-5923059.2527860086</v>
      </c>
      <c r="R31" s="87">
        <f>Q32*VLOOKUP(D31,'IALM 2012-14'!$B$5:$D$119,3,FALSE)-'Term-40'!Q31*(1+i)</f>
        <v>458365.47462434042</v>
      </c>
    </row>
    <row r="32" spans="3:18">
      <c r="C32" s="62">
        <f t="shared" si="4"/>
        <v>20</v>
      </c>
      <c r="D32" s="12">
        <f t="shared" si="4"/>
        <v>40</v>
      </c>
      <c r="E32" s="61">
        <f t="shared" si="5"/>
        <v>20</v>
      </c>
      <c r="F32" s="52"/>
      <c r="G32" s="70">
        <f>G33*v*VLOOKUP(D32,'IALM 2012-14'!$B$5:$D$119,3,FALSE)+1-(monthlyconv*(1-v*VLOOKUP(D32,'IALM 2012-14'!$B$5:$D$119,3,FALSE)))</f>
        <v>13.50740052878915</v>
      </c>
      <c r="H32" s="71">
        <f t="shared" si="0"/>
        <v>529267.33687934547</v>
      </c>
      <c r="I32" s="49"/>
      <c r="J32" s="78">
        <f>J33*v*VLOOKUP(D32,'IALM 2012-14'!$B$5:$D$119,3,FALSE)+v*VLOOKUP(D32,'IALM 2012-14'!$B$5:$D$119,2,FALSE)</f>
        <v>5.6782112806693145E-2</v>
      </c>
      <c r="K32" s="71">
        <f t="shared" si="1"/>
        <v>567821.1280669315</v>
      </c>
      <c r="L32" s="49"/>
      <c r="M32" s="86">
        <f t="shared" si="2"/>
        <v>405.22201586367447</v>
      </c>
      <c r="N32" s="13">
        <f>RenVarExp*G32*premium</f>
        <v>15878.020106380363</v>
      </c>
      <c r="O32" s="87">
        <f t="shared" si="3"/>
        <v>16283.242122244037</v>
      </c>
      <c r="P32" s="80"/>
      <c r="Q32" s="92">
        <f>((Q33*VLOOKUP(D32,'IALM 2012-14'!$B$5:$D$119,3,FALSE)+SumAssured*VLOOKUP(D32,'IALM 2012-14'!$B$5:$D$119,2,FALSE))/(1+i))-$J$5+12*RenFixedExp+$J$5*RenVarExp</f>
        <v>-5710524.5665969998</v>
      </c>
      <c r="R32" s="87">
        <f>Q33*VLOOKUP(D32,'IALM 2012-14'!$B$5:$D$119,3,FALSE)-'Term-40'!Q32*(1+i)</f>
        <v>457165.47462434042</v>
      </c>
    </row>
    <row r="33" spans="3:18">
      <c r="C33" s="62">
        <f t="shared" si="4"/>
        <v>21</v>
      </c>
      <c r="D33" s="12">
        <f t="shared" si="4"/>
        <v>41</v>
      </c>
      <c r="E33" s="61">
        <f>E32-1</f>
        <v>19</v>
      </c>
      <c r="F33" s="52"/>
      <c r="G33" s="70">
        <f>G34*v*VLOOKUP(D33,'IALM 2012-14'!$B$5:$D$119,3,FALSE)+1-(monthlyconv*(1-v*VLOOKUP(D33,'IALM 2012-14'!$B$5:$D$119,3,FALSE)))</f>
        <v>13.048721735790178</v>
      </c>
      <c r="H33" s="71">
        <f t="shared" si="0"/>
        <v>511294.69271763717</v>
      </c>
      <c r="I33" s="49"/>
      <c r="J33" s="78">
        <f>J34*v*VLOOKUP(D33,'IALM 2012-14'!$B$5:$D$119,3,FALSE)+v*VLOOKUP(D33,'IALM 2012-14'!$B$5:$D$119,2,FALSE)</f>
        <v>5.7469946829634661E-2</v>
      </c>
      <c r="K33" s="71">
        <f t="shared" si="1"/>
        <v>574699.4682963466</v>
      </c>
      <c r="L33" s="49"/>
      <c r="M33" s="86">
        <f t="shared" si="2"/>
        <v>391.46165207370535</v>
      </c>
      <c r="N33" s="13">
        <f>RenVarExp*G33*premium</f>
        <v>15338.840781529114</v>
      </c>
      <c r="O33" s="87">
        <f t="shared" si="3"/>
        <v>15730.302433602819</v>
      </c>
      <c r="P33" s="80"/>
      <c r="Q33" s="92">
        <f>((Q34*VLOOKUP(D33,'IALM 2012-14'!$B$5:$D$119,3,FALSE)+SumAssured*VLOOKUP(D33,'IALM 2012-14'!$B$5:$D$119,2,FALSE))/(1+i))-$J$5+12*RenFixedExp+$J$5*RenVarExp</f>
        <v>-5491004.962974336</v>
      </c>
      <c r="R33" s="87">
        <f>Q34*VLOOKUP(D33,'IALM 2012-14'!$B$5:$D$119,3,FALSE)-'Term-40'!Q33*(1+i)</f>
        <v>455815.47462434135</v>
      </c>
    </row>
    <row r="34" spans="3:18">
      <c r="C34" s="62">
        <f t="shared" si="4"/>
        <v>22</v>
      </c>
      <c r="D34" s="12">
        <f t="shared" si="4"/>
        <v>42</v>
      </c>
      <c r="E34" s="61">
        <f t="shared" si="5"/>
        <v>18</v>
      </c>
      <c r="F34" s="52"/>
      <c r="G34" s="70">
        <f>G35*v*VLOOKUP(D34,'IALM 2012-14'!$B$5:$D$119,3,FALSE)+1-(monthlyconv*(1-v*VLOOKUP(D34,'IALM 2012-14'!$B$5:$D$119,3,FALSE)))</f>
        <v>12.572655182711742</v>
      </c>
      <c r="H34" s="71">
        <f t="shared" si="0"/>
        <v>492640.73511949519</v>
      </c>
      <c r="I34" s="49"/>
      <c r="J34" s="78">
        <f>J35*v*VLOOKUP(D34,'IALM 2012-14'!$B$5:$D$119,3,FALSE)+v*VLOOKUP(D34,'IALM 2012-14'!$B$5:$D$119,2,FALSE)</f>
        <v>5.805912200926687E-2</v>
      </c>
      <c r="K34" s="71">
        <f t="shared" si="1"/>
        <v>580591.22009266866</v>
      </c>
      <c r="L34" s="49"/>
      <c r="M34" s="86">
        <f t="shared" si="2"/>
        <v>377.17965548135226</v>
      </c>
      <c r="N34" s="13">
        <f>RenVarExp*G34*premium</f>
        <v>14779.222053584854</v>
      </c>
      <c r="O34" s="87">
        <f t="shared" si="3"/>
        <v>15156.401709066206</v>
      </c>
      <c r="P34" s="80"/>
      <c r="Q34" s="92">
        <f>((Q35*VLOOKUP(D34,'IALM 2012-14'!$B$5:$D$119,3,FALSE)+SumAssured*VLOOKUP(D34,'IALM 2012-14'!$B$5:$D$119,2,FALSE))/(1+i))-$J$5+12*RenFixedExp+$J$5*RenVarExp</f>
        <v>-5264384.5448178127</v>
      </c>
      <c r="R34" s="87">
        <f>Q35*VLOOKUP(D34,'IALM 2012-14'!$B$5:$D$119,3,FALSE)-'Term-40'!Q34*(1+i)</f>
        <v>454275.47462434135</v>
      </c>
    </row>
    <row r="35" spans="3:18">
      <c r="C35" s="62">
        <f t="shared" si="4"/>
        <v>23</v>
      </c>
      <c r="D35" s="12">
        <f t="shared" si="4"/>
        <v>43</v>
      </c>
      <c r="E35" s="61">
        <f t="shared" si="5"/>
        <v>17</v>
      </c>
      <c r="F35" s="52"/>
      <c r="G35" s="70">
        <f>G36*v*VLOOKUP(D35,'IALM 2012-14'!$B$5:$D$119,3,FALSE)+1-(monthlyconv*(1-v*VLOOKUP(D35,'IALM 2012-14'!$B$5:$D$119,3,FALSE)))</f>
        <v>12.078579905520849</v>
      </c>
      <c r="H35" s="71">
        <f t="shared" si="0"/>
        <v>473281.13253575587</v>
      </c>
      <c r="I35" s="49"/>
      <c r="J35" s="78">
        <f>J36*v*VLOOKUP(D35,'IALM 2012-14'!$B$5:$D$119,3,FALSE)+v*VLOOKUP(D35,'IALM 2012-14'!$B$5:$D$119,2,FALSE)</f>
        <v>5.8527727986042062E-2</v>
      </c>
      <c r="K35" s="71">
        <f t="shared" si="1"/>
        <v>585277.27986042062</v>
      </c>
      <c r="L35" s="49"/>
      <c r="M35" s="86">
        <f t="shared" si="2"/>
        <v>362.35739716562546</v>
      </c>
      <c r="N35" s="13">
        <f>RenVarExp*G35*premium</f>
        <v>14198.433976072674</v>
      </c>
      <c r="O35" s="87">
        <f t="shared" si="3"/>
        <v>14560.7913732383</v>
      </c>
      <c r="P35" s="80"/>
      <c r="Q35" s="92">
        <f>((Q36*VLOOKUP(D35,'IALM 2012-14'!$B$5:$D$119,3,FALSE)+SumAssured*VLOOKUP(D35,'IALM 2012-14'!$B$5:$D$119,2,FALSE))/(1+i))-$J$5+12*RenFixedExp+$J$5*RenVarExp</f>
        <v>-5030589.6830721535</v>
      </c>
      <c r="R35" s="87">
        <f>Q36*VLOOKUP(D35,'IALM 2012-14'!$B$5:$D$119,3,FALSE)-'Term-40'!Q35*(1+i)</f>
        <v>452525.47462434042</v>
      </c>
    </row>
    <row r="36" spans="3:18">
      <c r="C36" s="62">
        <f t="shared" si="4"/>
        <v>24</v>
      </c>
      <c r="D36" s="12">
        <f t="shared" si="4"/>
        <v>44</v>
      </c>
      <c r="E36" s="61">
        <f t="shared" si="5"/>
        <v>16</v>
      </c>
      <c r="F36" s="52"/>
      <c r="G36" s="70">
        <f>G37*v*VLOOKUP(D36,'IALM 2012-14'!$B$5:$D$119,3,FALSE)+1-(monthlyconv*(1-v*VLOOKUP(D36,'IALM 2012-14'!$B$5:$D$119,3,FALSE)))</f>
        <v>11.5658362546717</v>
      </c>
      <c r="H36" s="71">
        <f t="shared" si="0"/>
        <v>453190.03758315439</v>
      </c>
      <c r="I36" s="49"/>
      <c r="J36" s="78">
        <f>J37*v*VLOOKUP(D36,'IALM 2012-14'!$B$5:$D$119,3,FALSE)+v*VLOOKUP(D36,'IALM 2012-14'!$B$5:$D$119,2,FALSE)</f>
        <v>5.8851013678811119E-2</v>
      </c>
      <c r="K36" s="71">
        <f t="shared" si="1"/>
        <v>588510.13678811118</v>
      </c>
      <c r="L36" s="49"/>
      <c r="M36" s="86">
        <f t="shared" si="2"/>
        <v>346.975087640151</v>
      </c>
      <c r="N36" s="13">
        <f>RenVarExp*G36*premium</f>
        <v>13595.701127494631</v>
      </c>
      <c r="O36" s="87">
        <f t="shared" si="3"/>
        <v>13942.676215134781</v>
      </c>
      <c r="P36" s="80"/>
      <c r="Q36" s="92">
        <f>((Q37*VLOOKUP(D36,'IALM 2012-14'!$B$5:$D$119,3,FALSE)+SumAssured*VLOOKUP(D36,'IALM 2012-14'!$B$5:$D$119,2,FALSE))/(1+i))-$J$5+12*RenFixedExp+$J$5*RenVarExp</f>
        <v>-4789556.605132103</v>
      </c>
      <c r="R36" s="87">
        <f>Q37*VLOOKUP(D36,'IALM 2012-14'!$B$5:$D$119,3,FALSE)-'Term-40'!Q36*(1+i)</f>
        <v>450515.47462434042</v>
      </c>
    </row>
    <row r="37" spans="3:18">
      <c r="C37" s="62">
        <f t="shared" si="4"/>
        <v>25</v>
      </c>
      <c r="D37" s="12">
        <f t="shared" si="4"/>
        <v>45</v>
      </c>
      <c r="E37" s="61">
        <f t="shared" si="5"/>
        <v>15</v>
      </c>
      <c r="F37" s="52"/>
      <c r="G37" s="70">
        <f>G38*v*VLOOKUP(D37,'IALM 2012-14'!$B$5:$D$119,3,FALSE)+1-(monthlyconv*(1-v*VLOOKUP(D37,'IALM 2012-14'!$B$5:$D$119,3,FALSE)))</f>
        <v>11.033751978247558</v>
      </c>
      <c r="H37" s="71">
        <f t="shared" si="0"/>
        <v>432341.10907332331</v>
      </c>
      <c r="I37" s="49"/>
      <c r="J37" s="78">
        <f>J38*v*VLOOKUP(D37,'IALM 2012-14'!$B$5:$D$119,3,FALSE)+v*VLOOKUP(D37,'IALM 2012-14'!$B$5:$D$119,2,FALSE)</f>
        <v>5.8998405486830184E-2</v>
      </c>
      <c r="K37" s="71">
        <f t="shared" si="1"/>
        <v>589984.05486830184</v>
      </c>
      <c r="L37" s="49"/>
      <c r="M37" s="86">
        <f t="shared" si="2"/>
        <v>331.01255934742676</v>
      </c>
      <c r="N37" s="13">
        <f>RenVarExp*G37*premium</f>
        <v>12970.233272199699</v>
      </c>
      <c r="O37" s="87">
        <f t="shared" si="3"/>
        <v>13301.245831547127</v>
      </c>
      <c r="P37" s="80"/>
      <c r="Q37" s="92">
        <f>((Q38*VLOOKUP(D37,'IALM 2012-14'!$B$5:$D$119,3,FALSE)+SumAssured*VLOOKUP(D37,'IALM 2012-14'!$B$5:$D$119,2,FALSE))/(1+i))-$J$5+12*RenFixedExp+$J$5*RenVarExp</f>
        <v>-4541272.6791456435</v>
      </c>
      <c r="R37" s="87">
        <f>Q38*VLOOKUP(D37,'IALM 2012-14'!$B$5:$D$119,3,FALSE)-'Term-40'!Q37*(1+i)</f>
        <v>448175.47462434135</v>
      </c>
    </row>
    <row r="38" spans="3:18">
      <c r="C38" s="62">
        <f t="shared" si="4"/>
        <v>26</v>
      </c>
      <c r="D38" s="12">
        <f t="shared" si="4"/>
        <v>46</v>
      </c>
      <c r="E38" s="61">
        <f t="shared" si="5"/>
        <v>14</v>
      </c>
      <c r="F38" s="52"/>
      <c r="G38" s="70">
        <f>G39*v*VLOOKUP(D38,'IALM 2012-14'!$B$5:$D$119,3,FALSE)+1-(monthlyconv*(1-v*VLOOKUP(D38,'IALM 2012-14'!$B$5:$D$119,3,FALSE)))</f>
        <v>10.481649606713177</v>
      </c>
      <c r="H38" s="71">
        <f t="shared" si="0"/>
        <v>410707.80137329857</v>
      </c>
      <c r="I38" s="49"/>
      <c r="J38" s="78">
        <f>J39*v*VLOOKUP(D38,'IALM 2012-14'!$B$5:$D$119,3,FALSE)+v*VLOOKUP(D38,'IALM 2012-14'!$B$5:$D$119,2,FALSE)</f>
        <v>5.8931325595012934E-2</v>
      </c>
      <c r="K38" s="71">
        <f t="shared" si="1"/>
        <v>589313.25595012936</v>
      </c>
      <c r="L38" s="49"/>
      <c r="M38" s="86">
        <f t="shared" si="2"/>
        <v>314.4494882013953</v>
      </c>
      <c r="N38" s="13">
        <f>RenVarExp*G38*premium</f>
        <v>12321.234041198957</v>
      </c>
      <c r="O38" s="87">
        <f t="shared" si="3"/>
        <v>12635.683529400352</v>
      </c>
      <c r="P38" s="80"/>
      <c r="Q38" s="92">
        <f>((Q39*VLOOKUP(D38,'IALM 2012-14'!$B$5:$D$119,3,FALSE)+SumAssured*VLOOKUP(D38,'IALM 2012-14'!$B$5:$D$119,2,FALSE))/(1+i))-$J$5+12*RenFixedExp+$J$5*RenVarExp</f>
        <v>-4285801.1929637818</v>
      </c>
      <c r="R38" s="87">
        <f>Q39*VLOOKUP(D38,'IALM 2012-14'!$B$5:$D$119,3,FALSE)-'Term-40'!Q38*(1+i)</f>
        <v>445455.47462434089</v>
      </c>
    </row>
    <row r="39" spans="3:18">
      <c r="C39" s="62">
        <f t="shared" si="4"/>
        <v>27</v>
      </c>
      <c r="D39" s="12">
        <f t="shared" si="4"/>
        <v>47</v>
      </c>
      <c r="E39" s="61">
        <f t="shared" si="5"/>
        <v>13</v>
      </c>
      <c r="F39" s="52"/>
      <c r="G39" s="70">
        <f>G40*v*VLOOKUP(D39,'IALM 2012-14'!$B$5:$D$119,3,FALSE)+1-(monthlyconv*(1-v*VLOOKUP(D39,'IALM 2012-14'!$B$5:$D$119,3,FALSE)))</f>
        <v>9.9088056375209437</v>
      </c>
      <c r="H39" s="71">
        <f t="shared" si="0"/>
        <v>388261.76511520694</v>
      </c>
      <c r="I39" s="49"/>
      <c r="J39" s="78">
        <f>J40*v*VLOOKUP(D39,'IALM 2012-14'!$B$5:$D$119,3,FALSE)+v*VLOOKUP(D39,'IALM 2012-14'!$B$5:$D$119,2,FALSE)</f>
        <v>5.8604660505915833E-2</v>
      </c>
      <c r="K39" s="71">
        <f t="shared" si="1"/>
        <v>586046.60505915829</v>
      </c>
      <c r="L39" s="49"/>
      <c r="M39" s="86">
        <f t="shared" si="2"/>
        <v>297.26416912562831</v>
      </c>
      <c r="N39" s="13">
        <f>RenVarExp*G39*premium</f>
        <v>11647.852953456208</v>
      </c>
      <c r="O39" s="87">
        <f t="shared" si="3"/>
        <v>11945.117122581836</v>
      </c>
      <c r="P39" s="80"/>
      <c r="Q39" s="92">
        <f>((Q40*VLOOKUP(D39,'IALM 2012-14'!$B$5:$D$119,3,FALSE)+SumAssured*VLOOKUP(D39,'IALM 2012-14'!$B$5:$D$119,2,FALSE))/(1+i))-$J$5+12*RenFixedExp+$J$5*RenVarExp</f>
        <v>-4023248.0462378161</v>
      </c>
      <c r="R39" s="87">
        <f>Q40*VLOOKUP(D39,'IALM 2012-14'!$B$5:$D$119,3,FALSE)-'Term-40'!Q39*(1+i)</f>
        <v>442285.47462434135</v>
      </c>
    </row>
    <row r="40" spans="3:18">
      <c r="C40" s="62">
        <f t="shared" si="4"/>
        <v>28</v>
      </c>
      <c r="D40" s="12">
        <f t="shared" si="4"/>
        <v>48</v>
      </c>
      <c r="E40" s="61">
        <f t="shared" si="5"/>
        <v>12</v>
      </c>
      <c r="F40" s="52"/>
      <c r="G40" s="70">
        <f>G41*v*VLOOKUP(D40,'IALM 2012-14'!$B$5:$D$119,3,FALSE)+1-(monthlyconv*(1-v*VLOOKUP(D40,'IALM 2012-14'!$B$5:$D$119,3,FALSE)))</f>
        <v>9.3144513783216389</v>
      </c>
      <c r="H40" s="71">
        <f t="shared" si="0"/>
        <v>364972.88023622188</v>
      </c>
      <c r="I40" s="49"/>
      <c r="J40" s="78">
        <f>J41*v*VLOOKUP(D40,'IALM 2012-14'!$B$5:$D$119,3,FALSE)+v*VLOOKUP(D40,'IALM 2012-14'!$B$5:$D$119,2,FALSE)</f>
        <v>5.7964478393703722E-2</v>
      </c>
      <c r="K40" s="71">
        <f t="shared" si="1"/>
        <v>579644.78393703722</v>
      </c>
      <c r="L40" s="49"/>
      <c r="M40" s="86">
        <f t="shared" si="2"/>
        <v>279.43354134964915</v>
      </c>
      <c r="N40" s="13">
        <f>RenVarExp*G40*premium</f>
        <v>10949.186407086656</v>
      </c>
      <c r="O40" s="87">
        <f t="shared" si="3"/>
        <v>11228.619948436304</v>
      </c>
      <c r="P40" s="80"/>
      <c r="Q40" s="92">
        <f>((Q41*VLOOKUP(D40,'IALM 2012-14'!$B$5:$D$119,3,FALSE)+SumAssured*VLOOKUP(D40,'IALM 2012-14'!$B$5:$D$119,2,FALSE))/(1+i))-$J$5+12*RenFixedExp+$J$5*RenVarExp</f>
        <v>-3753784.4827041943</v>
      </c>
      <c r="R40" s="87">
        <f>Q41*VLOOKUP(D40,'IALM 2012-14'!$B$5:$D$119,3,FALSE)-'Term-40'!Q40*(1+i)</f>
        <v>438605.47462434089</v>
      </c>
    </row>
    <row r="41" spans="3:18">
      <c r="C41" s="62">
        <f t="shared" si="4"/>
        <v>29</v>
      </c>
      <c r="D41" s="12">
        <f t="shared" si="4"/>
        <v>49</v>
      </c>
      <c r="E41" s="61">
        <f t="shared" si="5"/>
        <v>11</v>
      </c>
      <c r="F41" s="52"/>
      <c r="G41" s="70">
        <f>G42*v*VLOOKUP(D41,'IALM 2012-14'!$B$5:$D$119,3,FALSE)+1-(monthlyconv*(1-v*VLOOKUP(D41,'IALM 2012-14'!$B$5:$D$119,3,FALSE)))</f>
        <v>8.6977386372759131</v>
      </c>
      <c r="H41" s="71">
        <f t="shared" si="0"/>
        <v>340807.91160460818</v>
      </c>
      <c r="I41" s="49"/>
      <c r="J41" s="78">
        <f>J42*v*VLOOKUP(D41,'IALM 2012-14'!$B$5:$D$119,3,FALSE)+v*VLOOKUP(D41,'IALM 2012-14'!$B$5:$D$119,2,FALSE)</f>
        <v>5.6948427167917627E-2</v>
      </c>
      <c r="K41" s="71">
        <f t="shared" si="1"/>
        <v>569484.27167917625</v>
      </c>
      <c r="L41" s="49"/>
      <c r="M41" s="86">
        <f t="shared" si="2"/>
        <v>260.93215911827741</v>
      </c>
      <c r="N41" s="13">
        <f>RenVarExp*G41*premium</f>
        <v>10224.237348138244</v>
      </c>
      <c r="O41" s="87">
        <f t="shared" si="3"/>
        <v>10485.169507256522</v>
      </c>
      <c r="P41" s="80"/>
      <c r="Q41" s="92">
        <f>((Q42*VLOOKUP(D41,'IALM 2012-14'!$B$5:$D$119,3,FALSE)+SumAssured*VLOOKUP(D41,'IALM 2012-14'!$B$5:$D$119,2,FALSE))/(1+i))-$J$5+12*RenFixedExp+$J$5*RenVarExp</f>
        <v>-3477627.2774410527</v>
      </c>
      <c r="R41" s="87">
        <f>Q42*VLOOKUP(D41,'IALM 2012-14'!$B$5:$D$119,3,FALSE)-'Term-40'!Q41*(1+i)</f>
        <v>434385.47462434089</v>
      </c>
    </row>
    <row r="42" spans="3:18">
      <c r="C42" s="62">
        <f t="shared" si="4"/>
        <v>30</v>
      </c>
      <c r="D42" s="12">
        <f t="shared" si="4"/>
        <v>50</v>
      </c>
      <c r="E42" s="61">
        <f t="shared" si="5"/>
        <v>10</v>
      </c>
      <c r="F42" s="52"/>
      <c r="G42" s="70">
        <f>G43*v*VLOOKUP(D42,'IALM 2012-14'!$B$5:$D$119,3,FALSE)+1-(monthlyconv*(1-v*VLOOKUP(D42,'IALM 2012-14'!$B$5:$D$119,3,FALSE)))</f>
        <v>8.0576879282536442</v>
      </c>
      <c r="H42" s="71">
        <f t="shared" si="0"/>
        <v>315728.47951773566</v>
      </c>
      <c r="I42" s="49"/>
      <c r="J42" s="78">
        <f>J43*v*VLOOKUP(D42,'IALM 2012-14'!$B$5:$D$119,3,FALSE)+v*VLOOKUP(D42,'IALM 2012-14'!$B$5:$D$119,2,FALSE)</f>
        <v>5.5487985702043024E-2</v>
      </c>
      <c r="K42" s="71">
        <f t="shared" si="1"/>
        <v>554879.85702043027</v>
      </c>
      <c r="L42" s="49"/>
      <c r="M42" s="86">
        <f t="shared" si="2"/>
        <v>241.73063784760933</v>
      </c>
      <c r="N42" s="13">
        <f>RenVarExp*G42*premium</f>
        <v>9471.8543855320695</v>
      </c>
      <c r="O42" s="87">
        <f t="shared" ref="O13:O52" si="6">M42+N42</f>
        <v>9713.5850233796791</v>
      </c>
      <c r="P42" s="80"/>
      <c r="Q42" s="92">
        <f>((Q43*VLOOKUP(D42,'IALM 2012-14'!$B$5:$D$119,3,FALSE)+SumAssured*VLOOKUP(D42,'IALM 2012-14'!$B$5:$D$119,2,FALSE))/(1+i))-$J$5+12*RenFixedExp+$J$5*RenVarExp</f>
        <v>-3194992.6749216942</v>
      </c>
      <c r="R42" s="87">
        <f>Q43*VLOOKUP(D42,'IALM 2012-14'!$B$5:$D$119,3,FALSE)-'Term-40'!Q42*(1+i)</f>
        <v>429605.47462434089</v>
      </c>
    </row>
    <row r="43" spans="3:18">
      <c r="C43" s="62">
        <f t="shared" si="4"/>
        <v>31</v>
      </c>
      <c r="D43" s="12">
        <f t="shared" si="4"/>
        <v>51</v>
      </c>
      <c r="E43" s="61">
        <f t="shared" si="5"/>
        <v>9</v>
      </c>
      <c r="F43" s="52"/>
      <c r="G43" s="70">
        <f>G44*v*VLOOKUP(D43,'IALM 2012-14'!$B$5:$D$119,3,FALSE)+1-(monthlyconv*(1-v*VLOOKUP(D43,'IALM 2012-14'!$B$5:$D$119,3,FALSE)))</f>
        <v>7.3931579942462653</v>
      </c>
      <c r="H43" s="71">
        <f t="shared" si="0"/>
        <v>289689.86552246223</v>
      </c>
      <c r="I43" s="49"/>
      <c r="J43" s="78">
        <f>J44*v*VLOOKUP(D43,'IALM 2012-14'!$B$5:$D$119,3,FALSE)+v*VLOOKUP(D43,'IALM 2012-14'!$B$5:$D$119,2,FALSE)</f>
        <v>5.3508870479572132E-2</v>
      </c>
      <c r="K43" s="71">
        <f t="shared" si="1"/>
        <v>535088.70479572134</v>
      </c>
      <c r="L43" s="49"/>
      <c r="M43" s="86">
        <f t="shared" si="2"/>
        <v>221.79473982738796</v>
      </c>
      <c r="N43" s="13">
        <f>RenVarExp*G43*premium</f>
        <v>8690.6959656738672</v>
      </c>
      <c r="O43" s="87">
        <f t="shared" si="6"/>
        <v>8912.4907055012554</v>
      </c>
      <c r="P43" s="80"/>
      <c r="Q43" s="92">
        <f>((Q44*VLOOKUP(D43,'IALM 2012-14'!$B$5:$D$119,3,FALSE)+SumAssured*VLOOKUP(D43,'IALM 2012-14'!$B$5:$D$119,2,FALSE))/(1+i))-$J$5+12*RenFixedExp+$J$5*RenVarExp</f>
        <v>-2906078.2705021687</v>
      </c>
      <c r="R43" s="87">
        <f>Q44*VLOOKUP(D43,'IALM 2012-14'!$B$5:$D$119,3,FALSE)-'Term-40'!Q43*(1+i)</f>
        <v>424275.47462434042</v>
      </c>
    </row>
    <row r="44" spans="3:18">
      <c r="C44" s="62">
        <f t="shared" si="4"/>
        <v>32</v>
      </c>
      <c r="D44" s="12">
        <f t="shared" si="4"/>
        <v>52</v>
      </c>
      <c r="E44" s="61">
        <f t="shared" si="5"/>
        <v>8</v>
      </c>
      <c r="F44" s="52"/>
      <c r="G44" s="70">
        <f>G45*v*VLOOKUP(D44,'IALM 2012-14'!$B$5:$D$119,3,FALSE)+1-(monthlyconv*(1-v*VLOOKUP(D44,'IALM 2012-14'!$B$5:$D$119,3,FALSE)))</f>
        <v>6.7028013254690384</v>
      </c>
      <c r="H44" s="71">
        <f t="shared" si="0"/>
        <v>262639.26945833757</v>
      </c>
      <c r="I44" s="49"/>
      <c r="J44" s="78">
        <f>J45*v*VLOOKUP(D44,'IALM 2012-14'!$B$5:$D$119,3,FALSE)+v*VLOOKUP(D44,'IALM 2012-14'!$B$5:$D$119,2,FALSE)</f>
        <v>5.0933312930707707E-2</v>
      </c>
      <c r="K44" s="71">
        <f t="shared" si="1"/>
        <v>509333.12930707709</v>
      </c>
      <c r="L44" s="49"/>
      <c r="M44" s="86">
        <f t="shared" si="2"/>
        <v>201.08403976407115</v>
      </c>
      <c r="N44" s="13">
        <f>RenVarExp*G44*premium</f>
        <v>7879.1780837501265</v>
      </c>
      <c r="O44" s="87">
        <f t="shared" si="6"/>
        <v>8080.2621235141978</v>
      </c>
      <c r="P44" s="80"/>
      <c r="Q44" s="92">
        <f>((Q45*VLOOKUP(D44,'IALM 2012-14'!$B$5:$D$119,3,FALSE)+SumAssured*VLOOKUP(D44,'IALM 2012-14'!$B$5:$D$119,2,FALSE))/(1+i))-$J$5+12*RenFixedExp+$J$5*RenVarExp</f>
        <v>-2611020.0855027782</v>
      </c>
      <c r="R44" s="87">
        <f>Q45*VLOOKUP(D44,'IALM 2012-14'!$B$5:$D$119,3,FALSE)-'Term-40'!Q44*(1+i)</f>
        <v>418465.47462434089</v>
      </c>
    </row>
    <row r="45" spans="3:18">
      <c r="C45" s="62">
        <f t="shared" si="4"/>
        <v>33</v>
      </c>
      <c r="D45" s="12">
        <f t="shared" si="4"/>
        <v>53</v>
      </c>
      <c r="E45" s="61">
        <f t="shared" si="5"/>
        <v>7</v>
      </c>
      <c r="F45" s="52"/>
      <c r="G45" s="70">
        <f>G46*v*VLOOKUP(D45,'IALM 2012-14'!$B$5:$D$119,3,FALSE)+1-(monthlyconv*(1-v*VLOOKUP(D45,'IALM 2012-14'!$B$5:$D$119,3,FALSE)))</f>
        <v>5.9850072520701225</v>
      </c>
      <c r="H45" s="71">
        <f t="shared" si="0"/>
        <v>234513.5796303128</v>
      </c>
      <c r="I45" s="49"/>
      <c r="J45" s="78">
        <f>J46*v*VLOOKUP(D45,'IALM 2012-14'!$B$5:$D$119,3,FALSE)+v*VLOOKUP(D45,'IALM 2012-14'!$B$5:$D$119,2,FALSE)</f>
        <v>4.7685298856590098E-2</v>
      </c>
      <c r="K45" s="71">
        <f t="shared" si="1"/>
        <v>476852.988565901</v>
      </c>
      <c r="L45" s="49"/>
      <c r="M45" s="86">
        <f t="shared" si="2"/>
        <v>179.55021756210368</v>
      </c>
      <c r="N45" s="13">
        <f>RenVarExp*G45*premium</f>
        <v>7035.4073889093843</v>
      </c>
      <c r="O45" s="87">
        <f t="shared" si="6"/>
        <v>7214.9576064714884</v>
      </c>
      <c r="P45" s="80"/>
      <c r="Q45" s="92">
        <f>((Q46*VLOOKUP(D45,'IALM 2012-14'!$B$5:$D$119,3,FALSE)+SumAssured*VLOOKUP(D45,'IALM 2012-14'!$B$5:$D$119,2,FALSE))/(1+i))-$J$5+12*RenFixedExp+$J$5*RenVarExp</f>
        <v>-2309814.8869209597</v>
      </c>
      <c r="R45" s="87">
        <f>Q46*VLOOKUP(D45,'IALM 2012-14'!$B$5:$D$119,3,FALSE)-'Term-40'!Q45*(1+i)</f>
        <v>412225.47462434112</v>
      </c>
    </row>
    <row r="46" spans="3:18">
      <c r="C46" s="62">
        <f t="shared" si="4"/>
        <v>34</v>
      </c>
      <c r="D46" s="12">
        <f t="shared" si="4"/>
        <v>54</v>
      </c>
      <c r="E46" s="61">
        <f t="shared" si="5"/>
        <v>6</v>
      </c>
      <c r="F46" s="52"/>
      <c r="G46" s="70">
        <f>G47*v*VLOOKUP(D46,'IALM 2012-14'!$B$5:$D$119,3,FALSE)+1-(monthlyconv*(1-v*VLOOKUP(D46,'IALM 2012-14'!$B$5:$D$119,3,FALSE)))</f>
        <v>5.2379094786071825</v>
      </c>
      <c r="H46" s="71">
        <f t="shared" si="0"/>
        <v>205239.66803596509</v>
      </c>
      <c r="I46" s="49"/>
      <c r="J46" s="78">
        <f>J47*v*VLOOKUP(D46,'IALM 2012-14'!$B$5:$D$119,3,FALSE)+v*VLOOKUP(D46,'IALM 2012-14'!$B$5:$D$119,2,FALSE)</f>
        <v>4.36884432595381E-2</v>
      </c>
      <c r="K46" s="71">
        <f t="shared" si="1"/>
        <v>436884.43259538099</v>
      </c>
      <c r="L46" s="49"/>
      <c r="M46" s="86">
        <f t="shared" si="2"/>
        <v>157.13728435821548</v>
      </c>
      <c r="N46" s="13">
        <f>RenVarExp*G46*premium</f>
        <v>6157.1900410789531</v>
      </c>
      <c r="O46" s="87">
        <f t="shared" si="6"/>
        <v>6314.3273254371688</v>
      </c>
      <c r="P46" s="80"/>
      <c r="Q46" s="92">
        <f>((Q47*VLOOKUP(D46,'IALM 2012-14'!$B$5:$D$119,3,FALSE)+SumAssured*VLOOKUP(D46,'IALM 2012-14'!$B$5:$D$119,2,FALSE))/(1+i))-$J$5+12*RenFixedExp+$J$5*RenVarExp</f>
        <v>-2002344.4826090853</v>
      </c>
      <c r="R46" s="87">
        <f>Q47*VLOOKUP(D46,'IALM 2012-14'!$B$5:$D$119,3,FALSE)-'Term-40'!Q46*(1+i)</f>
        <v>405655.47462434135</v>
      </c>
    </row>
    <row r="47" spans="3:18">
      <c r="C47" s="62">
        <f t="shared" si="4"/>
        <v>35</v>
      </c>
      <c r="D47" s="12">
        <f t="shared" si="4"/>
        <v>55</v>
      </c>
      <c r="E47" s="61">
        <f t="shared" si="5"/>
        <v>5</v>
      </c>
      <c r="F47" s="52"/>
      <c r="G47" s="70">
        <f>G48*v*VLOOKUP(D47,'IALM 2012-14'!$B$5:$D$119,3,FALSE)+1-(monthlyconv*(1-v*VLOOKUP(D47,'IALM 2012-14'!$B$5:$D$119,3,FALSE)))</f>
        <v>4.4593518989062328</v>
      </c>
      <c r="H47" s="71">
        <f t="shared" si="0"/>
        <v>174733.05087174533</v>
      </c>
      <c r="I47" s="49"/>
      <c r="J47" s="78">
        <f>J48*v*VLOOKUP(D47,'IALM 2012-14'!$B$5:$D$119,3,FALSE)+v*VLOOKUP(D47,'IALM 2012-14'!$B$5:$D$119,2,FALSE)</f>
        <v>3.8870505412391676E-2</v>
      </c>
      <c r="K47" s="71">
        <f t="shared" si="1"/>
        <v>388705.05412391678</v>
      </c>
      <c r="L47" s="49"/>
      <c r="M47" s="86">
        <f t="shared" si="2"/>
        <v>133.78055696718698</v>
      </c>
      <c r="N47" s="13">
        <f>RenVarExp*G47*premium</f>
        <v>5241.9915261523602</v>
      </c>
      <c r="O47" s="87">
        <f t="shared" si="6"/>
        <v>5375.7720831195475</v>
      </c>
      <c r="P47" s="80"/>
      <c r="Q47" s="92">
        <f>((Q48*VLOOKUP(D47,'IALM 2012-14'!$B$5:$D$119,3,FALSE)+SumAssured*VLOOKUP(D47,'IALM 2012-14'!$B$5:$D$119,2,FALSE))/(1+i))-$J$5+12*RenFixedExp+$J$5*RenVarExp</f>
        <v>-1688315.6716420946</v>
      </c>
      <c r="R47" s="87">
        <f>Q48*VLOOKUP(D47,'IALM 2012-14'!$B$5:$D$119,3,FALSE)-'Term-40'!Q47*(1+i)</f>
        <v>398835.47462434135</v>
      </c>
    </row>
    <row r="48" spans="3:18">
      <c r="C48" s="62">
        <f t="shared" si="4"/>
        <v>36</v>
      </c>
      <c r="D48" s="12">
        <f t="shared" si="4"/>
        <v>56</v>
      </c>
      <c r="E48" s="61">
        <f t="shared" si="5"/>
        <v>4</v>
      </c>
      <c r="F48" s="52"/>
      <c r="G48" s="70">
        <f>G49*v*VLOOKUP(D48,'IALM 2012-14'!$B$5:$D$119,3,FALSE)+1-(monthlyconv*(1-v*VLOOKUP(D48,'IALM 2012-14'!$B$5:$D$119,3,FALSE)))</f>
        <v>3.6469019408104577</v>
      </c>
      <c r="H48" s="71">
        <f t="shared" si="0"/>
        <v>142898.41142705022</v>
      </c>
      <c r="I48" s="49"/>
      <c r="J48" s="78">
        <f>J49*v*VLOOKUP(D48,'IALM 2012-14'!$B$5:$D$119,3,FALSE)+v*VLOOKUP(D48,'IALM 2012-14'!$B$5:$D$119,2,FALSE)</f>
        <v>3.3161467735987819E-2</v>
      </c>
      <c r="K48" s="71">
        <f t="shared" si="1"/>
        <v>331614.6773598782</v>
      </c>
      <c r="L48" s="49"/>
      <c r="M48" s="86">
        <f t="shared" si="2"/>
        <v>109.40705822431373</v>
      </c>
      <c r="N48" s="13">
        <f>RenVarExp*G48*premium</f>
        <v>4286.9523428115053</v>
      </c>
      <c r="O48" s="87">
        <f t="shared" si="6"/>
        <v>4396.3594010358192</v>
      </c>
      <c r="P48" s="80"/>
      <c r="Q48" s="92">
        <f>((Q49*VLOOKUP(D48,'IALM 2012-14'!$B$5:$D$119,3,FALSE)+SumAssured*VLOOKUP(D48,'IALM 2012-14'!$B$5:$D$119,2,FALSE))/(1+i))-$J$5+12*RenFixedExp+$J$5*RenVarExp</f>
        <v>-1367285.2378755964</v>
      </c>
      <c r="R48" s="87">
        <f>Q49*VLOOKUP(D48,'IALM 2012-14'!$B$5:$D$119,3,FALSE)-'Term-40'!Q48*(1+i)</f>
        <v>391845.47462434135</v>
      </c>
    </row>
    <row r="49" spans="3:18">
      <c r="C49" s="62">
        <f t="shared" si="4"/>
        <v>37</v>
      </c>
      <c r="D49" s="12">
        <f t="shared" si="4"/>
        <v>57</v>
      </c>
      <c r="E49" s="61">
        <f t="shared" si="5"/>
        <v>3</v>
      </c>
      <c r="F49" s="52"/>
      <c r="G49" s="70">
        <f>G50*v*VLOOKUP(D49,'IALM 2012-14'!$B$5:$D$119,3,FALSE)+1-(monthlyconv*(1-v*VLOOKUP(D49,'IALM 2012-14'!$B$5:$D$119,3,FALSE)))</f>
        <v>2.7978511386602212</v>
      </c>
      <c r="H49" s="71">
        <f t="shared" si="0"/>
        <v>109629.62251599751</v>
      </c>
      <c r="I49" s="49"/>
      <c r="J49" s="78">
        <f>J50*v*VLOOKUP(D49,'IALM 2012-14'!$B$5:$D$119,3,FALSE)+v*VLOOKUP(D49,'IALM 2012-14'!$B$5:$D$119,2,FALSE)</f>
        <v>2.6493490993465672E-2</v>
      </c>
      <c r="K49" s="71">
        <f t="shared" si="1"/>
        <v>264934.90993465669</v>
      </c>
      <c r="L49" s="49"/>
      <c r="M49" s="86">
        <f t="shared" si="2"/>
        <v>83.935534159806636</v>
      </c>
      <c r="N49" s="13">
        <f>RenVarExp*G49*premium</f>
        <v>3288.888675479925</v>
      </c>
      <c r="O49" s="87">
        <f t="shared" si="6"/>
        <v>3372.8242096397316</v>
      </c>
      <c r="P49" s="80"/>
      <c r="Q49" s="92">
        <f>((Q50*VLOOKUP(D49,'IALM 2012-14'!$B$5:$D$119,3,FALSE)+SumAssured*VLOOKUP(D49,'IALM 2012-14'!$B$5:$D$119,2,FALSE))/(1+i))-$J$5+12*RenFixedExp+$J$5*RenVarExp</f>
        <v>-1038660.6540573983</v>
      </c>
      <c r="R49" s="87">
        <f>Q50*VLOOKUP(D49,'IALM 2012-14'!$B$5:$D$119,3,FALSE)-'Term-40'!Q49*(1+i)</f>
        <v>384715.474624341</v>
      </c>
    </row>
    <row r="50" spans="3:18">
      <c r="C50" s="62">
        <f t="shared" si="4"/>
        <v>38</v>
      </c>
      <c r="D50" s="12">
        <f t="shared" si="4"/>
        <v>58</v>
      </c>
      <c r="E50" s="61">
        <f t="shared" si="5"/>
        <v>2</v>
      </c>
      <c r="F50" s="52"/>
      <c r="G50" s="70">
        <f>G51*v*VLOOKUP(D50,'IALM 2012-14'!$B$5:$D$119,3,FALSE)+1-(monthlyconv*(1-v*VLOOKUP(D50,'IALM 2012-14'!$B$5:$D$119,3,FALSE)))</f>
        <v>1.9092290114673092</v>
      </c>
      <c r="H50" s="71">
        <f t="shared" si="0"/>
        <v>74810.290272977654</v>
      </c>
      <c r="I50" s="49"/>
      <c r="J50" s="78">
        <f>J51*v*VLOOKUP(D50,'IALM 2012-14'!$B$5:$D$119,3,FALSE)+v*VLOOKUP(D50,'IALM 2012-14'!$B$5:$D$119,2,FALSE)</f>
        <v>1.8795984797522185E-2</v>
      </c>
      <c r="K50" s="71">
        <f t="shared" si="1"/>
        <v>187959.84797522184</v>
      </c>
      <c r="L50" s="49"/>
      <c r="M50" s="86">
        <f t="shared" si="2"/>
        <v>57.276870344019272</v>
      </c>
      <c r="N50" s="13">
        <f>RenVarExp*G50*premium</f>
        <v>2244.3087081893295</v>
      </c>
      <c r="O50" s="87">
        <f t="shared" si="6"/>
        <v>2301.5855785333488</v>
      </c>
      <c r="P50" s="80"/>
      <c r="Q50" s="92">
        <f>((Q51*VLOOKUP(D50,'IALM 2012-14'!$B$5:$D$119,3,FALSE)+SumAssured*VLOOKUP(D50,'IALM 2012-14'!$B$5:$D$119,2,FALSE))/(1+i))-$J$5+12*RenFixedExp+$J$5*RenVarExp</f>
        <v>-701754.76688984502</v>
      </c>
      <c r="R50" s="87">
        <f>Q51*VLOOKUP(D50,'IALM 2012-14'!$B$5:$D$119,3,FALSE)-'Term-40'!Q50*(1+i)</f>
        <v>377455.47462434112</v>
      </c>
    </row>
    <row r="51" spans="3:18">
      <c r="C51" s="62">
        <f t="shared" si="4"/>
        <v>39</v>
      </c>
      <c r="D51" s="12">
        <f t="shared" si="4"/>
        <v>59</v>
      </c>
      <c r="E51" s="61">
        <f t="shared" si="5"/>
        <v>1</v>
      </c>
      <c r="F51" s="52"/>
      <c r="G51" s="70">
        <f>G52*v*VLOOKUP(D51,'IALM 2012-14'!$B$5:$D$119,3,FALSE)+1-(monthlyconv*(1-v*VLOOKUP(D51,'IALM 2012-14'!$B$5:$D$119,3,FALSE)))</f>
        <v>0.97779154647435895</v>
      </c>
      <c r="H51" s="71">
        <f t="shared" si="0"/>
        <v>38313.302898112284</v>
      </c>
      <c r="I51" s="49"/>
      <c r="J51" s="78">
        <f>v*VLOOKUP($D$51,'IALM 2012-14'!$B$5:$D$119,2,FALSE)</f>
        <v>9.9932692307692292E-3</v>
      </c>
      <c r="K51" s="71">
        <f t="shared" si="1"/>
        <v>99932.692307692298</v>
      </c>
      <c r="L51" s="49"/>
      <c r="M51" s="86">
        <f t="shared" si="2"/>
        <v>29.333746394230769</v>
      </c>
      <c r="N51" s="13">
        <f>RenVarExp*G51*premium</f>
        <v>1149.3990869433685</v>
      </c>
      <c r="O51" s="87">
        <f t="shared" si="6"/>
        <v>1178.7328333375992</v>
      </c>
      <c r="P51" s="80"/>
      <c r="Q51" s="92">
        <f>((Q52*VLOOKUP(D51,'IALM 2012-14'!$B$5:$D$119,3,FALSE)+SumAssured*VLOOKUP(D51,'IALM 2012-14'!$B$5:$D$119,2,FALSE))/(1+i))-$J$5+12*RenFixedExp+$J$5*RenVarExp</f>
        <v>-355803.34098494338</v>
      </c>
      <c r="R51" s="87">
        <f>Q52*VLOOKUP(D51,'IALM 2012-14'!$B$5:$D$119,3,FALSE)-'Term-40'!Q51*(1+i)</f>
        <v>370035.47462434112</v>
      </c>
    </row>
    <row r="52" spans="3:18" ht="15" thickBot="1">
      <c r="C52" s="62">
        <f t="shared" si="4"/>
        <v>40</v>
      </c>
      <c r="D52" s="12">
        <f t="shared" si="4"/>
        <v>60</v>
      </c>
      <c r="E52" s="61">
        <f t="shared" si="5"/>
        <v>0</v>
      </c>
      <c r="F52" s="52"/>
      <c r="G52" s="72">
        <v>0</v>
      </c>
      <c r="H52" s="73">
        <f t="shared" si="0"/>
        <v>0</v>
      </c>
      <c r="I52" s="49"/>
      <c r="J52" s="79">
        <v>0</v>
      </c>
      <c r="K52" s="71">
        <f t="shared" si="1"/>
        <v>0</v>
      </c>
      <c r="L52" s="49"/>
      <c r="M52" s="86">
        <f t="shared" si="2"/>
        <v>0</v>
      </c>
      <c r="N52" s="13">
        <f>RenVarExp*G52*premium</f>
        <v>0</v>
      </c>
      <c r="O52" s="89">
        <f t="shared" si="6"/>
        <v>0</v>
      </c>
      <c r="P52" s="80"/>
      <c r="Q52" s="113">
        <f>K52+M52+N52-H52</f>
        <v>0</v>
      </c>
      <c r="R52" s="89">
        <f>Q53*VLOOKUP(D52,'IALM 2012-14'!$B$5:$D$119,3,FALSE)-'Term-40'!Q52*(1+i)</f>
        <v>0</v>
      </c>
    </row>
    <row r="54" spans="3:18" ht="15" thickBot="1">
      <c r="R54" s="114"/>
    </row>
    <row r="55" spans="3:18" ht="44.5" thickBot="1">
      <c r="G55" s="99" t="s">
        <v>46</v>
      </c>
      <c r="H55" s="100">
        <f>SUM(H12:H52)</f>
        <v>19735976.909648564</v>
      </c>
      <c r="I55" s="50"/>
      <c r="J55" s="97" t="s">
        <v>45</v>
      </c>
      <c r="K55" s="98">
        <f>SUM(K12:K52)</f>
        <v>19058418.873960935</v>
      </c>
      <c r="L55" s="50"/>
      <c r="M55" s="101" t="s">
        <v>44</v>
      </c>
      <c r="N55" s="102"/>
      <c r="O55" s="96">
        <f>SUM(O12:O52)</f>
        <v>677558.03568762867</v>
      </c>
      <c r="P55" s="50"/>
      <c r="Q55" s="115"/>
    </row>
    <row r="56" spans="3:18">
      <c r="O56" s="47"/>
      <c r="P56" s="11"/>
      <c r="Q56" s="14"/>
    </row>
    <row r="57" spans="3:18">
      <c r="O57" s="47"/>
      <c r="P57" s="11"/>
    </row>
  </sheetData>
  <mergeCells count="14">
    <mergeCell ref="O9:O11"/>
    <mergeCell ref="Q9:Q11"/>
    <mergeCell ref="R9:R11"/>
    <mergeCell ref="M55:N55"/>
    <mergeCell ref="C2:R2"/>
    <mergeCell ref="C9:C11"/>
    <mergeCell ref="D9:D11"/>
    <mergeCell ref="E9:E11"/>
    <mergeCell ref="G9:G11"/>
    <mergeCell ref="H9:H11"/>
    <mergeCell ref="J9:J11"/>
    <mergeCell ref="K9:K11"/>
    <mergeCell ref="M9:M11"/>
    <mergeCell ref="N9:N1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D9C3-84D8-4394-B12F-41FF902CC50D}">
  <dimension ref="C1:R67"/>
  <sheetViews>
    <sheetView showGridLines="0" topLeftCell="N47" zoomScale="85" zoomScaleNormal="85" workbookViewId="0">
      <selection activeCell="J62" sqref="J62"/>
    </sheetView>
  </sheetViews>
  <sheetFormatPr defaultRowHeight="14.5"/>
  <cols>
    <col min="1" max="1" width="3.1796875" style="11" customWidth="1"/>
    <col min="2" max="2" width="8.7265625" style="11"/>
    <col min="3" max="3" width="21.81640625" style="11" customWidth="1"/>
    <col min="4" max="4" width="13.6328125" style="11" customWidth="1"/>
    <col min="5" max="5" width="14.6328125" style="11" customWidth="1"/>
    <col min="6" max="6" width="4" style="47" customWidth="1"/>
    <col min="7" max="7" width="19.54296875" style="11" customWidth="1"/>
    <col min="8" max="8" width="28" style="11" bestFit="1" customWidth="1"/>
    <col min="9" max="9" width="3.90625" style="47" customWidth="1"/>
    <col min="10" max="10" width="19.54296875" style="11" bestFit="1" customWidth="1"/>
    <col min="11" max="11" width="30" style="11" bestFit="1" customWidth="1"/>
    <col min="12" max="12" width="3.453125" style="47" customWidth="1"/>
    <col min="13" max="14" width="19.26953125" style="11" bestFit="1" customWidth="1"/>
    <col min="15" max="15" width="27.7265625" style="11" bestFit="1" customWidth="1"/>
    <col min="16" max="16" width="5.54296875" style="47" customWidth="1"/>
    <col min="17" max="17" width="21" style="11" customWidth="1"/>
    <col min="18" max="18" width="16.6328125" style="11" customWidth="1"/>
    <col min="19" max="16384" width="8.7265625" style="11"/>
  </cols>
  <sheetData>
    <row r="1" spans="3:18" ht="15" thickBot="1"/>
    <row r="2" spans="3:18" ht="36.5" thickBot="1">
      <c r="C2" s="105" t="s">
        <v>48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3:18" ht="15" thickBot="1">
      <c r="Q3" s="14"/>
    </row>
    <row r="4" spans="3:18" ht="15.5">
      <c r="C4" s="103" t="s">
        <v>23</v>
      </c>
      <c r="D4" s="111">
        <f>i</f>
        <v>0.04</v>
      </c>
      <c r="H4" s="116" t="s">
        <v>40</v>
      </c>
      <c r="I4" s="117"/>
      <c r="J4" s="118">
        <v>72466.60823443596</v>
      </c>
    </row>
    <row r="5" spans="3:18" ht="16" thickBot="1">
      <c r="C5" s="104" t="s">
        <v>24</v>
      </c>
      <c r="D5" s="112">
        <f>1/(1+i)</f>
        <v>0.96153846153846145</v>
      </c>
      <c r="H5" s="119" t="s">
        <v>41</v>
      </c>
      <c r="I5" s="120"/>
      <c r="J5" s="121">
        <f>12*J4</f>
        <v>869599.29881323152</v>
      </c>
    </row>
    <row r="6" spans="3:18" ht="15" thickBot="1">
      <c r="Q6" s="14"/>
    </row>
    <row r="7" spans="3:18" ht="15" thickBot="1">
      <c r="H7" s="108" t="s">
        <v>42</v>
      </c>
      <c r="I7" s="109"/>
      <c r="J7" s="110">
        <f>H65-K65-O65</f>
        <v>1.1641532182693481E-8</v>
      </c>
    </row>
    <row r="8" spans="3:18" ht="15" thickBot="1"/>
    <row r="9" spans="3:18">
      <c r="C9" s="55" t="s">
        <v>37</v>
      </c>
      <c r="D9" s="56" t="s">
        <v>27</v>
      </c>
      <c r="E9" s="57" t="s">
        <v>38</v>
      </c>
      <c r="F9" s="51"/>
      <c r="G9" s="66" t="s">
        <v>39</v>
      </c>
      <c r="H9" s="67" t="s">
        <v>29</v>
      </c>
      <c r="I9" s="48"/>
      <c r="J9" s="74" t="s">
        <v>33</v>
      </c>
      <c r="K9" s="76" t="s">
        <v>25</v>
      </c>
      <c r="L9" s="48"/>
      <c r="M9" s="81" t="s">
        <v>30</v>
      </c>
      <c r="N9" s="82" t="s">
        <v>31</v>
      </c>
      <c r="O9" s="83" t="s">
        <v>32</v>
      </c>
      <c r="P9" s="48"/>
      <c r="Q9" s="90" t="s">
        <v>34</v>
      </c>
      <c r="R9" s="94" t="s">
        <v>43</v>
      </c>
    </row>
    <row r="10" spans="3:18">
      <c r="C10" s="58"/>
      <c r="D10" s="53"/>
      <c r="E10" s="59"/>
      <c r="F10" s="51"/>
      <c r="G10" s="68"/>
      <c r="H10" s="69"/>
      <c r="I10" s="48"/>
      <c r="J10" s="75"/>
      <c r="K10" s="77"/>
      <c r="L10" s="48"/>
      <c r="M10" s="84"/>
      <c r="N10" s="45"/>
      <c r="O10" s="85"/>
      <c r="P10" s="48"/>
      <c r="Q10" s="91"/>
      <c r="R10" s="95"/>
    </row>
    <row r="11" spans="3:18">
      <c r="C11" s="58"/>
      <c r="D11" s="53"/>
      <c r="E11" s="59"/>
      <c r="F11" s="51"/>
      <c r="G11" s="68"/>
      <c r="H11" s="69"/>
      <c r="I11" s="48"/>
      <c r="J11" s="75"/>
      <c r="K11" s="77"/>
      <c r="L11" s="48"/>
      <c r="M11" s="84"/>
      <c r="N11" s="45"/>
      <c r="O11" s="85"/>
      <c r="P11" s="48"/>
      <c r="Q11" s="91"/>
      <c r="R11" s="95"/>
    </row>
    <row r="12" spans="3:18">
      <c r="C12" s="60">
        <v>0</v>
      </c>
      <c r="D12" s="54">
        <f>Age</f>
        <v>20</v>
      </c>
      <c r="E12" s="61">
        <f>C62</f>
        <v>50</v>
      </c>
      <c r="F12" s="52"/>
      <c r="G12" s="70">
        <f>G13*v*VLOOKUP(D12,'IALM 2012-14'!$B$5:$D$119,3,FALSE)+1-(monthlyconv*(1-v*VLOOKUP(D12,'IALM 2012-14'!$B$5:$D$119,3,FALSE)))</f>
        <v>21.239138738472636</v>
      </c>
      <c r="H12" s="71">
        <f t="shared" ref="H12:H62" si="0">G12*premium</f>
        <v>1539128.346197729</v>
      </c>
      <c r="I12" s="49"/>
      <c r="J12" s="78">
        <f>J13*v*VLOOKUP(D12,'IALM 2012-14'!$B$5:$D$119,3,FALSE)+v*VLOOKUP(D12,'IALM 2012-14'!$B$5:$D$119,2,FALSE)</f>
        <v>6.1049156050116703E-2</v>
      </c>
      <c r="K12" s="71">
        <f t="shared" ref="K12:K62" si="1">SumAssured*J12</f>
        <v>610491.56050116709</v>
      </c>
      <c r="L12" s="49"/>
      <c r="M12" s="86">
        <f>InitialFixedExp</f>
        <v>200</v>
      </c>
      <c r="N12" s="13">
        <f>0.2*J5</f>
        <v>173919.85976264632</v>
      </c>
      <c r="O12" s="87">
        <f>M12+N12</f>
        <v>174119.85976264632</v>
      </c>
      <c r="P12" s="80"/>
      <c r="Q12" s="92">
        <f>((Q13*VLOOKUP(D12,'IALM 2012-14'!$B$5:$D$119,3,FALSE)+SumAssured*VLOOKUP(D12,'IALM 2012-14'!$B$5:$D$119,2,FALSE))/(1+i))-$J$5+InitialFixedExp+InitialVarExp*'Term-50'!$J$5</f>
        <v>-17495007.15575007</v>
      </c>
      <c r="R12" s="87">
        <f>Q13*VLOOKUP(D12,'IALM 2012-14'!$B$5:$D$119,3,FALSE)-'Term-50'!Q12*(1+i)</f>
        <v>714058.61661260575</v>
      </c>
    </row>
    <row r="13" spans="3:18">
      <c r="C13" s="62">
        <f>C12+1</f>
        <v>1</v>
      </c>
      <c r="D13" s="12">
        <f>D12+1</f>
        <v>21</v>
      </c>
      <c r="E13" s="61">
        <f>E12-1</f>
        <v>49</v>
      </c>
      <c r="F13" s="52"/>
      <c r="G13" s="70">
        <f>G14*v*VLOOKUP(D13,'IALM 2012-14'!$B$5:$D$119,3,FALSE)+1-(monthlyconv*(1-v*VLOOKUP(D13,'IALM 2012-14'!$B$5:$D$119,3,FALSE)))</f>
        <v>21.086945458948946</v>
      </c>
      <c r="H13" s="71">
        <f t="shared" si="0"/>
        <v>1528099.4154345717</v>
      </c>
      <c r="I13" s="49"/>
      <c r="J13" s="78">
        <f>J14*v*VLOOKUP(D13,'IALM 2012-14'!$B$5:$D$119,3,FALSE)+v*VLOOKUP(D13,'IALM 2012-14'!$B$5:$D$119,2,FALSE)</f>
        <v>6.2624987780830865E-2</v>
      </c>
      <c r="K13" s="71">
        <f t="shared" si="1"/>
        <v>626249.87780830869</v>
      </c>
      <c r="L13" s="49"/>
      <c r="M13" s="86">
        <f>RenFixedExp*G13</f>
        <v>632.60836376846839</v>
      </c>
      <c r="N13" s="13">
        <f>RenVarExp*G13*premium</f>
        <v>45842.982463037151</v>
      </c>
      <c r="O13" s="87">
        <f t="shared" ref="O13:O62" si="2">M13+N13</f>
        <v>46475.590826805623</v>
      </c>
      <c r="P13" s="80"/>
      <c r="Q13" s="92">
        <f>((Q14*VLOOKUP(D13,'IALM 2012-14'!$B$5:$D$119,3,FALSE)+SumAssured*VLOOKUP(D13,'IALM 2012-14'!$B$5:$D$119,2,FALSE))/(1+i))-$J$5+12*RenFixedExp+$J$5*RenVarExp</f>
        <v>-17496915.975729041</v>
      </c>
      <c r="R13" s="87">
        <f>Q14*VLOOKUP(D13,'IALM 2012-14'!$B$5:$D$119,3,FALSE)-'Term-50'!Q13*(1+i)</f>
        <v>867537.37264279276</v>
      </c>
    </row>
    <row r="14" spans="3:18">
      <c r="C14" s="62">
        <f t="shared" ref="C14:D39" si="3">C13+1</f>
        <v>2</v>
      </c>
      <c r="D14" s="12">
        <f t="shared" si="3"/>
        <v>22</v>
      </c>
      <c r="E14" s="61">
        <f t="shared" ref="E14:E62" si="4">E13-1</f>
        <v>48</v>
      </c>
      <c r="F14" s="52"/>
      <c r="G14" s="70">
        <f>G15*v*VLOOKUP(D14,'IALM 2012-14'!$B$5:$D$119,3,FALSE)+1-(monthlyconv*(1-v*VLOOKUP(D14,'IALM 2012-14'!$B$5:$D$119,3,FALSE)))</f>
        <v>20.928732129782791</v>
      </c>
      <c r="H14" s="71">
        <f t="shared" si="0"/>
        <v>1516634.232092422</v>
      </c>
      <c r="I14" s="49"/>
      <c r="J14" s="78">
        <f>J15*v*VLOOKUP(D14,'IALM 2012-14'!$B$5:$D$119,3,FALSE)+v*VLOOKUP(D14,'IALM 2012-14'!$B$5:$D$119,2,FALSE)</f>
        <v>6.4256002398304118E-2</v>
      </c>
      <c r="K14" s="71">
        <f t="shared" si="1"/>
        <v>642560.02398304117</v>
      </c>
      <c r="L14" s="49"/>
      <c r="M14" s="86">
        <f>RenFixedExp*G14</f>
        <v>627.86196389348368</v>
      </c>
      <c r="N14" s="13">
        <f>RenVarExp*G14*premium</f>
        <v>45499.026962772659</v>
      </c>
      <c r="O14" s="87">
        <f t="shared" si="2"/>
        <v>46126.888926666143</v>
      </c>
      <c r="P14" s="80"/>
      <c r="Q14" s="92">
        <f>((Q15*VLOOKUP(D14,'IALM 2012-14'!$B$5:$D$119,3,FALSE)+SumAssured*VLOOKUP(D14,'IALM 2012-14'!$B$5:$D$119,2,FALSE))/(1+i))-$J$5+12*RenFixedExp+$J$5*RenVarExp</f>
        <v>-17345455.897924073</v>
      </c>
      <c r="R14" s="87">
        <f>Q15*VLOOKUP(D14,'IALM 2012-14'!$B$5:$D$119,3,FALSE)-'Term-50'!Q14*(1+i)</f>
        <v>867507.37264279276</v>
      </c>
    </row>
    <row r="15" spans="3:18">
      <c r="C15" s="62">
        <f t="shared" si="3"/>
        <v>3</v>
      </c>
      <c r="D15" s="12">
        <f t="shared" si="3"/>
        <v>23</v>
      </c>
      <c r="E15" s="61">
        <f t="shared" si="4"/>
        <v>47</v>
      </c>
      <c r="F15" s="52"/>
      <c r="G15" s="70">
        <f>G16*v*VLOOKUP(D15,'IALM 2012-14'!$B$5:$D$119,3,FALSE)+1-(monthlyconv*(1-v*VLOOKUP(D15,'IALM 2012-14'!$B$5:$D$119,3,FALSE)))</f>
        <v>20.764100168498651</v>
      </c>
      <c r="H15" s="71">
        <f t="shared" si="0"/>
        <v>1504703.9122511775</v>
      </c>
      <c r="I15" s="49"/>
      <c r="J15" s="78">
        <f>J16*v*VLOOKUP(D15,'IALM 2012-14'!$B$5:$D$119,3,FALSE)+v*VLOOKUP(D15,'IALM 2012-14'!$B$5:$D$119,2,FALSE)</f>
        <v>6.5951038617420799E-2</v>
      </c>
      <c r="K15" s="71">
        <f t="shared" si="1"/>
        <v>659510.38617420802</v>
      </c>
      <c r="L15" s="49"/>
      <c r="M15" s="86">
        <f>RenFixedExp*G15</f>
        <v>622.9230050549595</v>
      </c>
      <c r="N15" s="13">
        <f>RenVarExp*G15*premium</f>
        <v>45141.11736753532</v>
      </c>
      <c r="O15" s="87">
        <f t="shared" si="2"/>
        <v>45764.04037259028</v>
      </c>
      <c r="P15" s="80"/>
      <c r="Q15" s="92">
        <f>((Q16*VLOOKUP(D15,'IALM 2012-14'!$B$5:$D$119,3,FALSE)+SumAssured*VLOOKUP(D15,'IALM 2012-14'!$B$5:$D$119,2,FALSE))/(1+i))-$J$5+12*RenFixedExp+$J$5*RenVarExp</f>
        <v>-17187871.797072101</v>
      </c>
      <c r="R15" s="87">
        <f>Q16*VLOOKUP(D15,'IALM 2012-14'!$B$5:$D$119,3,FALSE)-'Term-50'!Q15*(1+i)</f>
        <v>867517.37264278904</v>
      </c>
    </row>
    <row r="16" spans="3:18">
      <c r="C16" s="62">
        <f t="shared" si="3"/>
        <v>4</v>
      </c>
      <c r="D16" s="12">
        <f t="shared" si="3"/>
        <v>24</v>
      </c>
      <c r="E16" s="61">
        <f t="shared" si="4"/>
        <v>46</v>
      </c>
      <c r="F16" s="52"/>
      <c r="G16" s="70">
        <f>G17*v*VLOOKUP(D16,'IALM 2012-14'!$B$5:$D$119,3,FALSE)+1-(monthlyconv*(1-v*VLOOKUP(D16,'IALM 2012-14'!$B$5:$D$119,3,FALSE)))</f>
        <v>20.592701276967173</v>
      </c>
      <c r="H16" s="71">
        <f t="shared" si="0"/>
        <v>1492283.2159267492</v>
      </c>
      <c r="I16" s="49"/>
      <c r="J16" s="78">
        <f>J17*v*VLOOKUP(D16,'IALM 2012-14'!$B$5:$D$119,3,FALSE)+v*VLOOKUP(D16,'IALM 2012-14'!$B$5:$D$119,2,FALSE)</f>
        <v>6.7716462771271552E-2</v>
      </c>
      <c r="K16" s="71">
        <f t="shared" si="1"/>
        <v>677164.62771271553</v>
      </c>
      <c r="L16" s="49"/>
      <c r="M16" s="86">
        <f>RenFixedExp*G16</f>
        <v>617.78103830901523</v>
      </c>
      <c r="N16" s="13">
        <f>RenVarExp*G16*premium</f>
        <v>44768.496477802481</v>
      </c>
      <c r="O16" s="87">
        <f t="shared" si="2"/>
        <v>45386.277516111499</v>
      </c>
      <c r="P16" s="80"/>
      <c r="Q16" s="92">
        <f>((Q17*VLOOKUP(D16,'IALM 2012-14'!$B$5:$D$119,3,FALSE)+SumAssured*VLOOKUP(D16,'IALM 2012-14'!$B$5:$D$119,2,FALSE))/(1+i))-$J$5+12*RenFixedExp+$J$5*RenVarExp</f>
        <v>-17023803.576459765</v>
      </c>
      <c r="R16" s="87">
        <f>Q17*VLOOKUP(D16,'IALM 2012-14'!$B$5:$D$119,3,FALSE)-'Term-50'!Q16*(1+i)</f>
        <v>867547.37264278904</v>
      </c>
    </row>
    <row r="17" spans="3:18">
      <c r="C17" s="62">
        <f t="shared" si="3"/>
        <v>5</v>
      </c>
      <c r="D17" s="12">
        <f t="shared" si="3"/>
        <v>25</v>
      </c>
      <c r="E17" s="61">
        <f t="shared" si="4"/>
        <v>45</v>
      </c>
      <c r="F17" s="52"/>
      <c r="G17" s="70">
        <f>G18*v*VLOOKUP(D17,'IALM 2012-14'!$B$5:$D$119,3,FALSE)+1-(monthlyconv*(1-v*VLOOKUP(D17,'IALM 2012-14'!$B$5:$D$119,3,FALSE)))</f>
        <v>20.414216750607508</v>
      </c>
      <c r="H17" s="71">
        <f t="shared" si="0"/>
        <v>1479349.0476791346</v>
      </c>
      <c r="I17" s="49"/>
      <c r="J17" s="78">
        <f>J18*v*VLOOKUP(D17,'IALM 2012-14'!$B$5:$D$119,3,FALSE)+v*VLOOKUP(D17,'IALM 2012-14'!$B$5:$D$119,2,FALSE)</f>
        <v>6.9557017979897648E-2</v>
      </c>
      <c r="K17" s="71">
        <f t="shared" si="1"/>
        <v>695570.17979897652</v>
      </c>
      <c r="L17" s="49"/>
      <c r="M17" s="86">
        <f>RenFixedExp*G17</f>
        <v>612.42650251822522</v>
      </c>
      <c r="N17" s="13">
        <f>RenVarExp*G17*premium</f>
        <v>44380.47143037404</v>
      </c>
      <c r="O17" s="87">
        <f t="shared" si="2"/>
        <v>44992.897932892265</v>
      </c>
      <c r="P17" s="80"/>
      <c r="Q17" s="92">
        <f>((Q18*VLOOKUP(D17,'IALM 2012-14'!$B$5:$D$119,3,FALSE)+SumAssured*VLOOKUP(D17,'IALM 2012-14'!$B$5:$D$119,2,FALSE))/(1+i))-$J$5+12*RenFixedExp+$J$5*RenVarExp</f>
        <v>-16852932.132555038</v>
      </c>
      <c r="R17" s="87">
        <f>Q18*VLOOKUP(D17,'IALM 2012-14'!$B$5:$D$119,3,FALSE)-'Term-50'!Q17*(1+i)</f>
        <v>867567.37264279276</v>
      </c>
    </row>
    <row r="18" spans="3:18">
      <c r="C18" s="62">
        <f t="shared" si="3"/>
        <v>6</v>
      </c>
      <c r="D18" s="12">
        <f t="shared" si="3"/>
        <v>26</v>
      </c>
      <c r="E18" s="61">
        <f t="shared" si="4"/>
        <v>44</v>
      </c>
      <c r="F18" s="52"/>
      <c r="G18" s="70">
        <f>G19*v*VLOOKUP(D18,'IALM 2012-14'!$B$5:$D$119,3,FALSE)+1-(monthlyconv*(1-v*VLOOKUP(D18,'IALM 2012-14'!$B$5:$D$119,3,FALSE)))</f>
        <v>20.228378082293094</v>
      </c>
      <c r="H18" s="71">
        <f t="shared" si="0"/>
        <v>1465881.9497075847</v>
      </c>
      <c r="I18" s="49"/>
      <c r="J18" s="78">
        <f>J19*v*VLOOKUP(D18,'IALM 2012-14'!$B$5:$D$119,3,FALSE)+v*VLOOKUP(D18,'IALM 2012-14'!$B$5:$D$119,2,FALSE)</f>
        <v>7.1474841776787756E-2</v>
      </c>
      <c r="K18" s="71">
        <f t="shared" si="1"/>
        <v>714748.41776787757</v>
      </c>
      <c r="L18" s="49"/>
      <c r="M18" s="86">
        <f>RenFixedExp*G18</f>
        <v>606.85134246879284</v>
      </c>
      <c r="N18" s="13">
        <f>RenVarExp*G18*premium</f>
        <v>43976.458491227539</v>
      </c>
      <c r="O18" s="87">
        <f t="shared" si="2"/>
        <v>44583.30983369633</v>
      </c>
      <c r="P18" s="80"/>
      <c r="Q18" s="92">
        <f>((Q19*VLOOKUP(D18,'IALM 2012-14'!$B$5:$D$119,3,FALSE)+SumAssured*VLOOKUP(D18,'IALM 2012-14'!$B$5:$D$119,2,FALSE))/(1+i))-$J$5+12*RenFixedExp+$J$5*RenVarExp</f>
        <v>-16675006.476243831</v>
      </c>
      <c r="R18" s="87">
        <f>Q19*VLOOKUP(D18,'IALM 2012-14'!$B$5:$D$119,3,FALSE)-'Term-50'!Q18*(1+i)</f>
        <v>867567.37264278717</v>
      </c>
    </row>
    <row r="19" spans="3:18">
      <c r="C19" s="62">
        <f t="shared" si="3"/>
        <v>7</v>
      </c>
      <c r="D19" s="12">
        <f t="shared" si="3"/>
        <v>27</v>
      </c>
      <c r="E19" s="61">
        <f t="shared" si="4"/>
        <v>43</v>
      </c>
      <c r="F19" s="52"/>
      <c r="G19" s="70">
        <f>G20*v*VLOOKUP(D19,'IALM 2012-14'!$B$5:$D$119,3,FALSE)+1-(monthlyconv*(1-v*VLOOKUP(D19,'IALM 2012-14'!$B$5:$D$119,3,FALSE)))</f>
        <v>20.034925763136968</v>
      </c>
      <c r="H19" s="71">
        <f t="shared" si="0"/>
        <v>1451863.1162832545</v>
      </c>
      <c r="I19" s="49"/>
      <c r="J19" s="78">
        <f>J20*v*VLOOKUP(D19,'IALM 2012-14'!$B$5:$D$119,3,FALSE)+v*VLOOKUP(D19,'IALM 2012-14'!$B$5:$D$119,2,FALSE)</f>
        <v>7.3471237169664222E-2</v>
      </c>
      <c r="K19" s="71">
        <f t="shared" si="1"/>
        <v>734712.37169664225</v>
      </c>
      <c r="L19" s="49"/>
      <c r="M19" s="86">
        <f>RenFixedExp*G19</f>
        <v>601.04777289410902</v>
      </c>
      <c r="N19" s="13">
        <f>RenVarExp*G19*premium</f>
        <v>43555.893488497641</v>
      </c>
      <c r="O19" s="87">
        <f t="shared" si="2"/>
        <v>44156.941261391752</v>
      </c>
      <c r="P19" s="80"/>
      <c r="Q19" s="92">
        <f>((Q20*VLOOKUP(D19,'IALM 2012-14'!$B$5:$D$119,3,FALSE)+SumAssured*VLOOKUP(D19,'IALM 2012-14'!$B$5:$D$119,2,FALSE))/(1+i))-$J$5+12*RenFixedExp+$J$5*RenVarExp</f>
        <v>-16489791.358405475</v>
      </c>
      <c r="R19" s="87">
        <f>Q20*VLOOKUP(D19,'IALM 2012-14'!$B$5:$D$119,3,FALSE)-'Term-50'!Q19*(1+i)</f>
        <v>867537.37264278531</v>
      </c>
    </row>
    <row r="20" spans="3:18">
      <c r="C20" s="62">
        <f t="shared" si="3"/>
        <v>8</v>
      </c>
      <c r="D20" s="12">
        <f t="shared" si="3"/>
        <v>28</v>
      </c>
      <c r="E20" s="61">
        <f t="shared" si="4"/>
        <v>42</v>
      </c>
      <c r="F20" s="52"/>
      <c r="G20" s="70">
        <f>G21*v*VLOOKUP(D20,'IALM 2012-14'!$B$5:$D$119,3,FALSE)+1-(monthlyconv*(1-v*VLOOKUP(D20,'IALM 2012-14'!$B$5:$D$119,3,FALSE)))</f>
        <v>19.833608800949204</v>
      </c>
      <c r="H20" s="71">
        <f t="shared" si="0"/>
        <v>1437274.358853447</v>
      </c>
      <c r="I20" s="49"/>
      <c r="J20" s="78">
        <f>J21*v*VLOOKUP(D20,'IALM 2012-14'!$B$5:$D$119,3,FALSE)+v*VLOOKUP(D20,'IALM 2012-14'!$B$5:$D$119,2,FALSE)</f>
        <v>7.5546647224958907E-2</v>
      </c>
      <c r="K20" s="71">
        <f t="shared" si="1"/>
        <v>755466.47224958905</v>
      </c>
      <c r="L20" s="49"/>
      <c r="M20" s="86">
        <f>RenFixedExp*G20</f>
        <v>595.00826402847611</v>
      </c>
      <c r="N20" s="13">
        <f>RenVarExp*G20*premium</f>
        <v>43118.23076560341</v>
      </c>
      <c r="O20" s="87">
        <f t="shared" si="2"/>
        <v>43713.239029631884</v>
      </c>
      <c r="P20" s="80"/>
      <c r="Q20" s="92">
        <f>((Q21*VLOOKUP(D20,'IALM 2012-14'!$B$5:$D$119,3,FALSE)+SumAssured*VLOOKUP(D20,'IALM 2012-14'!$B$5:$D$119,2,FALSE))/(1+i))-$J$5+12*RenFixedExp+$J$5*RenVarExp</f>
        <v>-16297067.100771027</v>
      </c>
      <c r="R20" s="87">
        <f>Q21*VLOOKUP(D20,'IALM 2012-14'!$B$5:$D$119,3,FALSE)-'Term-50'!Q20*(1+i)</f>
        <v>867457.37264278531</v>
      </c>
    </row>
    <row r="21" spans="3:18">
      <c r="C21" s="62">
        <f t="shared" si="3"/>
        <v>9</v>
      </c>
      <c r="D21" s="12">
        <f t="shared" si="3"/>
        <v>29</v>
      </c>
      <c r="E21" s="61">
        <f t="shared" si="4"/>
        <v>41</v>
      </c>
      <c r="F21" s="52"/>
      <c r="G21" s="70">
        <f>G22*v*VLOOKUP(D21,'IALM 2012-14'!$B$5:$D$119,3,FALSE)+1-(monthlyconv*(1-v*VLOOKUP(D21,'IALM 2012-14'!$B$5:$D$119,3,FALSE)))</f>
        <v>19.624204236711492</v>
      </c>
      <c r="H21" s="71">
        <f t="shared" si="0"/>
        <v>1422099.5203343302</v>
      </c>
      <c r="I21" s="49"/>
      <c r="J21" s="78">
        <f>J22*v*VLOOKUP(D21,'IALM 2012-14'!$B$5:$D$119,3,FALSE)+v*VLOOKUP(D21,'IALM 2012-14'!$B$5:$D$119,2,FALSE)</f>
        <v>7.7699706237232755E-2</v>
      </c>
      <c r="K21" s="71">
        <f t="shared" si="1"/>
        <v>776997.06237232755</v>
      </c>
      <c r="L21" s="49"/>
      <c r="M21" s="86">
        <f>RenFixedExp*G21</f>
        <v>588.72612710134479</v>
      </c>
      <c r="N21" s="13">
        <f>RenVarExp*G21*premium</f>
        <v>42662.9856100299</v>
      </c>
      <c r="O21" s="87">
        <f t="shared" si="2"/>
        <v>43251.711737131242</v>
      </c>
      <c r="P21" s="80"/>
      <c r="Q21" s="92">
        <f>((Q22*VLOOKUP(D21,'IALM 2012-14'!$B$5:$D$119,3,FALSE)+SumAssured*VLOOKUP(D21,'IALM 2012-14'!$B$5:$D$119,2,FALSE))/(1+i))-$J$5+12*RenFixedExp+$J$5*RenVarExp</f>
        <v>-16096655.461603912</v>
      </c>
      <c r="R21" s="87">
        <f>Q22*VLOOKUP(D21,'IALM 2012-14'!$B$5:$D$119,3,FALSE)-'Term-50'!Q21*(1+i)</f>
        <v>867317.37264278717</v>
      </c>
    </row>
    <row r="22" spans="3:18">
      <c r="C22" s="62">
        <f t="shared" si="3"/>
        <v>10</v>
      </c>
      <c r="D22" s="12">
        <f t="shared" si="3"/>
        <v>30</v>
      </c>
      <c r="E22" s="61">
        <f t="shared" si="4"/>
        <v>40</v>
      </c>
      <c r="F22" s="52"/>
      <c r="G22" s="70">
        <f>G23*v*VLOOKUP(D22,'IALM 2012-14'!$B$5:$D$119,3,FALSE)+1-(monthlyconv*(1-v*VLOOKUP(D22,'IALM 2012-14'!$B$5:$D$119,3,FALSE)))</f>
        <v>19.406496516850058</v>
      </c>
      <c r="H22" s="71">
        <f t="shared" si="0"/>
        <v>1406322.9802895193</v>
      </c>
      <c r="I22" s="49"/>
      <c r="J22" s="78">
        <f>J23*v*VLOOKUP(D22,'IALM 2012-14'!$B$5:$D$119,3,FALSE)+v*VLOOKUP(D22,'IALM 2012-14'!$B$5:$D$119,2,FALSE)</f>
        <v>7.9928105755824638E-2</v>
      </c>
      <c r="K22" s="71">
        <f t="shared" si="1"/>
        <v>799281.05755824642</v>
      </c>
      <c r="L22" s="49"/>
      <c r="M22" s="86">
        <f>RenFixedExp*G22</f>
        <v>582.19489550550179</v>
      </c>
      <c r="N22" s="13">
        <f>RenVarExp*G22*premium</f>
        <v>42189.689408685575</v>
      </c>
      <c r="O22" s="87">
        <f t="shared" si="2"/>
        <v>42771.88430419108</v>
      </c>
      <c r="P22" s="80"/>
      <c r="Q22" s="92">
        <f>((Q23*VLOOKUP(D22,'IALM 2012-14'!$B$5:$D$119,3,FALSE)+SumAssured*VLOOKUP(D22,'IALM 2012-14'!$B$5:$D$119,2,FALSE))/(1+i))-$J$5+12*RenFixedExp+$J$5*RenVarExp</f>
        <v>-15888393.611718083</v>
      </c>
      <c r="R22" s="87">
        <f>Q23*VLOOKUP(D22,'IALM 2012-14'!$B$5:$D$119,3,FALSE)-'Term-50'!Q22*(1+i)</f>
        <v>867107.37264278717</v>
      </c>
    </row>
    <row r="23" spans="3:18">
      <c r="C23" s="62">
        <f t="shared" ref="C23:D23" si="5">C22+1</f>
        <v>11</v>
      </c>
      <c r="D23" s="12">
        <f t="shared" si="5"/>
        <v>31</v>
      </c>
      <c r="E23" s="61">
        <f t="shared" si="4"/>
        <v>39</v>
      </c>
      <c r="F23" s="52"/>
      <c r="G23" s="70">
        <f>G24*v*VLOOKUP(D23,'IALM 2012-14'!$B$5:$D$119,3,FALSE)+1-(monthlyconv*(1-v*VLOOKUP(D23,'IALM 2012-14'!$B$5:$D$119,3,FALSE)))</f>
        <v>19.1802766327943</v>
      </c>
      <c r="H23" s="71">
        <f t="shared" si="0"/>
        <v>1389929.5925768111</v>
      </c>
      <c r="I23" s="49"/>
      <c r="J23" s="78">
        <f>J24*v*VLOOKUP(D23,'IALM 2012-14'!$B$5:$D$119,3,FALSE)+v*VLOOKUP(D23,'IALM 2012-14'!$B$5:$D$119,2,FALSE)</f>
        <v>8.2228567296306135E-2</v>
      </c>
      <c r="K23" s="71">
        <f t="shared" si="1"/>
        <v>822285.67296306137</v>
      </c>
      <c r="L23" s="49"/>
      <c r="M23" s="86">
        <f>RenFixedExp*G23</f>
        <v>575.40829898382901</v>
      </c>
      <c r="N23" s="13">
        <f>RenVarExp*G23*premium</f>
        <v>41697.887777304328</v>
      </c>
      <c r="O23" s="87">
        <f t="shared" si="2"/>
        <v>42273.296076288156</v>
      </c>
      <c r="P23" s="80"/>
      <c r="Q23" s="92">
        <f>((Q24*VLOOKUP(D23,'IALM 2012-14'!$B$5:$D$119,3,FALSE)+SumAssured*VLOOKUP(D23,'IALM 2012-14'!$B$5:$D$119,2,FALSE))/(1+i))-$J$5+12*RenFixedExp+$J$5*RenVarExp</f>
        <v>-15672133.658128012</v>
      </c>
      <c r="R23" s="87">
        <f>Q24*VLOOKUP(D23,'IALM 2012-14'!$B$5:$D$119,3,FALSE)-'Term-50'!Q23*(1+i)</f>
        <v>866827.37264278717</v>
      </c>
    </row>
    <row r="24" spans="3:18">
      <c r="C24" s="62">
        <f t="shared" ref="C24:D24" si="6">C23+1</f>
        <v>12</v>
      </c>
      <c r="D24" s="12">
        <f t="shared" si="6"/>
        <v>32</v>
      </c>
      <c r="E24" s="61">
        <f t="shared" si="4"/>
        <v>38</v>
      </c>
      <c r="F24" s="52"/>
      <c r="G24" s="70">
        <f>G25*v*VLOOKUP(D24,'IALM 2012-14'!$B$5:$D$119,3,FALSE)+1-(monthlyconv*(1-v*VLOOKUP(D24,'IALM 2012-14'!$B$5:$D$119,3,FALSE)))</f>
        <v>18.945321704752683</v>
      </c>
      <c r="H24" s="71">
        <f t="shared" si="0"/>
        <v>1372903.205853669</v>
      </c>
      <c r="I24" s="49"/>
      <c r="J24" s="78">
        <f>J25*v*VLOOKUP(D24,'IALM 2012-14'!$B$5:$D$119,3,FALSE)+v*VLOOKUP(D24,'IALM 2012-14'!$B$5:$D$119,2,FALSE)</f>
        <v>8.4597730707519456E-2</v>
      </c>
      <c r="K24" s="71">
        <f t="shared" si="1"/>
        <v>845977.30707519455</v>
      </c>
      <c r="L24" s="49"/>
      <c r="M24" s="86">
        <f>RenFixedExp*G24</f>
        <v>568.35965114258045</v>
      </c>
      <c r="N24" s="13">
        <f>RenVarExp*G24*premium</f>
        <v>41187.096175610073</v>
      </c>
      <c r="O24" s="87">
        <f t="shared" si="2"/>
        <v>41755.455826752652</v>
      </c>
      <c r="P24" s="80"/>
      <c r="Q24" s="92">
        <f>((Q25*VLOOKUP(D24,'IALM 2012-14'!$B$5:$D$119,3,FALSE)+SumAssured*VLOOKUP(D24,'IALM 2012-14'!$B$5:$D$119,2,FALSE))/(1+i))-$J$5+12*RenFixedExp+$J$5*RenVarExp</f>
        <v>-15447716.586980263</v>
      </c>
      <c r="R24" s="87">
        <f>Q25*VLOOKUP(D24,'IALM 2012-14'!$B$5:$D$119,3,FALSE)-'Term-50'!Q24*(1+i)</f>
        <v>866457.37264278717</v>
      </c>
    </row>
    <row r="25" spans="3:18">
      <c r="C25" s="62">
        <f t="shared" ref="C25:D25" si="7">C24+1</f>
        <v>13</v>
      </c>
      <c r="D25" s="12">
        <f t="shared" si="7"/>
        <v>33</v>
      </c>
      <c r="E25" s="61">
        <f t="shared" si="4"/>
        <v>37</v>
      </c>
      <c r="F25" s="52"/>
      <c r="G25" s="70">
        <f>G26*v*VLOOKUP(D25,'IALM 2012-14'!$B$5:$D$119,3,FALSE)+1-(monthlyconv*(1-v*VLOOKUP(D25,'IALM 2012-14'!$B$5:$D$119,3,FALSE)))</f>
        <v>18.701432382151662</v>
      </c>
      <c r="H25" s="71">
        <f t="shared" si="0"/>
        <v>1355229.373860179</v>
      </c>
      <c r="I25" s="49"/>
      <c r="J25" s="78">
        <f>J26*v*VLOOKUP(D25,'IALM 2012-14'!$B$5:$D$119,3,FALSE)+v*VLOOKUP(D25,'IALM 2012-14'!$B$5:$D$119,2,FALSE)</f>
        <v>8.7030325535027722E-2</v>
      </c>
      <c r="K25" s="71">
        <f t="shared" si="1"/>
        <v>870303.25535027718</v>
      </c>
      <c r="L25" s="49"/>
      <c r="M25" s="86">
        <f>RenFixedExp*G25</f>
        <v>561.04297146454985</v>
      </c>
      <c r="N25" s="13">
        <f>RenVarExp*G25*premium</f>
        <v>40656.88121580537</v>
      </c>
      <c r="O25" s="87">
        <f t="shared" si="2"/>
        <v>41217.92418726992</v>
      </c>
      <c r="P25" s="80"/>
      <c r="Q25" s="92">
        <f>((Q26*VLOOKUP(D25,'IALM 2012-14'!$B$5:$D$119,3,FALSE)+SumAssured*VLOOKUP(D25,'IALM 2012-14'!$B$5:$D$119,2,FALSE))/(1+i))-$J$5+12*RenFixedExp+$J$5*RenVarExp</f>
        <v>-15215021.930668443</v>
      </c>
      <c r="R25" s="87">
        <f>Q26*VLOOKUP(D25,'IALM 2012-14'!$B$5:$D$119,3,FALSE)-'Term-50'!Q25*(1+i)</f>
        <v>866017.37264278717</v>
      </c>
    </row>
    <row r="26" spans="3:18">
      <c r="C26" s="62">
        <f t="shared" ref="C26:D26" si="8">C25+1</f>
        <v>14</v>
      </c>
      <c r="D26" s="12">
        <f t="shared" si="8"/>
        <v>34</v>
      </c>
      <c r="E26" s="61">
        <f t="shared" si="4"/>
        <v>36</v>
      </c>
      <c r="F26" s="52"/>
      <c r="G26" s="70">
        <f>G27*v*VLOOKUP(D26,'IALM 2012-14'!$B$5:$D$119,3,FALSE)+1-(monthlyconv*(1-v*VLOOKUP(D26,'IALM 2012-14'!$B$5:$D$119,3,FALSE)))</f>
        <v>18.448355675034151</v>
      </c>
      <c r="H26" s="71">
        <f t="shared" si="0"/>
        <v>1336889.7632722331</v>
      </c>
      <c r="I26" s="49"/>
      <c r="J26" s="78">
        <f>J27*v*VLOOKUP(D26,'IALM 2012-14'!$B$5:$D$119,3,FALSE)+v*VLOOKUP(D26,'IALM 2012-14'!$B$5:$D$119,2,FALSE)</f>
        <v>8.9522760274086496E-2</v>
      </c>
      <c r="K26" s="71">
        <f t="shared" si="1"/>
        <v>895227.60274086497</v>
      </c>
      <c r="L26" s="49"/>
      <c r="M26" s="86">
        <f>RenFixedExp*G26</f>
        <v>553.45067025102458</v>
      </c>
      <c r="N26" s="13">
        <f>RenVarExp*G26*premium</f>
        <v>40106.692898166992</v>
      </c>
      <c r="O26" s="87">
        <f t="shared" si="2"/>
        <v>40660.143568418018</v>
      </c>
      <c r="P26" s="80"/>
      <c r="Q26" s="92">
        <f>((Q27*VLOOKUP(D26,'IALM 2012-14'!$B$5:$D$119,3,FALSE)+SumAssured*VLOOKUP(D26,'IALM 2012-14'!$B$5:$D$119,2,FALSE))/(1+i))-$J$5+12*RenFixedExp+$J$5*RenVarExp</f>
        <v>-14973867.054873988</v>
      </c>
      <c r="R26" s="87">
        <f>Q27*VLOOKUP(D26,'IALM 2012-14'!$B$5:$D$119,3,FALSE)-'Term-50'!Q26*(1+i)</f>
        <v>865477.37264278717</v>
      </c>
    </row>
    <row r="27" spans="3:18">
      <c r="C27" s="62">
        <f t="shared" ref="C27:D27" si="9">C26+1</f>
        <v>15</v>
      </c>
      <c r="D27" s="12">
        <f t="shared" si="9"/>
        <v>35</v>
      </c>
      <c r="E27" s="61">
        <f t="shared" si="4"/>
        <v>35</v>
      </c>
      <c r="F27" s="52"/>
      <c r="G27" s="70">
        <f>G28*v*VLOOKUP(D27,'IALM 2012-14'!$B$5:$D$119,3,FALSE)+1-(monthlyconv*(1-v*VLOOKUP(D27,'IALM 2012-14'!$B$5:$D$119,3,FALSE)))</f>
        <v>18.185877635873752</v>
      </c>
      <c r="H27" s="71">
        <f t="shared" si="0"/>
        <v>1317868.8700382535</v>
      </c>
      <c r="I27" s="49"/>
      <c r="J27" s="78">
        <f>J28*v*VLOOKUP(D27,'IALM 2012-14'!$B$5:$D$119,3,FALSE)+v*VLOOKUP(D27,'IALM 2012-14'!$B$5:$D$119,2,FALSE)</f>
        <v>9.2068628922021084E-2</v>
      </c>
      <c r="K27" s="71">
        <f t="shared" si="1"/>
        <v>920686.28922021086</v>
      </c>
      <c r="L27" s="49"/>
      <c r="M27" s="86">
        <f>RenFixedExp*G27</f>
        <v>545.57632907621257</v>
      </c>
      <c r="N27" s="13">
        <f>RenVarExp*G27*premium</f>
        <v>39536.066101147611</v>
      </c>
      <c r="O27" s="87">
        <f t="shared" si="2"/>
        <v>40081.642430223823</v>
      </c>
      <c r="P27" s="80"/>
      <c r="Q27" s="92">
        <f>((Q28*VLOOKUP(D27,'IALM 2012-14'!$B$5:$D$119,3,FALSE)+SumAssured*VLOOKUP(D27,'IALM 2012-14'!$B$5:$D$119,2,FALSE))/(1+i))-$J$5+12*RenFixedExp+$J$5*RenVarExp</f>
        <v>-14724129.872480789</v>
      </c>
      <c r="R27" s="87">
        <f>Q28*VLOOKUP(D27,'IALM 2012-14'!$B$5:$D$119,3,FALSE)-'Term-50'!Q27*(1+i)</f>
        <v>864857.37264278531</v>
      </c>
    </row>
    <row r="28" spans="3:18">
      <c r="C28" s="62">
        <f t="shared" ref="C28:D28" si="10">C27+1</f>
        <v>16</v>
      </c>
      <c r="D28" s="12">
        <f t="shared" si="10"/>
        <v>36</v>
      </c>
      <c r="E28" s="61">
        <f t="shared" si="4"/>
        <v>34</v>
      </c>
      <c r="F28" s="52"/>
      <c r="G28" s="70">
        <f>G29*v*VLOOKUP(D28,'IALM 2012-14'!$B$5:$D$119,3,FALSE)+1-(monthlyconv*(1-v*VLOOKUP(D28,'IALM 2012-14'!$B$5:$D$119,3,FALSE)))</f>
        <v>17.913729293919996</v>
      </c>
      <c r="H28" s="71">
        <f t="shared" si="0"/>
        <v>1298147.2027602394</v>
      </c>
      <c r="I28" s="49"/>
      <c r="J28" s="78">
        <f>J29*v*VLOOKUP(D28,'IALM 2012-14'!$B$5:$D$119,3,FALSE)+v*VLOOKUP(D28,'IALM 2012-14'!$B$5:$D$119,2,FALSE)</f>
        <v>9.4663159196255842E-2</v>
      </c>
      <c r="K28" s="71">
        <f t="shared" si="1"/>
        <v>946631.59196255845</v>
      </c>
      <c r="L28" s="49"/>
      <c r="M28" s="86">
        <f>RenFixedExp*G28</f>
        <v>537.41187881759993</v>
      </c>
      <c r="N28" s="13">
        <f>RenVarExp*G28*premium</f>
        <v>38944.416082807184</v>
      </c>
      <c r="O28" s="87">
        <f t="shared" si="2"/>
        <v>39481.827961624782</v>
      </c>
      <c r="P28" s="80"/>
      <c r="Q28" s="92">
        <f>((Q29*VLOOKUP(D28,'IALM 2012-14'!$B$5:$D$119,3,FALSE)+SumAssured*VLOOKUP(D28,'IALM 2012-14'!$B$5:$D$119,2,FALSE))/(1+i))-$J$5+12*RenFixedExp+$J$5*RenVarExp</f>
        <v>-14465625.376439717</v>
      </c>
      <c r="R28" s="87">
        <f>Q29*VLOOKUP(D28,'IALM 2012-14'!$B$5:$D$119,3,FALSE)-'Term-50'!Q28*(1+i)</f>
        <v>864127.37264278717</v>
      </c>
    </row>
    <row r="29" spans="3:18">
      <c r="C29" s="62">
        <f t="shared" ref="C29:D29" si="11">C28+1</f>
        <v>17</v>
      </c>
      <c r="D29" s="12">
        <f t="shared" si="11"/>
        <v>37</v>
      </c>
      <c r="E29" s="61">
        <f t="shared" si="4"/>
        <v>33</v>
      </c>
      <c r="F29" s="52"/>
      <c r="G29" s="70">
        <f>G30*v*VLOOKUP(D29,'IALM 2012-14'!$B$5:$D$119,3,FALSE)+1-(monthlyconv*(1-v*VLOOKUP(D29,'IALM 2012-14'!$B$5:$D$119,3,FALSE)))</f>
        <v>17.631676561626204</v>
      </c>
      <c r="H29" s="71">
        <f t="shared" si="0"/>
        <v>1277707.797907653</v>
      </c>
      <c r="I29" s="49"/>
      <c r="J29" s="78">
        <f>J30*v*VLOOKUP(D29,'IALM 2012-14'!$B$5:$D$119,3,FALSE)+v*VLOOKUP(D29,'IALM 2012-14'!$B$5:$D$119,2,FALSE)</f>
        <v>9.7298741459466903E-2</v>
      </c>
      <c r="K29" s="71">
        <f t="shared" si="1"/>
        <v>972987.41459466901</v>
      </c>
      <c r="L29" s="49"/>
      <c r="M29" s="86">
        <f>RenFixedExp*G29</f>
        <v>528.95029684878614</v>
      </c>
      <c r="N29" s="13">
        <f>RenVarExp*G29*premium</f>
        <v>38331.23393722959</v>
      </c>
      <c r="O29" s="87">
        <f t="shared" si="2"/>
        <v>38860.184234078377</v>
      </c>
      <c r="P29" s="80"/>
      <c r="Q29" s="92">
        <f>((Q30*VLOOKUP(D29,'IALM 2012-14'!$B$5:$D$119,3,FALSE)+SumAssured*VLOOKUP(D29,'IALM 2012-14'!$B$5:$D$119,2,FALSE))/(1+i))-$J$5+12*RenFixedExp+$J$5*RenVarExp</f>
        <v>-14198225.756694306</v>
      </c>
      <c r="R29" s="87">
        <f>Q30*VLOOKUP(D29,'IALM 2012-14'!$B$5:$D$119,3,FALSE)-'Term-50'!Q29*(1+i)</f>
        <v>863297.37264278717</v>
      </c>
    </row>
    <row r="30" spans="3:18">
      <c r="C30" s="62">
        <f t="shared" ref="C30:D30" si="12">C29+1</f>
        <v>18</v>
      </c>
      <c r="D30" s="12">
        <f t="shared" si="12"/>
        <v>38</v>
      </c>
      <c r="E30" s="61">
        <f t="shared" si="4"/>
        <v>32</v>
      </c>
      <c r="F30" s="52"/>
      <c r="G30" s="70">
        <f>G31*v*VLOOKUP(D30,'IALM 2012-14'!$B$5:$D$119,3,FALSE)+1-(monthlyconv*(1-v*VLOOKUP(D30,'IALM 2012-14'!$B$5:$D$119,3,FALSE)))</f>
        <v>17.339446342223994</v>
      </c>
      <c r="H30" s="71">
        <f t="shared" si="0"/>
        <v>1256530.8650839697</v>
      </c>
      <c r="I30" s="49"/>
      <c r="J30" s="78">
        <f>J31*v*VLOOKUP(D30,'IALM 2012-14'!$B$5:$D$119,3,FALSE)+v*VLOOKUP(D30,'IALM 2012-14'!$B$5:$D$119,2,FALSE)</f>
        <v>9.996844827059706E-2</v>
      </c>
      <c r="K30" s="71">
        <f t="shared" si="1"/>
        <v>999684.48270597064</v>
      </c>
      <c r="L30" s="49"/>
      <c r="M30" s="86">
        <f>RenFixedExp*G30</f>
        <v>520.18339026671981</v>
      </c>
      <c r="N30" s="13">
        <f>RenVarExp*G30*premium</f>
        <v>37695.925952519094</v>
      </c>
      <c r="O30" s="87">
        <f t="shared" si="2"/>
        <v>38216.109342785814</v>
      </c>
      <c r="P30" s="80"/>
      <c r="Q30" s="92">
        <f>((Q31*VLOOKUP(D30,'IALM 2012-14'!$B$5:$D$119,3,FALSE)+SumAssured*VLOOKUP(D30,'IALM 2012-14'!$B$5:$D$119,2,FALSE))/(1+i))-$J$5+12*RenFixedExp+$J$5*RenVarExp</f>
        <v>-13921763.16870239</v>
      </c>
      <c r="R30" s="87">
        <f>Q31*VLOOKUP(D30,'IALM 2012-14'!$B$5:$D$119,3,FALSE)-'Term-50'!Q30*(1+i)</f>
        <v>862347.37264278717</v>
      </c>
    </row>
    <row r="31" spans="3:18">
      <c r="C31" s="62">
        <f t="shared" ref="C31:D31" si="13">C30+1</f>
        <v>19</v>
      </c>
      <c r="D31" s="12">
        <f t="shared" si="13"/>
        <v>39</v>
      </c>
      <c r="E31" s="61">
        <f t="shared" si="4"/>
        <v>31</v>
      </c>
      <c r="F31" s="52"/>
      <c r="G31" s="70">
        <f>G32*v*VLOOKUP(D31,'IALM 2012-14'!$B$5:$D$119,3,FALSE)+1-(monthlyconv*(1-v*VLOOKUP(D31,'IALM 2012-14'!$B$5:$D$119,3,FALSE)))</f>
        <v>17.036777925905962</v>
      </c>
      <c r="H31" s="71">
        <f t="shared" si="0"/>
        <v>1234597.5115337139</v>
      </c>
      <c r="I31" s="49"/>
      <c r="J31" s="78">
        <f>J32*v*VLOOKUP(D31,'IALM 2012-14'!$B$5:$D$119,3,FALSE)+v*VLOOKUP(D31,'IALM 2012-14'!$B$5:$D$119,2,FALSE)</f>
        <v>0.10266335605777291</v>
      </c>
      <c r="K31" s="71">
        <f t="shared" si="1"/>
        <v>1026633.5605777291</v>
      </c>
      <c r="L31" s="49"/>
      <c r="M31" s="86">
        <f>RenFixedExp*G31</f>
        <v>511.10333777717887</v>
      </c>
      <c r="N31" s="13">
        <f>RenVarExp*G31*premium</f>
        <v>37037.925346011412</v>
      </c>
      <c r="O31" s="87">
        <f t="shared" si="2"/>
        <v>37549.028683788594</v>
      </c>
      <c r="P31" s="80"/>
      <c r="Q31" s="92">
        <f>((Q32*VLOOKUP(D31,'IALM 2012-14'!$B$5:$D$119,3,FALSE)+SumAssured*VLOOKUP(D31,'IALM 2012-14'!$B$5:$D$119,2,FALSE))/(1+i))-$J$5+12*RenFixedExp+$J$5*RenVarExp</f>
        <v>-13636099.575490888</v>
      </c>
      <c r="R31" s="87">
        <f>Q32*VLOOKUP(D31,'IALM 2012-14'!$B$5:$D$119,3,FALSE)-'Term-50'!Q31*(1+i)</f>
        <v>861277.37264278531</v>
      </c>
    </row>
    <row r="32" spans="3:18">
      <c r="C32" s="62">
        <f t="shared" ref="C32:D32" si="14">C31+1</f>
        <v>20</v>
      </c>
      <c r="D32" s="12">
        <f t="shared" si="14"/>
        <v>40</v>
      </c>
      <c r="E32" s="61">
        <f t="shared" si="4"/>
        <v>30</v>
      </c>
      <c r="F32" s="52"/>
      <c r="G32" s="70">
        <f>G33*v*VLOOKUP(D32,'IALM 2012-14'!$B$5:$D$119,3,FALSE)+1-(monthlyconv*(1-v*VLOOKUP(D32,'IALM 2012-14'!$B$5:$D$119,3,FALSE)))</f>
        <v>16.72338585821435</v>
      </c>
      <c r="H32" s="71">
        <f t="shared" si="0"/>
        <v>1211887.051340526</v>
      </c>
      <c r="I32" s="49"/>
      <c r="J32" s="78">
        <f>J33*v*VLOOKUP(D32,'IALM 2012-14'!$B$5:$D$119,3,FALSE)+v*VLOOKUP(D32,'IALM 2012-14'!$B$5:$D$119,2,FALSE)</f>
        <v>0.10537427416778557</v>
      </c>
      <c r="K32" s="71">
        <f t="shared" si="1"/>
        <v>1053742.7416778556</v>
      </c>
      <c r="L32" s="49"/>
      <c r="M32" s="86">
        <f>RenFixedExp*G32</f>
        <v>501.70157574643048</v>
      </c>
      <c r="N32" s="13">
        <f>RenVarExp*G32*premium</f>
        <v>36356.611540215774</v>
      </c>
      <c r="O32" s="87">
        <f t="shared" si="2"/>
        <v>36858.313115962206</v>
      </c>
      <c r="P32" s="80"/>
      <c r="Q32" s="92">
        <f>((Q33*VLOOKUP(D32,'IALM 2012-14'!$B$5:$D$119,3,FALSE)+SumAssured*VLOOKUP(D32,'IALM 2012-14'!$B$5:$D$119,2,FALSE))/(1+i))-$J$5+12*RenFixedExp+$J$5*RenVarExp</f>
        <v>-13341078.267965764</v>
      </c>
      <c r="R32" s="87">
        <f>Q33*VLOOKUP(D32,'IALM 2012-14'!$B$5:$D$119,3,FALSE)-'Term-50'!Q32*(1+i)</f>
        <v>860077.37264278717</v>
      </c>
    </row>
    <row r="33" spans="3:18">
      <c r="C33" s="62">
        <f t="shared" ref="C33:D33" si="15">C32+1</f>
        <v>21</v>
      </c>
      <c r="D33" s="12">
        <f t="shared" si="15"/>
        <v>41</v>
      </c>
      <c r="E33" s="61">
        <f t="shared" si="4"/>
        <v>29</v>
      </c>
      <c r="F33" s="52"/>
      <c r="G33" s="70">
        <f>G34*v*VLOOKUP(D33,'IALM 2012-14'!$B$5:$D$119,3,FALSE)+1-(monthlyconv*(1-v*VLOOKUP(D33,'IALM 2012-14'!$B$5:$D$119,3,FALSE)))</f>
        <v>16.3989749037145</v>
      </c>
      <c r="H33" s="71">
        <f t="shared" si="0"/>
        <v>1188378.0897938258</v>
      </c>
      <c r="I33" s="49"/>
      <c r="J33" s="78">
        <f>J34*v*VLOOKUP(D33,'IALM 2012-14'!$B$5:$D$119,3,FALSE)+v*VLOOKUP(D33,'IALM 2012-14'!$B$5:$D$119,2,FALSE)</f>
        <v>0.10809083774190339</v>
      </c>
      <c r="K33" s="71">
        <f t="shared" si="1"/>
        <v>1080908.377419034</v>
      </c>
      <c r="L33" s="49"/>
      <c r="M33" s="86">
        <f>RenFixedExp*G33</f>
        <v>491.96924711143498</v>
      </c>
      <c r="N33" s="13">
        <f>RenVarExp*G33*premium</f>
        <v>35651.342693814775</v>
      </c>
      <c r="O33" s="87">
        <f t="shared" si="2"/>
        <v>36143.311940926207</v>
      </c>
      <c r="P33" s="80"/>
      <c r="Q33" s="92">
        <f>((Q34*VLOOKUP(D33,'IALM 2012-14'!$B$5:$D$119,3,FALSE)+SumAssured*VLOOKUP(D33,'IALM 2012-14'!$B$5:$D$119,2,FALSE))/(1+i))-$J$5+12*RenFixedExp+$J$5*RenVarExp</f>
        <v>-13036545.422351159</v>
      </c>
      <c r="R33" s="87">
        <f>Q34*VLOOKUP(D33,'IALM 2012-14'!$B$5:$D$119,3,FALSE)-'Term-50'!Q33*(1+i)</f>
        <v>858727.37264278717</v>
      </c>
    </row>
    <row r="34" spans="3:18">
      <c r="C34" s="62">
        <f t="shared" ref="C34:D34" si="16">C33+1</f>
        <v>22</v>
      </c>
      <c r="D34" s="12">
        <f t="shared" si="16"/>
        <v>42</v>
      </c>
      <c r="E34" s="61">
        <f t="shared" si="4"/>
        <v>28</v>
      </c>
      <c r="F34" s="52"/>
      <c r="G34" s="70">
        <f>G35*v*VLOOKUP(D34,'IALM 2012-14'!$B$5:$D$119,3,FALSE)+1-(monthlyconv*(1-v*VLOOKUP(D34,'IALM 2012-14'!$B$5:$D$119,3,FALSE)))</f>
        <v>16.063253914050417</v>
      </c>
      <c r="H34" s="71">
        <f t="shared" si="0"/>
        <v>1164049.5283597617</v>
      </c>
      <c r="I34" s="49"/>
      <c r="J34" s="78">
        <f>J35*v*VLOOKUP(D34,'IALM 2012-14'!$B$5:$D$119,3,FALSE)+v*VLOOKUP(D34,'IALM 2012-14'!$B$5:$D$119,2,FALSE)</f>
        <v>0.11080057429392302</v>
      </c>
      <c r="K34" s="71">
        <f t="shared" si="1"/>
        <v>1108005.7429392303</v>
      </c>
      <c r="L34" s="49"/>
      <c r="M34" s="86">
        <f>RenFixedExp*G34</f>
        <v>481.89761742151251</v>
      </c>
      <c r="N34" s="13">
        <f>RenVarExp*G34*premium</f>
        <v>34921.485850792844</v>
      </c>
      <c r="O34" s="87">
        <f t="shared" si="2"/>
        <v>35403.383468214357</v>
      </c>
      <c r="P34" s="80"/>
      <c r="Q34" s="92">
        <f>((Q35*VLOOKUP(D34,'IALM 2012-14'!$B$5:$D$119,3,FALSE)+SumAssured*VLOOKUP(D34,'IALM 2012-14'!$B$5:$D$119,2,FALSE))/(1+i))-$J$5+12*RenFixedExp+$J$5*RenVarExp</f>
        <v>-12722370.96991281</v>
      </c>
      <c r="R34" s="87">
        <f>Q35*VLOOKUP(D34,'IALM 2012-14'!$B$5:$D$119,3,FALSE)-'Term-50'!Q34*(1+i)</f>
        <v>857187.37264278717</v>
      </c>
    </row>
    <row r="35" spans="3:18">
      <c r="C35" s="62">
        <f t="shared" ref="C35:D35" si="17">C34+1</f>
        <v>23</v>
      </c>
      <c r="D35" s="12">
        <f t="shared" si="17"/>
        <v>43</v>
      </c>
      <c r="E35" s="61">
        <f t="shared" si="4"/>
        <v>27</v>
      </c>
      <c r="F35" s="52"/>
      <c r="G35" s="70">
        <f>G36*v*VLOOKUP(D35,'IALM 2012-14'!$B$5:$D$119,3,FALSE)+1-(monthlyconv*(1-v*VLOOKUP(D35,'IALM 2012-14'!$B$5:$D$119,3,FALSE)))</f>
        <v>15.715964596569746</v>
      </c>
      <c r="H35" s="71">
        <f t="shared" si="0"/>
        <v>1138882.6494458851</v>
      </c>
      <c r="I35" s="49"/>
      <c r="J35" s="78">
        <f>J36*v*VLOOKUP(D35,'IALM 2012-14'!$B$5:$D$119,3,FALSE)+v*VLOOKUP(D35,'IALM 2012-14'!$B$5:$D$119,2,FALSE)</f>
        <v>0.11348705327357564</v>
      </c>
      <c r="K35" s="71">
        <f t="shared" si="1"/>
        <v>1134870.5327357564</v>
      </c>
      <c r="L35" s="49"/>
      <c r="M35" s="86">
        <f>RenFixedExp*G35</f>
        <v>471.47893789709241</v>
      </c>
      <c r="N35" s="13">
        <f>RenVarExp*G35*premium</f>
        <v>34166.479483376555</v>
      </c>
      <c r="O35" s="87">
        <f t="shared" si="2"/>
        <v>34637.958421273644</v>
      </c>
      <c r="P35" s="80"/>
      <c r="Q35" s="92">
        <f>((Q36*VLOOKUP(D35,'IALM 2012-14'!$B$5:$D$119,3,FALSE)+SumAssured*VLOOKUP(D35,'IALM 2012-14'!$B$5:$D$119,2,FALSE))/(1+i))-$J$5+12*RenFixedExp+$J$5*RenVarExp</f>
        <v>-12398491.06497347</v>
      </c>
      <c r="R35" s="87">
        <f>Q36*VLOOKUP(D35,'IALM 2012-14'!$B$5:$D$119,3,FALSE)-'Term-50'!Q35*(1+i)</f>
        <v>855437.37264278717</v>
      </c>
    </row>
    <row r="36" spans="3:18">
      <c r="C36" s="62">
        <f t="shared" ref="C36:D36" si="18">C35+1</f>
        <v>24</v>
      </c>
      <c r="D36" s="12">
        <f t="shared" si="18"/>
        <v>44</v>
      </c>
      <c r="E36" s="61">
        <f t="shared" si="4"/>
        <v>26</v>
      </c>
      <c r="F36" s="52"/>
      <c r="G36" s="70">
        <f>G37*v*VLOOKUP(D36,'IALM 2012-14'!$B$5:$D$119,3,FALSE)+1-(monthlyconv*(1-v*VLOOKUP(D36,'IALM 2012-14'!$B$5:$D$119,3,FALSE)))</f>
        <v>15.356844254514217</v>
      </c>
      <c r="H36" s="71">
        <f t="shared" si="0"/>
        <v>1112858.4163091304</v>
      </c>
      <c r="I36" s="49"/>
      <c r="J36" s="78">
        <f>J37*v*VLOOKUP(D36,'IALM 2012-14'!$B$5:$D$119,3,FALSE)+v*VLOOKUP(D36,'IALM 2012-14'!$B$5:$D$119,2,FALSE)</f>
        <v>0.11613152138637106</v>
      </c>
      <c r="K36" s="71">
        <f t="shared" si="1"/>
        <v>1161315.2138637106</v>
      </c>
      <c r="L36" s="49"/>
      <c r="M36" s="86">
        <f>RenFixedExp*G36</f>
        <v>460.7053276354265</v>
      </c>
      <c r="N36" s="13">
        <f>RenVarExp*G36*premium</f>
        <v>33385.752489273917</v>
      </c>
      <c r="O36" s="87">
        <f t="shared" si="2"/>
        <v>33846.457816909344</v>
      </c>
      <c r="P36" s="80"/>
      <c r="Q36" s="92">
        <f>((Q37*VLOOKUP(D36,'IALM 2012-14'!$B$5:$D$119,3,FALSE)+SumAssured*VLOOKUP(D36,'IALM 2012-14'!$B$5:$D$119,2,FALSE))/(1+i))-$J$5+12*RenFixedExp+$J$5*RenVarExp</f>
        <v>-12064860.395617828</v>
      </c>
      <c r="R36" s="87">
        <f>Q37*VLOOKUP(D36,'IALM 2012-14'!$B$5:$D$119,3,FALSE)-'Term-50'!Q36*(1+i)</f>
        <v>853427.37264278717</v>
      </c>
    </row>
    <row r="37" spans="3:18">
      <c r="C37" s="62">
        <f t="shared" ref="C37:D37" si="19">C36+1</f>
        <v>25</v>
      </c>
      <c r="D37" s="12">
        <f t="shared" si="19"/>
        <v>45</v>
      </c>
      <c r="E37" s="61">
        <f t="shared" si="4"/>
        <v>25</v>
      </c>
      <c r="F37" s="52"/>
      <c r="G37" s="70">
        <f>G38*v*VLOOKUP(D37,'IALM 2012-14'!$B$5:$D$119,3,FALSE)+1-(monthlyconv*(1-v*VLOOKUP(D37,'IALM 2012-14'!$B$5:$D$119,3,FALSE)))</f>
        <v>14.985667540076264</v>
      </c>
      <c r="H37" s="71">
        <f t="shared" si="0"/>
        <v>1085960.4987582103</v>
      </c>
      <c r="I37" s="49"/>
      <c r="J37" s="78">
        <f>J38*v*VLOOKUP(D37,'IALM 2012-14'!$B$5:$D$119,3,FALSE)+v*VLOOKUP(D37,'IALM 2012-14'!$B$5:$D$119,2,FALSE)</f>
        <v>0.11871015756130718</v>
      </c>
      <c r="K37" s="71">
        <f t="shared" si="1"/>
        <v>1187101.5756130717</v>
      </c>
      <c r="L37" s="49"/>
      <c r="M37" s="86">
        <f>RenFixedExp*G37</f>
        <v>449.57002620228792</v>
      </c>
      <c r="N37" s="13">
        <f>RenVarExp*G37*premium</f>
        <v>32578.81496274631</v>
      </c>
      <c r="O37" s="87">
        <f t="shared" si="2"/>
        <v>33028.384988948601</v>
      </c>
      <c r="P37" s="80"/>
      <c r="Q37" s="92">
        <f>((Q38*VLOOKUP(D37,'IALM 2012-14'!$B$5:$D$119,3,FALSE)+SumAssured*VLOOKUP(D37,'IALM 2012-14'!$B$5:$D$119,2,FALSE))/(1+i))-$J$5+12*RenFixedExp+$J$5*RenVarExp</f>
        <v>-11721514.390044408</v>
      </c>
      <c r="R37" s="87">
        <f>Q38*VLOOKUP(D37,'IALM 2012-14'!$B$5:$D$119,3,FALSE)-'Term-50'!Q37*(1+i)</f>
        <v>851087.37264278717</v>
      </c>
    </row>
    <row r="38" spans="3:18">
      <c r="C38" s="62">
        <f t="shared" ref="C38:D38" si="20">C37+1</f>
        <v>26</v>
      </c>
      <c r="D38" s="12">
        <f t="shared" si="20"/>
        <v>46</v>
      </c>
      <c r="E38" s="61">
        <f t="shared" si="4"/>
        <v>24</v>
      </c>
      <c r="F38" s="52"/>
      <c r="G38" s="70">
        <f>G39*v*VLOOKUP(D38,'IALM 2012-14'!$B$5:$D$119,3,FALSE)+1-(monthlyconv*(1-v*VLOOKUP(D38,'IALM 2012-14'!$B$5:$D$119,3,FALSE)))</f>
        <v>14.602268868090121</v>
      </c>
      <c r="H38" s="71">
        <f t="shared" si="0"/>
        <v>1058176.8973977875</v>
      </c>
      <c r="I38" s="49"/>
      <c r="J38" s="78">
        <f>J39*v*VLOOKUP(D38,'IALM 2012-14'!$B$5:$D$119,3,FALSE)+v*VLOOKUP(D38,'IALM 2012-14'!$B$5:$D$119,2,FALSE)</f>
        <v>0.12119211833695047</v>
      </c>
      <c r="K38" s="71">
        <f t="shared" si="1"/>
        <v>1211921.1833695048</v>
      </c>
      <c r="L38" s="49"/>
      <c r="M38" s="86">
        <f>RenFixedExp*G38</f>
        <v>438.06806604270366</v>
      </c>
      <c r="N38" s="13">
        <f>RenVarExp*G38*premium</f>
        <v>31745.306921933621</v>
      </c>
      <c r="O38" s="87">
        <f t="shared" si="2"/>
        <v>32183.374987976324</v>
      </c>
      <c r="P38" s="80"/>
      <c r="Q38" s="92">
        <f>((Q39*VLOOKUP(D38,'IALM 2012-14'!$B$5:$D$119,3,FALSE)+SumAssured*VLOOKUP(D38,'IALM 2012-14'!$B$5:$D$119,2,FALSE))/(1+i))-$J$5+12*RenFixedExp+$J$5*RenVarExp</f>
        <v>-11368607.231052281</v>
      </c>
      <c r="R38" s="87">
        <f>Q39*VLOOKUP(D38,'IALM 2012-14'!$B$5:$D$119,3,FALSE)-'Term-50'!Q38*(1+i)</f>
        <v>848367.37264278717</v>
      </c>
    </row>
    <row r="39" spans="3:18">
      <c r="C39" s="62">
        <f t="shared" ref="C39:D39" si="21">C38+1</f>
        <v>27</v>
      </c>
      <c r="D39" s="12">
        <f t="shared" si="21"/>
        <v>47</v>
      </c>
      <c r="E39" s="61">
        <f t="shared" si="4"/>
        <v>23</v>
      </c>
      <c r="F39" s="52"/>
      <c r="G39" s="70">
        <f>G40*v*VLOOKUP(D39,'IALM 2012-14'!$B$5:$D$119,3,FALSE)+1-(monthlyconv*(1-v*VLOOKUP(D39,'IALM 2012-14'!$B$5:$D$119,3,FALSE)))</f>
        <v>14.206502402830866</v>
      </c>
      <c r="H39" s="71">
        <f t="shared" si="0"/>
        <v>1029497.0440075175</v>
      </c>
      <c r="I39" s="49"/>
      <c r="J39" s="78">
        <f>J40*v*VLOOKUP(D39,'IALM 2012-14'!$B$5:$D$119,3,FALSE)+v*VLOOKUP(D39,'IALM 2012-14'!$B$5:$D$119,2,FALSE)</f>
        <v>0.12354101851421252</v>
      </c>
      <c r="K39" s="71">
        <f t="shared" si="1"/>
        <v>1235410.1851421252</v>
      </c>
      <c r="L39" s="49"/>
      <c r="M39" s="86">
        <f>RenFixedExp*G39</f>
        <v>426.19507208492598</v>
      </c>
      <c r="N39" s="13">
        <f>RenVarExp*G39*premium</f>
        <v>30884.911320225525</v>
      </c>
      <c r="O39" s="87">
        <f t="shared" si="2"/>
        <v>31311.106392310452</v>
      </c>
      <c r="P39" s="80"/>
      <c r="Q39" s="92">
        <f>((Q40*VLOOKUP(D39,'IALM 2012-14'!$B$5:$D$119,3,FALSE)+SumAssured*VLOOKUP(D39,'IALM 2012-14'!$B$5:$D$119,2,FALSE))/(1+i))-$J$5+12*RenFixedExp+$J$5*RenVarExp</f>
        <v>-11006363.289389636</v>
      </c>
      <c r="R39" s="87">
        <f>Q40*VLOOKUP(D39,'IALM 2012-14'!$B$5:$D$119,3,FALSE)-'Term-50'!Q39*(1+i)</f>
        <v>845197.37264278717</v>
      </c>
    </row>
    <row r="40" spans="3:18">
      <c r="C40" s="62">
        <f t="shared" ref="C40:D40" si="22">C39+1</f>
        <v>28</v>
      </c>
      <c r="D40" s="12">
        <f t="shared" si="22"/>
        <v>48</v>
      </c>
      <c r="E40" s="61">
        <f t="shared" si="4"/>
        <v>22</v>
      </c>
      <c r="F40" s="52"/>
      <c r="G40" s="70">
        <f>G41*v*VLOOKUP(D40,'IALM 2012-14'!$B$5:$D$119,3,FALSE)+1-(monthlyconv*(1-v*VLOOKUP(D40,'IALM 2012-14'!$B$5:$D$119,3,FALSE)))</f>
        <v>13.798260722245509</v>
      </c>
      <c r="H40" s="71">
        <f t="shared" si="0"/>
        <v>999913.15407557064</v>
      </c>
      <c r="I40" s="49"/>
      <c r="J40" s="78">
        <f>J41*v*VLOOKUP(D40,'IALM 2012-14'!$B$5:$D$119,3,FALSE)+v*VLOOKUP(D40,'IALM 2012-14'!$B$5:$D$119,2,FALSE)</f>
        <v>0.12571291777830268</v>
      </c>
      <c r="K40" s="71">
        <f t="shared" si="1"/>
        <v>1257129.1777830268</v>
      </c>
      <c r="L40" s="49"/>
      <c r="M40" s="86">
        <f>RenFixedExp*G40</f>
        <v>413.94782166736525</v>
      </c>
      <c r="N40" s="13">
        <f>RenVarExp*G40*premium</f>
        <v>29997.394622267122</v>
      </c>
      <c r="O40" s="87">
        <f t="shared" si="2"/>
        <v>30411.342443934489</v>
      </c>
      <c r="P40" s="80"/>
      <c r="Q40" s="92">
        <f>((Q41*VLOOKUP(D40,'IALM 2012-14'!$B$5:$D$119,3,FALSE)+SumAssured*VLOOKUP(D40,'IALM 2012-14'!$B$5:$D$119,2,FALSE))/(1+i))-$J$5+12*RenFixedExp+$J$5*RenVarExp</f>
        <v>-10635112.484673882</v>
      </c>
      <c r="R40" s="87">
        <f>Q41*VLOOKUP(D40,'IALM 2012-14'!$B$5:$D$119,3,FALSE)-'Term-50'!Q40*(1+i)</f>
        <v>841517.37264278717</v>
      </c>
    </row>
    <row r="41" spans="3:18">
      <c r="C41" s="62">
        <f t="shared" ref="C41:D41" si="23">C40+1</f>
        <v>29</v>
      </c>
      <c r="D41" s="12">
        <f t="shared" si="23"/>
        <v>49</v>
      </c>
      <c r="E41" s="61">
        <f t="shared" si="4"/>
        <v>21</v>
      </c>
      <c r="F41" s="52"/>
      <c r="G41" s="70">
        <f>G42*v*VLOOKUP(D41,'IALM 2012-14'!$B$5:$D$119,3,FALSE)+1-(monthlyconv*(1-v*VLOOKUP(D41,'IALM 2012-14'!$B$5:$D$119,3,FALSE)))</f>
        <v>13.377447806579395</v>
      </c>
      <c r="H41" s="71">
        <f t="shared" si="0"/>
        <v>969418.26937600365</v>
      </c>
      <c r="I41" s="49"/>
      <c r="J41" s="78">
        <f>J42*v*VLOOKUP(D41,'IALM 2012-14'!$B$5:$D$119,3,FALSE)+v*VLOOKUP(D41,'IALM 2012-14'!$B$5:$D$119,2,FALSE)</f>
        <v>0.12765682903690931</v>
      </c>
      <c r="K41" s="71">
        <f t="shared" si="1"/>
        <v>1276568.2903690932</v>
      </c>
      <c r="L41" s="49"/>
      <c r="M41" s="86">
        <f>RenFixedExp*G41</f>
        <v>401.32343419738186</v>
      </c>
      <c r="N41" s="13">
        <f>RenVarExp*G41*premium</f>
        <v>29082.548081280111</v>
      </c>
      <c r="O41" s="87">
        <f t="shared" si="2"/>
        <v>29483.871515477491</v>
      </c>
      <c r="P41" s="80"/>
      <c r="Q41" s="92">
        <f>((Q42*VLOOKUP(D41,'IALM 2012-14'!$B$5:$D$119,3,FALSE)+SumAssured*VLOOKUP(D41,'IALM 2012-14'!$B$5:$D$119,2,FALSE))/(1+i))-$J$5+12*RenFixedExp+$J$5*RenVarExp</f>
        <v>-10255262.218623102</v>
      </c>
      <c r="R41" s="87">
        <f>Q42*VLOOKUP(D41,'IALM 2012-14'!$B$5:$D$119,3,FALSE)-'Term-50'!Q41*(1+i)</f>
        <v>837297.37264278717</v>
      </c>
    </row>
    <row r="42" spans="3:18">
      <c r="C42" s="62">
        <f t="shared" ref="C42:D42" si="24">C41+1</f>
        <v>30</v>
      </c>
      <c r="D42" s="12">
        <f t="shared" si="24"/>
        <v>50</v>
      </c>
      <c r="E42" s="61">
        <f t="shared" si="4"/>
        <v>20</v>
      </c>
      <c r="F42" s="52"/>
      <c r="G42" s="70">
        <f>G43*v*VLOOKUP(D42,'IALM 2012-14'!$B$5:$D$119,3,FALSE)+1-(monthlyconv*(1-v*VLOOKUP(D42,'IALM 2012-14'!$B$5:$D$119,3,FALSE)))</f>
        <v>12.943925191416866</v>
      </c>
      <c r="H42" s="71">
        <f t="shared" si="0"/>
        <v>938002.35586225253</v>
      </c>
      <c r="I42" s="49"/>
      <c r="J42" s="78">
        <f>J43*v*VLOOKUP(D42,'IALM 2012-14'!$B$5:$D$119,3,FALSE)+v*VLOOKUP(D42,'IALM 2012-14'!$B$5:$D$119,2,FALSE)</f>
        <v>0.12931693864152888</v>
      </c>
      <c r="K42" s="71">
        <f t="shared" si="1"/>
        <v>1293169.3864152888</v>
      </c>
      <c r="L42" s="49"/>
      <c r="M42" s="86">
        <f>RenFixedExp*G42</f>
        <v>388.31775574250599</v>
      </c>
      <c r="N42" s="13">
        <f>RenVarExp*G42*premium</f>
        <v>28140.070675867577</v>
      </c>
      <c r="O42" s="87">
        <f t="shared" si="2"/>
        <v>28528.388431610081</v>
      </c>
      <c r="P42" s="80"/>
      <c r="Q42" s="92">
        <f>((Q43*VLOOKUP(D42,'IALM 2012-14'!$B$5:$D$119,3,FALSE)+SumAssured*VLOOKUP(D42,'IALM 2012-14'!$B$5:$D$119,2,FALSE))/(1+i))-$J$5+12*RenFixedExp+$J$5*RenVarExp</f>
        <v>-9867229.8303939383</v>
      </c>
      <c r="R42" s="87">
        <f>Q43*VLOOKUP(D42,'IALM 2012-14'!$B$5:$D$119,3,FALSE)-'Term-50'!Q42*(1+i)</f>
        <v>832517.37264278717</v>
      </c>
    </row>
    <row r="43" spans="3:18">
      <c r="C43" s="62">
        <f t="shared" ref="C43:D43" si="25">C42+1</f>
        <v>31</v>
      </c>
      <c r="D43" s="12">
        <f t="shared" si="25"/>
        <v>51</v>
      </c>
      <c r="E43" s="61">
        <f t="shared" si="4"/>
        <v>19</v>
      </c>
      <c r="F43" s="52"/>
      <c r="G43" s="70">
        <f>G44*v*VLOOKUP(D43,'IALM 2012-14'!$B$5:$D$119,3,FALSE)+1-(monthlyconv*(1-v*VLOOKUP(D43,'IALM 2012-14'!$B$5:$D$119,3,FALSE)))</f>
        <v>12.497487553862477</v>
      </c>
      <c r="H43" s="71">
        <f t="shared" si="0"/>
        <v>905650.53448049154</v>
      </c>
      <c r="I43" s="49"/>
      <c r="J43" s="78">
        <f>J44*v*VLOOKUP(D43,'IALM 2012-14'!$B$5:$D$119,3,FALSE)+v*VLOOKUP(D43,'IALM 2012-14'!$B$5:$D$119,2,FALSE)</f>
        <v>0.13063310463937028</v>
      </c>
      <c r="K43" s="71">
        <f t="shared" si="1"/>
        <v>1306331.0463937027</v>
      </c>
      <c r="L43" s="49"/>
      <c r="M43" s="86">
        <f>RenFixedExp*G43</f>
        <v>374.92462661587433</v>
      </c>
      <c r="N43" s="13">
        <f>RenVarExp*G43*premium</f>
        <v>27169.516034414744</v>
      </c>
      <c r="O43" s="87">
        <f t="shared" si="2"/>
        <v>27544.440661030618</v>
      </c>
      <c r="P43" s="80"/>
      <c r="Q43" s="92">
        <f>((Q44*VLOOKUP(D43,'IALM 2012-14'!$B$5:$D$119,3,FALSE)+SumAssured*VLOOKUP(D43,'IALM 2012-14'!$B$5:$D$119,2,FALSE))/(1+i))-$J$5+12*RenFixedExp+$J$5*RenVarExp</f>
        <v>-9471416.8561407495</v>
      </c>
      <c r="R43" s="87">
        <f>Q44*VLOOKUP(D43,'IALM 2012-14'!$B$5:$D$119,3,FALSE)-'Term-50'!Q43*(1+i)</f>
        <v>827187.37264278531</v>
      </c>
    </row>
    <row r="44" spans="3:18">
      <c r="C44" s="62">
        <f t="shared" ref="C44:D44" si="26">C43+1</f>
        <v>32</v>
      </c>
      <c r="D44" s="12">
        <f t="shared" si="26"/>
        <v>52</v>
      </c>
      <c r="E44" s="61">
        <f t="shared" si="4"/>
        <v>18</v>
      </c>
      <c r="F44" s="52"/>
      <c r="G44" s="70">
        <f>G45*v*VLOOKUP(D44,'IALM 2012-14'!$B$5:$D$119,3,FALSE)+1-(monthlyconv*(1-v*VLOOKUP(D44,'IALM 2012-14'!$B$5:$D$119,3,FALSE)))</f>
        <v>12.037813744178466</v>
      </c>
      <c r="H44" s="71">
        <f t="shared" si="0"/>
        <v>872339.53259848966</v>
      </c>
      <c r="I44" s="49"/>
      <c r="J44" s="78">
        <f>J45*v*VLOOKUP(D44,'IALM 2012-14'!$B$5:$D$119,3,FALSE)+v*VLOOKUP(D44,'IALM 2012-14'!$B$5:$D$119,2,FALSE)</f>
        <v>0.13154306632149662</v>
      </c>
      <c r="K44" s="71">
        <f t="shared" si="1"/>
        <v>1315430.6632149662</v>
      </c>
      <c r="L44" s="49"/>
      <c r="M44" s="86">
        <f>RenFixedExp*G44</f>
        <v>361.13441232535399</v>
      </c>
      <c r="N44" s="13">
        <f>RenVarExp*G44*premium</f>
        <v>26170.185977954687</v>
      </c>
      <c r="O44" s="87">
        <f t="shared" si="2"/>
        <v>26531.320390280041</v>
      </c>
      <c r="P44" s="80"/>
      <c r="Q44" s="92">
        <f>((Q45*VLOOKUP(D44,'IALM 2012-14'!$B$5:$D$119,3,FALSE)+SumAssured*VLOOKUP(D44,'IALM 2012-14'!$B$5:$D$119,2,FALSE))/(1+i))-$J$5+12*RenFixedExp+$J$5*RenVarExp</f>
        <v>-9068145.7740950715</v>
      </c>
      <c r="R44" s="87">
        <f>Q45*VLOOKUP(D44,'IALM 2012-14'!$B$5:$D$119,3,FALSE)-'Term-50'!Q44*(1+i)</f>
        <v>821377.37264278717</v>
      </c>
    </row>
    <row r="45" spans="3:18">
      <c r="C45" s="62">
        <f t="shared" ref="C45:D45" si="27">C44+1</f>
        <v>33</v>
      </c>
      <c r="D45" s="12">
        <f t="shared" si="27"/>
        <v>53</v>
      </c>
      <c r="E45" s="61">
        <f t="shared" si="4"/>
        <v>17</v>
      </c>
      <c r="F45" s="52"/>
      <c r="G45" s="70">
        <f>G46*v*VLOOKUP(D45,'IALM 2012-14'!$B$5:$D$119,3,FALSE)+1-(monthlyconv*(1-v*VLOOKUP(D45,'IALM 2012-14'!$B$5:$D$119,3,FALSE)))</f>
        <v>11.564385718013918</v>
      </c>
      <c r="H45" s="71">
        <f t="shared" si="0"/>
        <v>838031.80929922103</v>
      </c>
      <c r="I45" s="49"/>
      <c r="J45" s="78">
        <f>J46*v*VLOOKUP(D45,'IALM 2012-14'!$B$5:$D$119,3,FALSE)+v*VLOOKUP(D45,'IALM 2012-14'!$B$5:$D$119,2,FALSE)</f>
        <v>0.13198731859254514</v>
      </c>
      <c r="K45" s="71">
        <f t="shared" si="1"/>
        <v>1319873.1859254513</v>
      </c>
      <c r="L45" s="49"/>
      <c r="M45" s="86">
        <f>RenFixedExp*G45</f>
        <v>346.93157154041756</v>
      </c>
      <c r="N45" s="13">
        <f>RenVarExp*G45*premium</f>
        <v>25140.954278976631</v>
      </c>
      <c r="O45" s="87">
        <f t="shared" si="2"/>
        <v>25487.88585051705</v>
      </c>
      <c r="P45" s="80"/>
      <c r="Q45" s="92">
        <f>((Q46*VLOOKUP(D45,'IALM 2012-14'!$B$5:$D$119,3,FALSE)+SumAssured*VLOOKUP(D45,'IALM 2012-14'!$B$5:$D$119,2,FALSE))/(1+i))-$J$5+12*RenFixedExp+$J$5*RenVarExp</f>
        <v>-8657543.5993927177</v>
      </c>
      <c r="R45" s="87">
        <f>Q46*VLOOKUP(D45,'IALM 2012-14'!$B$5:$D$119,3,FALSE)-'Term-50'!Q45*(1+i)</f>
        <v>815137.37264278717</v>
      </c>
    </row>
    <row r="46" spans="3:18">
      <c r="C46" s="62">
        <f t="shared" ref="C46:D46" si="28">C45+1</f>
        <v>34</v>
      </c>
      <c r="D46" s="12">
        <f t="shared" si="28"/>
        <v>54</v>
      </c>
      <c r="E46" s="61">
        <f t="shared" si="4"/>
        <v>16</v>
      </c>
      <c r="F46" s="52"/>
      <c r="G46" s="70">
        <f>G47*v*VLOOKUP(D46,'IALM 2012-14'!$B$5:$D$119,3,FALSE)+1-(monthlyconv*(1-v*VLOOKUP(D46,'IALM 2012-14'!$B$5:$D$119,3,FALSE)))</f>
        <v>11.076510606552667</v>
      </c>
      <c r="H46" s="71">
        <f t="shared" si="0"/>
        <v>802677.15472962672</v>
      </c>
      <c r="I46" s="49"/>
      <c r="J46" s="78">
        <f>J47*v*VLOOKUP(D46,'IALM 2012-14'!$B$5:$D$119,3,FALSE)+v*VLOOKUP(D46,'IALM 2012-14'!$B$5:$D$119,2,FALSE)</f>
        <v>0.13190720642873799</v>
      </c>
      <c r="K46" s="71">
        <f t="shared" si="1"/>
        <v>1319072.0642873798</v>
      </c>
      <c r="L46" s="49"/>
      <c r="M46" s="86">
        <f>RenFixedExp*G46</f>
        <v>332.29531819658001</v>
      </c>
      <c r="N46" s="13">
        <f>RenVarExp*G46*premium</f>
        <v>24080.314641888799</v>
      </c>
      <c r="O46" s="87">
        <f t="shared" si="2"/>
        <v>24412.609960085378</v>
      </c>
      <c r="P46" s="80"/>
      <c r="Q46" s="92">
        <f>((Q47*VLOOKUP(D46,'IALM 2012-14'!$B$5:$D$119,3,FALSE)+SumAssured*VLOOKUP(D46,'IALM 2012-14'!$B$5:$D$119,2,FALSE))/(1+i))-$J$5+12*RenFixedExp+$J$5*RenVarExp</f>
        <v>-8239579.132288387</v>
      </c>
      <c r="R46" s="87">
        <f>Q47*VLOOKUP(D46,'IALM 2012-14'!$B$5:$D$119,3,FALSE)-'Term-50'!Q46*(1+i)</f>
        <v>808567.37264278904</v>
      </c>
    </row>
    <row r="47" spans="3:18">
      <c r="C47" s="62">
        <f t="shared" ref="C47:D47" si="29">C46+1</f>
        <v>35</v>
      </c>
      <c r="D47" s="12">
        <f t="shared" si="29"/>
        <v>55</v>
      </c>
      <c r="E47" s="61">
        <f t="shared" si="4"/>
        <v>15</v>
      </c>
      <c r="F47" s="52"/>
      <c r="G47" s="70">
        <f>G48*v*VLOOKUP(D47,'IALM 2012-14'!$B$5:$D$119,3,FALSE)+1-(monthlyconv*(1-v*VLOOKUP(D47,'IALM 2012-14'!$B$5:$D$119,3,FALSE)))</f>
        <v>10.573261186311806</v>
      </c>
      <c r="H47" s="71">
        <f t="shared" si="0"/>
        <v>766208.37614882516</v>
      </c>
      <c r="I47" s="49"/>
      <c r="J47" s="78">
        <f>J48*v*VLOOKUP(D47,'IALM 2012-14'!$B$5:$D$119,3,FALSE)+v*VLOOKUP(D47,'IALM 2012-14'!$B$5:$D$119,2,FALSE)</f>
        <v>0.13124905699421502</v>
      </c>
      <c r="K47" s="71">
        <f t="shared" si="1"/>
        <v>1312490.5699421503</v>
      </c>
      <c r="L47" s="49"/>
      <c r="M47" s="86">
        <f>RenFixedExp*G47</f>
        <v>317.19783558935416</v>
      </c>
      <c r="N47" s="13">
        <f>RenVarExp*G47*premium</f>
        <v>22986.251284464757</v>
      </c>
      <c r="O47" s="87">
        <f t="shared" si="2"/>
        <v>23303.449120054112</v>
      </c>
      <c r="P47" s="80"/>
      <c r="Q47" s="92">
        <f>((Q48*VLOOKUP(D47,'IALM 2012-14'!$B$5:$D$119,3,FALSE)+SumAssured*VLOOKUP(D47,'IALM 2012-14'!$B$5:$D$119,2,FALSE))/(1+i))-$J$5+12*RenFixedExp+$J$5*RenVarExp</f>
        <v>-7813972.1688223602</v>
      </c>
      <c r="R47" s="87">
        <f>Q48*VLOOKUP(D47,'IALM 2012-14'!$B$5:$D$119,3,FALSE)-'Term-50'!Q47*(1+i)</f>
        <v>801747.3726427881</v>
      </c>
    </row>
    <row r="48" spans="3:18">
      <c r="C48" s="62">
        <f t="shared" ref="C48:D48" si="30">C47+1</f>
        <v>36</v>
      </c>
      <c r="D48" s="12">
        <f t="shared" si="30"/>
        <v>56</v>
      </c>
      <c r="E48" s="61">
        <f t="shared" si="4"/>
        <v>14</v>
      </c>
      <c r="F48" s="52"/>
      <c r="G48" s="70">
        <f>G49*v*VLOOKUP(D48,'IALM 2012-14'!$B$5:$D$119,3,FALSE)+1-(monthlyconv*(1-v*VLOOKUP(D48,'IALM 2012-14'!$B$5:$D$119,3,FALSE)))</f>
        <v>10.053500373738846</v>
      </c>
      <c r="H48" s="71">
        <f t="shared" si="0"/>
        <v>728543.07296848844</v>
      </c>
      <c r="I48" s="49"/>
      <c r="J48" s="78">
        <f>J49*v*VLOOKUP(D48,'IALM 2012-14'!$B$5:$D$119,3,FALSE)+v*VLOOKUP(D48,'IALM 2012-14'!$B$5:$D$119,2,FALSE)</f>
        <v>0.12996242698794408</v>
      </c>
      <c r="K48" s="71">
        <f t="shared" si="1"/>
        <v>1299624.2698794408</v>
      </c>
      <c r="L48" s="49"/>
      <c r="M48" s="86">
        <f>RenFixedExp*G48</f>
        <v>301.60501121216538</v>
      </c>
      <c r="N48" s="13">
        <f>RenVarExp*G48*premium</f>
        <v>21856.292189054653</v>
      </c>
      <c r="O48" s="87">
        <f t="shared" si="2"/>
        <v>22157.89720026682</v>
      </c>
      <c r="P48" s="80"/>
      <c r="Q48" s="92">
        <f>((Q49*VLOOKUP(D48,'IALM 2012-14'!$B$5:$D$119,3,FALSE)+SumAssured*VLOOKUP(D48,'IALM 2012-14'!$B$5:$D$119,2,FALSE))/(1+i))-$J$5+12*RenFixedExp+$J$5*RenVarExp</f>
        <v>-7380231.3611487783</v>
      </c>
      <c r="R48" s="87">
        <f>Q49*VLOOKUP(D48,'IALM 2012-14'!$B$5:$D$119,3,FALSE)-'Term-50'!Q48*(1+i)</f>
        <v>794757.3726427881</v>
      </c>
    </row>
    <row r="49" spans="3:18">
      <c r="C49" s="62">
        <f t="shared" ref="C49:D49" si="31">C48+1</f>
        <v>37</v>
      </c>
      <c r="D49" s="12">
        <f t="shared" si="31"/>
        <v>57</v>
      </c>
      <c r="E49" s="61">
        <f t="shared" si="4"/>
        <v>13</v>
      </c>
      <c r="F49" s="52"/>
      <c r="G49" s="70">
        <f>G50*v*VLOOKUP(D49,'IALM 2012-14'!$B$5:$D$119,3,FALSE)+1-(monthlyconv*(1-v*VLOOKUP(D49,'IALM 2012-14'!$B$5:$D$119,3,FALSE)))</f>
        <v>9.5158819781597153</v>
      </c>
      <c r="H49" s="71">
        <f t="shared" si="0"/>
        <v>689583.69131642953</v>
      </c>
      <c r="I49" s="49"/>
      <c r="J49" s="78">
        <f>J50*v*VLOOKUP(D49,'IALM 2012-14'!$B$5:$D$119,3,FALSE)+v*VLOOKUP(D49,'IALM 2012-14'!$B$5:$D$119,2,FALSE)</f>
        <v>0.12800006056482016</v>
      </c>
      <c r="K49" s="71">
        <f t="shared" si="1"/>
        <v>1280000.6056482017</v>
      </c>
      <c r="L49" s="49"/>
      <c r="M49" s="86">
        <f>RenFixedExp*G49</f>
        <v>285.47645934479146</v>
      </c>
      <c r="N49" s="13">
        <f>RenVarExp*G49*premium</f>
        <v>20687.510739492885</v>
      </c>
      <c r="O49" s="87">
        <f t="shared" si="2"/>
        <v>20972.987198837676</v>
      </c>
      <c r="P49" s="80"/>
      <c r="Q49" s="92">
        <f>((Q50*VLOOKUP(D49,'IALM 2012-14'!$B$5:$D$119,3,FALSE)+SumAssured*VLOOKUP(D49,'IALM 2012-14'!$B$5:$D$119,2,FALSE))/(1+i))-$J$5+12*RenFixedExp+$J$5*RenVarExp</f>
        <v>-6937655.2680128636</v>
      </c>
      <c r="R49" s="87">
        <f>Q50*VLOOKUP(D49,'IALM 2012-14'!$B$5:$D$119,3,FALSE)-'Term-50'!Q49*(1+i)</f>
        <v>787627.3726427881</v>
      </c>
    </row>
    <row r="50" spans="3:18">
      <c r="C50" s="62">
        <f t="shared" ref="C50:D50" si="32">C49+1</f>
        <v>38</v>
      </c>
      <c r="D50" s="12">
        <f t="shared" si="32"/>
        <v>58</v>
      </c>
      <c r="E50" s="61">
        <f t="shared" si="4"/>
        <v>12</v>
      </c>
      <c r="F50" s="52"/>
      <c r="G50" s="70">
        <f>G51*v*VLOOKUP(D50,'IALM 2012-14'!$B$5:$D$119,3,FALSE)+1-(monthlyconv*(1-v*VLOOKUP(D50,'IALM 2012-14'!$B$5:$D$119,3,FALSE)))</f>
        <v>8.9588993926992782</v>
      </c>
      <c r="H50" s="71">
        <f t="shared" si="0"/>
        <v>649221.05250246485</v>
      </c>
      <c r="I50" s="49"/>
      <c r="J50" s="78">
        <f>J51*v*VLOOKUP(D50,'IALM 2012-14'!$B$5:$D$119,3,FALSE)+v*VLOOKUP(D50,'IALM 2012-14'!$B$5:$D$119,2,FALSE)</f>
        <v>0.12531348584861185</v>
      </c>
      <c r="K50" s="71">
        <f t="shared" si="1"/>
        <v>1253134.8584861185</v>
      </c>
      <c r="L50" s="49"/>
      <c r="M50" s="86">
        <f>RenFixedExp*G50</f>
        <v>268.76698178097837</v>
      </c>
      <c r="N50" s="13">
        <f>RenVarExp*G50*premium</f>
        <v>19476.631575073945</v>
      </c>
      <c r="O50" s="87">
        <f t="shared" si="2"/>
        <v>19745.398556854925</v>
      </c>
      <c r="P50" s="80"/>
      <c r="Q50" s="92">
        <f>((Q51*VLOOKUP(D50,'IALM 2012-14'!$B$5:$D$119,3,FALSE)+SumAssured*VLOOKUP(D50,'IALM 2012-14'!$B$5:$D$119,2,FALSE))/(1+i))-$J$5+12*RenFixedExp+$J$5*RenVarExp</f>
        <v>-6485416.4478879906</v>
      </c>
      <c r="R50" s="87">
        <f>Q51*VLOOKUP(D50,'IALM 2012-14'!$B$5:$D$119,3,FALSE)-'Term-50'!Q50*(1+i)</f>
        <v>780367.3726427881</v>
      </c>
    </row>
    <row r="51" spans="3:18">
      <c r="C51" s="62">
        <f t="shared" ref="C51:D51" si="33">C50+1</f>
        <v>39</v>
      </c>
      <c r="D51" s="12">
        <f t="shared" si="33"/>
        <v>59</v>
      </c>
      <c r="E51" s="61">
        <f t="shared" si="4"/>
        <v>11</v>
      </c>
      <c r="F51" s="52"/>
      <c r="G51" s="70">
        <f>G52*v*VLOOKUP(D51,'IALM 2012-14'!$B$5:$D$119,3,FALSE)+1-(monthlyconv*(1-v*VLOOKUP(D51,'IALM 2012-14'!$B$5:$D$119,3,FALSE)))</f>
        <v>8.3808961050504251</v>
      </c>
      <c r="H51" s="71">
        <f t="shared" si="0"/>
        <v>607335.11469819944</v>
      </c>
      <c r="I51" s="49"/>
      <c r="J51" s="78">
        <f>J52*v*VLOOKUP(D51,'IALM 2012-14'!$B$5:$D$119,3,FALSE)+v*VLOOKUP(D51,'IALM 2012-14'!$B$5:$D$119,2,FALSE)</f>
        <v>0.12185100937402504</v>
      </c>
      <c r="K51" s="71">
        <f t="shared" si="1"/>
        <v>1218510.0937402504</v>
      </c>
      <c r="L51" s="49"/>
      <c r="M51" s="86">
        <f>RenFixedExp*G51</f>
        <v>251.42688315151275</v>
      </c>
      <c r="N51" s="13">
        <f>RenVarExp*G51*premium</f>
        <v>18220.05344094598</v>
      </c>
      <c r="O51" s="87">
        <f t="shared" si="2"/>
        <v>18471.480324097491</v>
      </c>
      <c r="P51" s="80"/>
      <c r="Q51" s="92">
        <f>((Q52*VLOOKUP(D51,'IALM 2012-14'!$B$5:$D$119,3,FALSE)+SumAssured*VLOOKUP(D51,'IALM 2012-14'!$B$5:$D$119,2,FALSE))/(1+i))-$J$5+12*RenFixedExp+$J$5*RenVarExp</f>
        <v>-6022589.746807158</v>
      </c>
      <c r="R51" s="87">
        <f>Q52*VLOOKUP(D51,'IALM 2012-14'!$B$5:$D$119,3,FALSE)-'Term-50'!Q51*(1+i)</f>
        <v>772947.3726427881</v>
      </c>
    </row>
    <row r="52" spans="3:18">
      <c r="C52" s="62">
        <f t="shared" ref="C52:D52" si="34">C51+1</f>
        <v>40</v>
      </c>
      <c r="D52" s="12">
        <f t="shared" si="34"/>
        <v>60</v>
      </c>
      <c r="E52" s="61">
        <f t="shared" si="4"/>
        <v>10</v>
      </c>
      <c r="F52" s="52"/>
      <c r="G52" s="70">
        <f>G53*v*VLOOKUP(D52,'IALM 2012-14'!$B$5:$D$119,3,FALSE)+1-(monthlyconv*(1-v*VLOOKUP(D52,'IALM 2012-14'!$B$5:$D$119,3,FALSE)))</f>
        <v>7.7800871870541632</v>
      </c>
      <c r="H52" s="71">
        <f t="shared" si="0"/>
        <v>563796.53021400888</v>
      </c>
      <c r="I52" s="49"/>
      <c r="J52" s="78">
        <f>J53*v*VLOOKUP(D52,'IALM 2012-14'!$B$5:$D$119,3,FALSE)+v*VLOOKUP(D52,'IALM 2012-14'!$B$5:$D$119,2,FALSE)</f>
        <v>0.11755378624947686</v>
      </c>
      <c r="K52" s="71">
        <f t="shared" si="1"/>
        <v>1175537.8624947686</v>
      </c>
      <c r="L52" s="49"/>
      <c r="M52" s="86">
        <f>RenFixedExp*G52</f>
        <v>233.4026156116249</v>
      </c>
      <c r="N52" s="13">
        <f>RenVarExp*G52*premium</f>
        <v>16913.895906420268</v>
      </c>
      <c r="O52" s="87">
        <f t="shared" si="2"/>
        <v>17147.298522031891</v>
      </c>
      <c r="P52" s="80"/>
      <c r="Q52" s="92">
        <f>((Q53*VLOOKUP(D52,'IALM 2012-14'!$B$5:$D$119,3,FALSE)+SumAssured*VLOOKUP(D52,'IALM 2012-14'!$B$5:$D$119,2,FALSE))/(1+i))-$J$5+12*RenFixedExp+$J$5*RenVarExp</f>
        <v>-5548208.4949244056</v>
      </c>
      <c r="R52" s="87">
        <f>Q53*VLOOKUP(D52,'IALM 2012-14'!$B$5:$D$119,3,FALSE)-'Term-50'!Q52*(1+i)</f>
        <v>765257.3726427881</v>
      </c>
    </row>
    <row r="53" spans="3:18">
      <c r="C53" s="62">
        <f t="shared" ref="C53:D53" si="35">C52+1</f>
        <v>41</v>
      </c>
      <c r="D53" s="12">
        <f t="shared" si="35"/>
        <v>61</v>
      </c>
      <c r="E53" s="61">
        <f t="shared" si="4"/>
        <v>9</v>
      </c>
      <c r="F53" s="52"/>
      <c r="G53" s="70">
        <f>G54*v*VLOOKUP(D53,'IALM 2012-14'!$B$5:$D$119,3,FALSE)+1-(monthlyconv*(1-v*VLOOKUP(D53,'IALM 2012-14'!$B$5:$D$119,3,FALSE)))</f>
        <v>7.1545995648795149</v>
      </c>
      <c r="H53" s="71">
        <f t="shared" si="0"/>
        <v>518469.56374238979</v>
      </c>
      <c r="I53" s="49"/>
      <c r="J53" s="78">
        <f>J54*v*VLOOKUP(D53,'IALM 2012-14'!$B$5:$D$119,3,FALSE)+v*VLOOKUP(D53,'IALM 2012-14'!$B$5:$D$119,2,FALSE)</f>
        <v>0.11234796569251582</v>
      </c>
      <c r="K53" s="71">
        <f t="shared" si="1"/>
        <v>1123479.6569251581</v>
      </c>
      <c r="L53" s="49"/>
      <c r="M53" s="86">
        <f>RenFixedExp*G53</f>
        <v>214.63798694638544</v>
      </c>
      <c r="N53" s="13">
        <f>RenVarExp*G53*premium</f>
        <v>15554.086912271694</v>
      </c>
      <c r="O53" s="87">
        <f t="shared" si="2"/>
        <v>15768.724899218079</v>
      </c>
      <c r="P53" s="80"/>
      <c r="Q53" s="92">
        <f>((Q54*VLOOKUP(D53,'IALM 2012-14'!$B$5:$D$119,3,FALSE)+SumAssured*VLOOKUP(D53,'IALM 2012-14'!$B$5:$D$119,2,FALSE))/(1+i))-$J$5+12*RenFixedExp+$J$5*RenVarExp</f>
        <v>-5061374.5245213006</v>
      </c>
      <c r="R53" s="87">
        <f>Q54*VLOOKUP(D53,'IALM 2012-14'!$B$5:$D$119,3,FALSE)-'Term-50'!Q53*(1+i)</f>
        <v>757187.3726427881</v>
      </c>
    </row>
    <row r="54" spans="3:18">
      <c r="C54" s="62">
        <f t="shared" ref="C54:D54" si="36">C53+1</f>
        <v>42</v>
      </c>
      <c r="D54" s="12">
        <f t="shared" si="36"/>
        <v>62</v>
      </c>
      <c r="E54" s="61">
        <f t="shared" si="4"/>
        <v>8</v>
      </c>
      <c r="F54" s="52"/>
      <c r="G54" s="70">
        <f>G55*v*VLOOKUP(D54,'IALM 2012-14'!$B$5:$D$119,3,FALSE)+1-(monthlyconv*(1-v*VLOOKUP(D54,'IALM 2012-14'!$B$5:$D$119,3,FALSE)))</f>
        <v>6.5024302602597448</v>
      </c>
      <c r="H54" s="71">
        <f t="shared" si="0"/>
        <v>471209.06624198437</v>
      </c>
      <c r="I54" s="49"/>
      <c r="J54" s="78">
        <f>J55*v*VLOOKUP(D54,'IALM 2012-14'!$B$5:$D$119,3,FALSE)+v*VLOOKUP(D54,'IALM 2012-14'!$B$5:$D$119,2,FALSE)</f>
        <v>0.10614331364118783</v>
      </c>
      <c r="K54" s="71">
        <f t="shared" si="1"/>
        <v>1061433.1364118783</v>
      </c>
      <c r="L54" s="49"/>
      <c r="M54" s="86">
        <f>RenFixedExp*G54</f>
        <v>195.07290780779235</v>
      </c>
      <c r="N54" s="13">
        <f>RenVarExp*G54*premium</f>
        <v>14136.271987259532</v>
      </c>
      <c r="O54" s="87">
        <f t="shared" si="2"/>
        <v>14331.344895067325</v>
      </c>
      <c r="P54" s="80"/>
      <c r="Q54" s="92">
        <f>((Q55*VLOOKUP(D54,'IALM 2012-14'!$B$5:$D$119,3,FALSE)+SumAssured*VLOOKUP(D54,'IALM 2012-14'!$B$5:$D$119,2,FALSE))/(1+i))-$J$5+12*RenFixedExp+$J$5*RenVarExp</f>
        <v>-4561235.5612924751</v>
      </c>
      <c r="R54" s="87">
        <f>Q55*VLOOKUP(D54,'IALM 2012-14'!$B$5:$D$119,3,FALSE)-'Term-50'!Q54*(1+i)</f>
        <v>748567.37264278857</v>
      </c>
    </row>
    <row r="55" spans="3:18">
      <c r="C55" s="62">
        <f t="shared" ref="C55:D55" si="37">C54+1</f>
        <v>43</v>
      </c>
      <c r="D55" s="12">
        <f t="shared" si="37"/>
        <v>63</v>
      </c>
      <c r="E55" s="61">
        <f t="shared" si="4"/>
        <v>7</v>
      </c>
      <c r="F55" s="52"/>
      <c r="G55" s="70">
        <f>G56*v*VLOOKUP(D55,'IALM 2012-14'!$B$5:$D$119,3,FALSE)+1-(monthlyconv*(1-v*VLOOKUP(D55,'IALM 2012-14'!$B$5:$D$119,3,FALSE)))</f>
        <v>5.821436531134454</v>
      </c>
      <c r="H55" s="71">
        <f t="shared" si="0"/>
        <v>421859.76046335435</v>
      </c>
      <c r="I55" s="49"/>
      <c r="J55" s="78">
        <f>J56*v*VLOOKUP(D55,'IALM 2012-14'!$B$5:$D$119,3,FALSE)+v*VLOOKUP(D55,'IALM 2012-14'!$B$5:$D$119,2,FALSE)</f>
        <v>9.8826083666358408E-2</v>
      </c>
      <c r="K55" s="71">
        <f t="shared" si="1"/>
        <v>988260.83666358411</v>
      </c>
      <c r="L55" s="49"/>
      <c r="M55" s="86">
        <f>RenFixedExp*G55</f>
        <v>174.64309593403362</v>
      </c>
      <c r="N55" s="13">
        <f>RenVarExp*G55*premium</f>
        <v>12655.792813900631</v>
      </c>
      <c r="O55" s="87">
        <f t="shared" si="2"/>
        <v>12830.435909834665</v>
      </c>
      <c r="P55" s="80"/>
      <c r="Q55" s="92">
        <f>((Q56*VLOOKUP(D55,'IALM 2012-14'!$B$5:$D$119,3,FALSE)+SumAssured*VLOOKUP(D55,'IALM 2012-14'!$B$5:$D$119,2,FALSE))/(1+i))-$J$5+12*RenFixedExp+$J$5*RenVarExp</f>
        <v>-4047045.2486872924</v>
      </c>
      <c r="R55" s="87">
        <f>Q56*VLOOKUP(D55,'IALM 2012-14'!$B$5:$D$119,3,FALSE)-'Term-50'!Q55*(1+i)</f>
        <v>739227.37264278764</v>
      </c>
    </row>
    <row r="56" spans="3:18">
      <c r="C56" s="62">
        <f t="shared" ref="C56:D56" si="38">C55+1</f>
        <v>44</v>
      </c>
      <c r="D56" s="12">
        <f t="shared" si="38"/>
        <v>64</v>
      </c>
      <c r="E56" s="61">
        <f t="shared" si="4"/>
        <v>6</v>
      </c>
      <c r="F56" s="52"/>
      <c r="G56" s="70">
        <f>G57*v*VLOOKUP(D56,'IALM 2012-14'!$B$5:$D$119,3,FALSE)+1-(monthlyconv*(1-v*VLOOKUP(D56,'IALM 2012-14'!$B$5:$D$119,3,FALSE)))</f>
        <v>5.1092653211927166</v>
      </c>
      <c r="H56" s="71">
        <f t="shared" si="0"/>
        <v>370251.12839666218</v>
      </c>
      <c r="I56" s="49"/>
      <c r="J56" s="78">
        <f>J57*v*VLOOKUP(D56,'IALM 2012-14'!$B$5:$D$119,3,FALSE)+v*VLOOKUP(D56,'IALM 2012-14'!$B$5:$D$119,2,FALSE)</f>
        <v>9.0256507843478245E-2</v>
      </c>
      <c r="K56" s="71">
        <f t="shared" si="1"/>
        <v>902565.07843478245</v>
      </c>
      <c r="L56" s="49"/>
      <c r="M56" s="86">
        <f>RenFixedExp*G56</f>
        <v>153.27795963578149</v>
      </c>
      <c r="N56" s="13">
        <f>RenVarExp*G56*premium</f>
        <v>11107.533851899867</v>
      </c>
      <c r="O56" s="87">
        <f t="shared" si="2"/>
        <v>11260.811811535648</v>
      </c>
      <c r="P56" s="80"/>
      <c r="Q56" s="92">
        <f>((Q57*VLOOKUP(D56,'IALM 2012-14'!$B$5:$D$119,3,FALSE)+SumAssured*VLOOKUP(D56,'IALM 2012-14'!$B$5:$D$119,2,FALSE))/(1+i))-$J$5+12*RenFixedExp+$J$5*RenVarExp</f>
        <v>-3518126.7000177409</v>
      </c>
      <c r="R56" s="87">
        <f>Q57*VLOOKUP(D56,'IALM 2012-14'!$B$5:$D$119,3,FALSE)-'Term-50'!Q56*(1+i)</f>
        <v>728957.3726427881</v>
      </c>
    </row>
    <row r="57" spans="3:18">
      <c r="C57" s="62">
        <f t="shared" ref="C57:D57" si="39">C56+1</f>
        <v>45</v>
      </c>
      <c r="D57" s="12">
        <f t="shared" si="39"/>
        <v>65</v>
      </c>
      <c r="E57" s="61">
        <f t="shared" si="4"/>
        <v>5</v>
      </c>
      <c r="F57" s="52"/>
      <c r="G57" s="70">
        <f>G58*v*VLOOKUP(D57,'IALM 2012-14'!$B$5:$D$119,3,FALSE)+1-(monthlyconv*(1-v*VLOOKUP(D57,'IALM 2012-14'!$B$5:$D$119,3,FALSE)))</f>
        <v>4.363290730526372</v>
      </c>
      <c r="H57" s="71">
        <f t="shared" si="0"/>
        <v>316192.87998200051</v>
      </c>
      <c r="I57" s="49"/>
      <c r="J57" s="78">
        <f>J58*v*VLOOKUP(D57,'IALM 2012-14'!$B$5:$D$119,3,FALSE)+v*VLOOKUP(D57,'IALM 2012-14'!$B$5:$D$119,2,FALSE)</f>
        <v>8.0262003716187233E-2</v>
      </c>
      <c r="K57" s="71">
        <f t="shared" si="1"/>
        <v>802620.03716187237</v>
      </c>
      <c r="L57" s="49"/>
      <c r="M57" s="86">
        <f>RenFixedExp*G57</f>
        <v>130.89872191579116</v>
      </c>
      <c r="N57" s="13">
        <f>RenVarExp*G57*premium</f>
        <v>9485.7863994600139</v>
      </c>
      <c r="O57" s="87">
        <f t="shared" si="2"/>
        <v>9616.6851213758055</v>
      </c>
      <c r="P57" s="80"/>
      <c r="Q57" s="92">
        <f>((Q58*VLOOKUP(D57,'IALM 2012-14'!$B$5:$D$119,3,FALSE)+SumAssured*VLOOKUP(D57,'IALM 2012-14'!$B$5:$D$119,2,FALSE))/(1+i))-$J$5+12*RenFixedExp+$J$5*RenVarExp</f>
        <v>-2973884.0888174502</v>
      </c>
      <c r="R57" s="87">
        <f>Q58*VLOOKUP(D57,'IALM 2012-14'!$B$5:$D$119,3,FALSE)-'Term-50'!Q57*(1+i)</f>
        <v>717557.37264278764</v>
      </c>
    </row>
    <row r="58" spans="3:18">
      <c r="C58" s="62">
        <f t="shared" ref="C58:D58" si="40">C57+1</f>
        <v>46</v>
      </c>
      <c r="D58" s="12">
        <f t="shared" si="40"/>
        <v>66</v>
      </c>
      <c r="E58" s="61">
        <f t="shared" si="4"/>
        <v>4</v>
      </c>
      <c r="F58" s="52"/>
      <c r="G58" s="70">
        <f>G59*v*VLOOKUP(D58,'IALM 2012-14'!$B$5:$D$119,3,FALSE)+1-(monthlyconv*(1-v*VLOOKUP(D58,'IALM 2012-14'!$B$5:$D$119,3,FALSE)))</f>
        <v>3.5805024243725314</v>
      </c>
      <c r="H58" s="71">
        <f t="shared" si="0"/>
        <v>259466.86646945239</v>
      </c>
      <c r="I58" s="49"/>
      <c r="J58" s="78">
        <f>J59*v*VLOOKUP(D58,'IALM 2012-14'!$B$5:$D$119,3,FALSE)+v*VLOOKUP(D58,'IALM 2012-14'!$B$5:$D$119,2,FALSE)</f>
        <v>6.8633960117425563E-2</v>
      </c>
      <c r="K58" s="71">
        <f t="shared" si="1"/>
        <v>686339.6011742556</v>
      </c>
      <c r="L58" s="49"/>
      <c r="M58" s="86">
        <f>RenFixedExp*G58</f>
        <v>107.41507273117594</v>
      </c>
      <c r="N58" s="13">
        <f>RenVarExp*G58*premium</f>
        <v>7784.0059940835717</v>
      </c>
      <c r="O58" s="87">
        <f t="shared" si="2"/>
        <v>7891.421066814748</v>
      </c>
      <c r="P58" s="80"/>
      <c r="Q58" s="92">
        <f>((Q59*VLOOKUP(D58,'IALM 2012-14'!$B$5:$D$119,3,FALSE)+SumAssured*VLOOKUP(D58,'IALM 2012-14'!$B$5:$D$119,2,FALSE))/(1+i))-$J$5+12*RenFixedExp+$J$5*RenVarExp</f>
        <v>-2413737.7495532427</v>
      </c>
      <c r="R58" s="87">
        <f>Q59*VLOOKUP(D58,'IALM 2012-14'!$B$5:$D$119,3,FALSE)-'Term-50'!Q58*(1+i)</f>
        <v>704817.37264278857</v>
      </c>
    </row>
    <row r="59" spans="3:18">
      <c r="C59" s="62">
        <f t="shared" ref="C59:D59" si="41">C58+1</f>
        <v>47</v>
      </c>
      <c r="D59" s="12">
        <f t="shared" si="41"/>
        <v>67</v>
      </c>
      <c r="E59" s="61">
        <f t="shared" si="4"/>
        <v>3</v>
      </c>
      <c r="F59" s="52"/>
      <c r="G59" s="70">
        <f>G60*v*VLOOKUP(D59,'IALM 2012-14'!$B$5:$D$119,3,FALSE)+1-(monthlyconv*(1-v*VLOOKUP(D59,'IALM 2012-14'!$B$5:$D$119,3,FALSE)))</f>
        <v>2.7573855131534173</v>
      </c>
      <c r="H59" s="71">
        <f t="shared" si="0"/>
        <v>199818.37573299787</v>
      </c>
      <c r="I59" s="49"/>
      <c r="J59" s="78">
        <f>J60*v*VLOOKUP(D59,'IALM 2012-14'!$B$5:$D$119,3,FALSE)+v*VLOOKUP(D59,'IALM 2012-14'!$B$5:$D$119,2,FALSE)</f>
        <v>5.5121743236245441E-2</v>
      </c>
      <c r="K59" s="71">
        <f t="shared" si="1"/>
        <v>551217.43236245436</v>
      </c>
      <c r="L59" s="49"/>
      <c r="M59" s="86">
        <f>RenFixedExp*G59</f>
        <v>82.721565394602521</v>
      </c>
      <c r="N59" s="13">
        <f>RenVarExp*G59*premium</f>
        <v>5994.5512719899352</v>
      </c>
      <c r="O59" s="87">
        <f t="shared" si="2"/>
        <v>6077.2728373845375</v>
      </c>
      <c r="P59" s="80"/>
      <c r="Q59" s="92">
        <f>((Q60*VLOOKUP(D59,'IALM 2012-14'!$B$5:$D$119,3,FALSE)+SumAssured*VLOOKUP(D59,'IALM 2012-14'!$B$5:$D$119,2,FALSE))/(1+i))-$J$5+12*RenFixedExp+$J$5*RenVarExp</f>
        <v>-1837078.6623571005</v>
      </c>
      <c r="R59" s="87">
        <f>Q60*VLOOKUP(D59,'IALM 2012-14'!$B$5:$D$119,3,FALSE)-'Term-50'!Q59*(1+i)</f>
        <v>690527.37264278787</v>
      </c>
    </row>
    <row r="60" spans="3:18">
      <c r="C60" s="62">
        <f t="shared" ref="C60:D60" si="42">C59+1</f>
        <v>48</v>
      </c>
      <c r="D60" s="12">
        <f t="shared" si="42"/>
        <v>68</v>
      </c>
      <c r="E60" s="61">
        <f t="shared" si="4"/>
        <v>2</v>
      </c>
      <c r="F60" s="52"/>
      <c r="G60" s="70">
        <f>G61*v*VLOOKUP(D60,'IALM 2012-14'!$B$5:$D$119,3,FALSE)+1-(monthlyconv*(1-v*VLOOKUP(D60,'IALM 2012-14'!$B$5:$D$119,3,FALSE)))</f>
        <v>1.8897711948964495</v>
      </c>
      <c r="H60" s="71">
        <f t="shared" si="0"/>
        <v>136945.30883328294</v>
      </c>
      <c r="I60" s="49"/>
      <c r="J60" s="78">
        <f>J61*v*VLOOKUP(D60,'IALM 2012-14'!$B$5:$D$119,3,FALSE)+v*VLOOKUP(D60,'IALM 2012-14'!$B$5:$D$119,2,FALSE)</f>
        <v>3.9426322485207096E-2</v>
      </c>
      <c r="K60" s="71">
        <f t="shared" si="1"/>
        <v>394263.22485207097</v>
      </c>
      <c r="L60" s="49"/>
      <c r="M60" s="86">
        <f>RenFixedExp*G60</f>
        <v>56.693135846893483</v>
      </c>
      <c r="N60" s="13">
        <f>RenVarExp*G60*premium</f>
        <v>4108.3592649984876</v>
      </c>
      <c r="O60" s="87">
        <f t="shared" si="2"/>
        <v>4165.0524008453813</v>
      </c>
      <c r="P60" s="80"/>
      <c r="Q60" s="92">
        <f>((Q61*VLOOKUP(D60,'IALM 2012-14'!$B$5:$D$119,3,FALSE)+SumAssured*VLOOKUP(D60,'IALM 2012-14'!$B$5:$D$119,2,FALSE))/(1+i))-$J$5+12*RenFixedExp+$J$5*RenVarExp</f>
        <v>-1243201.4960882002</v>
      </c>
      <c r="R60" s="87">
        <f>Q61*VLOOKUP(D60,'IALM 2012-14'!$B$5:$D$119,3,FALSE)-'Term-50'!Q60*(1+i)</f>
        <v>674477.37264278799</v>
      </c>
    </row>
    <row r="61" spans="3:18">
      <c r="C61" s="62">
        <f t="shared" ref="C61:D61" si="43">C60+1</f>
        <v>49</v>
      </c>
      <c r="D61" s="12">
        <f t="shared" si="43"/>
        <v>69</v>
      </c>
      <c r="E61" s="61">
        <f t="shared" si="4"/>
        <v>1</v>
      </c>
      <c r="F61" s="52"/>
      <c r="G61" s="70">
        <f>G62*v*VLOOKUP(D61,'IALM 2012-14'!$B$5:$D$119,3,FALSE)+1-(monthlyconv*(1-v*VLOOKUP(D61,'IALM 2012-14'!$B$5:$D$119,3,FALSE)))</f>
        <v>0.9726586538461538</v>
      </c>
      <c r="H61" s="71">
        <f t="shared" si="0"/>
        <v>70485.273614103091</v>
      </c>
      <c r="I61" s="49"/>
      <c r="J61" s="78">
        <f>v*VLOOKUP($D$61,'IALM 2012-14'!$B$5:$D$119,2,FALSE)</f>
        <v>2.1192307692307691E-2</v>
      </c>
      <c r="K61" s="71">
        <f t="shared" si="1"/>
        <v>211923.07692307691</v>
      </c>
      <c r="L61" s="49"/>
      <c r="M61" s="86">
        <f>RenFixedExp*G61</f>
        <v>29.179759615384615</v>
      </c>
      <c r="N61" s="13">
        <f>RenVarExp*G61*premium</f>
        <v>2114.5582084230928</v>
      </c>
      <c r="O61" s="87">
        <f t="shared" si="2"/>
        <v>2143.7379680384774</v>
      </c>
      <c r="P61" s="80"/>
      <c r="Q61" s="92">
        <f>((Q62*VLOOKUP(D61,'IALM 2012-14'!$B$5:$D$119,3,FALSE)+SumAssured*VLOOKUP(D61,'IALM 2012-14'!$B$5:$D$119,2,FALSE))/(1+i))-$J$5+12*RenFixedExp+$J$5*RenVarExp</f>
        <v>-631228.24292575766</v>
      </c>
      <c r="R61" s="87">
        <f>Q62*VLOOKUP(D61,'IALM 2012-14'!$B$5:$D$119,3,FALSE)-'Term-50'!Q61*(1+i)</f>
        <v>656477.37264278799</v>
      </c>
    </row>
    <row r="62" spans="3:18" ht="15" thickBot="1">
      <c r="C62" s="62">
        <f t="shared" ref="C62:D62" si="44">C61+1</f>
        <v>50</v>
      </c>
      <c r="D62" s="12">
        <f t="shared" si="44"/>
        <v>70</v>
      </c>
      <c r="E62" s="61">
        <f t="shared" si="4"/>
        <v>0</v>
      </c>
      <c r="F62" s="52"/>
      <c r="G62" s="72">
        <v>0</v>
      </c>
      <c r="H62" s="71">
        <f t="shared" si="0"/>
        <v>0</v>
      </c>
      <c r="I62" s="49"/>
      <c r="J62" s="79">
        <v>0</v>
      </c>
      <c r="K62" s="71">
        <f t="shared" si="1"/>
        <v>0</v>
      </c>
      <c r="L62" s="49"/>
      <c r="M62" s="86">
        <f t="shared" ref="M14:M62" si="45">RenFixedExp*G62</f>
        <v>0</v>
      </c>
      <c r="N62" s="13">
        <f>RenVarExp*G62*premium</f>
        <v>0</v>
      </c>
      <c r="O62" s="87">
        <f t="shared" si="2"/>
        <v>0</v>
      </c>
      <c r="P62" s="80"/>
      <c r="Q62" s="113">
        <f>K62+M62+N62-H62</f>
        <v>0</v>
      </c>
      <c r="R62" s="87">
        <f>Q63*VLOOKUP(D62,'IALM 2012-14'!$B$5:$D$119,3,FALSE)-'Term-50'!Q62*(1+i)</f>
        <v>0</v>
      </c>
    </row>
    <row r="64" spans="3:18" ht="15" thickBot="1">
      <c r="R64" s="114"/>
    </row>
    <row r="65" spans="7:17" ht="44.5" thickBot="1">
      <c r="G65" s="99" t="s">
        <v>46</v>
      </c>
      <c r="H65" s="100">
        <f>SUM(H12:H62)</f>
        <v>50168553.325095594</v>
      </c>
      <c r="I65" s="50"/>
      <c r="J65" s="97" t="s">
        <v>45</v>
      </c>
      <c r="K65" s="98">
        <f>SUM(K12:K62)</f>
        <v>48515418.923062883</v>
      </c>
      <c r="L65" s="50"/>
      <c r="M65" s="101" t="s">
        <v>44</v>
      </c>
      <c r="N65" s="102"/>
      <c r="O65" s="96">
        <f>SUM(O12:O62)</f>
        <v>1653134.402032699</v>
      </c>
      <c r="P65" s="50"/>
      <c r="Q65" s="115"/>
    </row>
    <row r="66" spans="7:17">
      <c r="O66" s="47"/>
      <c r="P66" s="11"/>
      <c r="Q66" s="14"/>
    </row>
    <row r="67" spans="7:17">
      <c r="O67" s="47"/>
      <c r="P67" s="11"/>
      <c r="Q67" s="14"/>
    </row>
  </sheetData>
  <mergeCells count="14">
    <mergeCell ref="O9:O11"/>
    <mergeCell ref="Q9:Q11"/>
    <mergeCell ref="R9:R11"/>
    <mergeCell ref="M65:N65"/>
    <mergeCell ref="C2:R2"/>
    <mergeCell ref="C9:C11"/>
    <mergeCell ref="D9:D11"/>
    <mergeCell ref="E9:E11"/>
    <mergeCell ref="G9:G11"/>
    <mergeCell ref="H9:H11"/>
    <mergeCell ref="J9:J11"/>
    <mergeCell ref="K9:K11"/>
    <mergeCell ref="M9:M11"/>
    <mergeCell ref="N9:N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99ED-F869-4A4F-B92E-B00677DA1B1A}">
  <dimension ref="B1:E61"/>
  <sheetViews>
    <sheetView showGridLines="0" tabSelected="1" zoomScale="55" zoomScaleNormal="55" workbookViewId="0">
      <selection activeCell="E13" sqref="E13"/>
    </sheetView>
  </sheetViews>
  <sheetFormatPr defaultRowHeight="14.5"/>
  <cols>
    <col min="2" max="2" width="14.81640625" bestFit="1" customWidth="1"/>
    <col min="3" max="3" width="22.6328125" customWidth="1"/>
    <col min="4" max="4" width="24.1796875" customWidth="1"/>
    <col min="5" max="5" width="27.453125" customWidth="1"/>
  </cols>
  <sheetData>
    <row r="1" spans="2:5" s="11" customFormat="1" ht="15" thickBot="1"/>
    <row r="2" spans="2:5" ht="21.5" thickBot="1">
      <c r="C2" s="129" t="s">
        <v>34</v>
      </c>
      <c r="D2" s="130"/>
      <c r="E2" s="131"/>
    </row>
    <row r="3" spans="2:5">
      <c r="B3" s="132" t="s">
        <v>49</v>
      </c>
      <c r="C3" s="133" t="s">
        <v>50</v>
      </c>
      <c r="D3" s="134" t="s">
        <v>51</v>
      </c>
      <c r="E3" s="135" t="s">
        <v>52</v>
      </c>
    </row>
    <row r="4" spans="2:5">
      <c r="B4" s="3">
        <f>'Term-50'!C12</f>
        <v>0</v>
      </c>
      <c r="C4" s="15">
        <f>'Term-30'!Q13</f>
        <v>-3693545.1317835823</v>
      </c>
      <c r="D4" s="15">
        <f>'Term-40'!Q12</f>
        <v>-8721851.0932108648</v>
      </c>
      <c r="E4" s="87">
        <f>'Term-50'!Q12</f>
        <v>-17495007.15575007</v>
      </c>
    </row>
    <row r="5" spans="2:5">
      <c r="B5" s="3">
        <f>'Term-50'!C13</f>
        <v>1</v>
      </c>
      <c r="C5" s="15">
        <f>'Term-30'!Q14</f>
        <v>-3662390.8230638872</v>
      </c>
      <c r="D5" s="15">
        <f>'Term-40'!Q13</f>
        <v>-8697001.0218634252</v>
      </c>
      <c r="E5" s="87">
        <f>'Term-50'!Q13</f>
        <v>-17496915.975729041</v>
      </c>
    </row>
    <row r="6" spans="2:5">
      <c r="B6" s="3">
        <f>'Term-50'!C14</f>
        <v>2</v>
      </c>
      <c r="C6" s="15">
        <f>'Term-30'!Q15</f>
        <v>-3589483.0353687238</v>
      </c>
      <c r="D6" s="15">
        <f>'Term-40'!Q14</f>
        <v>-8588277.0388679244</v>
      </c>
      <c r="E6" s="87">
        <f>'Term-50'!Q14</f>
        <v>-17345455.897924073</v>
      </c>
    </row>
    <row r="7" spans="2:5">
      <c r="B7" s="3">
        <f>'Term-50'!C15</f>
        <v>3</v>
      </c>
      <c r="C7" s="15">
        <f>'Term-30'!Q16</f>
        <v>-3513628.6290361257</v>
      </c>
      <c r="D7" s="15">
        <f>'Term-40'!Q15</f>
        <v>-8475153.8649697751</v>
      </c>
      <c r="E7" s="87">
        <f>'Term-50'!Q15</f>
        <v>-17187871.797072101</v>
      </c>
    </row>
    <row r="8" spans="2:5">
      <c r="B8" s="3">
        <f>'Term-50'!C16</f>
        <v>4</v>
      </c>
      <c r="C8" s="15">
        <f>'Term-30'!Q17</f>
        <v>-3434652.6112689651</v>
      </c>
      <c r="D8" s="15">
        <f>'Term-40'!Q16</f>
        <v>-8357377.049862897</v>
      </c>
      <c r="E8" s="87">
        <f>'Term-50'!Q16</f>
        <v>-17023803.576459765</v>
      </c>
    </row>
    <row r="9" spans="2:5">
      <c r="B9" s="3">
        <f>'Term-50'!C17</f>
        <v>5</v>
      </c>
      <c r="C9" s="15">
        <f>'Term-30'!Q18</f>
        <v>-3352400.5076205796</v>
      </c>
      <c r="D9" s="15">
        <f>'Term-40'!Q17</f>
        <v>-8234719.6506671449</v>
      </c>
      <c r="E9" s="87">
        <f>'Term-50'!Q17</f>
        <v>-16852932.132555038</v>
      </c>
    </row>
    <row r="10" spans="2:5">
      <c r="B10" s="3">
        <f>'Term-50'!C18</f>
        <v>6</v>
      </c>
      <c r="C10" s="15">
        <f>'Term-30'!Q19</f>
        <v>-3266751.8761493443</v>
      </c>
      <c r="D10" s="15">
        <f>'Term-40'!Q18</f>
        <v>-8107000.5796091063</v>
      </c>
      <c r="E10" s="87">
        <f>'Term-50'!Q18</f>
        <v>-16675006.476243831</v>
      </c>
    </row>
    <row r="11" spans="2:5">
      <c r="B11" s="3">
        <f>'Term-50'!C19</f>
        <v>7</v>
      </c>
      <c r="C11" s="15">
        <f>'Term-30'!Q20</f>
        <v>-3177594.2937100087</v>
      </c>
      <c r="D11" s="15">
        <f>'Term-40'!Q19</f>
        <v>-7974048.9677581126</v>
      </c>
      <c r="E11" s="87">
        <f>'Term-50'!Q19</f>
        <v>-16489791.358405475</v>
      </c>
    </row>
    <row r="12" spans="2:5">
      <c r="B12" s="3">
        <f>'Term-50'!C20</f>
        <v>8</v>
      </c>
      <c r="C12" s="15">
        <f>'Term-30'!Q21</f>
        <v>-3084823.2926409822</v>
      </c>
      <c r="D12" s="15">
        <f>'Term-40'!Q20</f>
        <v>-7835703.9993795166</v>
      </c>
      <c r="E12" s="87">
        <f>'Term-50'!Q20</f>
        <v>-16297067.100771027</v>
      </c>
    </row>
    <row r="13" spans="2:5">
      <c r="B13" s="3">
        <f>'Term-50'!C21</f>
        <v>9</v>
      </c>
      <c r="C13" s="15">
        <f>'Term-30'!Q22</f>
        <v>-2988355.2572261747</v>
      </c>
      <c r="D13" s="15">
        <f>'Term-40'!Q21</f>
        <v>-7691832.3908425299</v>
      </c>
      <c r="E13" s="87">
        <f>'Term-50'!Q21</f>
        <v>-16096655.461603912</v>
      </c>
    </row>
    <row r="14" spans="2:5">
      <c r="B14" s="3">
        <f>'Term-50'!C22</f>
        <v>10</v>
      </c>
      <c r="C14" s="15">
        <f>'Term-30'!Q23</f>
        <v>-2888114.507211362</v>
      </c>
      <c r="D14" s="15">
        <f>'Term-40'!Q22</f>
        <v>-7542310.6608436564</v>
      </c>
      <c r="E14" s="87">
        <f>'Term-50'!Q22</f>
        <v>-15888393.611718083</v>
      </c>
    </row>
    <row r="15" spans="2:5">
      <c r="B15" s="3">
        <f>'Term-50'!C23</f>
        <v>11</v>
      </c>
      <c r="C15" s="15">
        <f>'Term-30'!Q24</f>
        <v>-2784033.0900560473</v>
      </c>
      <c r="D15" s="15">
        <f>'Term-40'!Q23</f>
        <v>-7387024.7358199582</v>
      </c>
      <c r="E15" s="87">
        <f>'Term-50'!Q23</f>
        <v>-15672133.658128012</v>
      </c>
    </row>
    <row r="16" spans="2:5">
      <c r="B16" s="3">
        <f>'Term-50'!C24</f>
        <v>12</v>
      </c>
      <c r="C16" s="15">
        <f>'Term-30'!Q25</f>
        <v>-2676037.8339086138</v>
      </c>
      <c r="D16" s="15">
        <f>'Term-40'!Q24</f>
        <v>-7225852.2321216986</v>
      </c>
      <c r="E16" s="87">
        <f>'Term-50'!Q24</f>
        <v>-15447716.586980263</v>
      </c>
    </row>
    <row r="17" spans="2:5">
      <c r="B17" s="3">
        <f>'Term-50'!C25</f>
        <v>13</v>
      </c>
      <c r="C17" s="15">
        <f>'Term-30'!Q26</f>
        <v>-2564075.1157628298</v>
      </c>
      <c r="D17" s="15">
        <f>'Term-40'!Q25</f>
        <v>-7058696.0080225859</v>
      </c>
      <c r="E17" s="87">
        <f>'Term-50'!Q25</f>
        <v>-15215021.930668443</v>
      </c>
    </row>
    <row r="18" spans="2:5">
      <c r="B18" s="3">
        <f>'Term-50'!C26</f>
        <v>14</v>
      </c>
      <c r="C18" s="15">
        <f>'Term-30'!Q27</f>
        <v>-2448060.7165587726</v>
      </c>
      <c r="D18" s="15">
        <f>'Term-40'!Q26</f>
        <v>-6885415.9354250208</v>
      </c>
      <c r="E18" s="87">
        <f>'Term-50'!Q26</f>
        <v>-14973867.054873988</v>
      </c>
    </row>
    <row r="19" spans="2:5">
      <c r="B19" s="3">
        <f>'Term-50'!C27</f>
        <v>15</v>
      </c>
      <c r="C19" s="15">
        <f>'Term-30'!Q28</f>
        <v>-2327941.0001885849</v>
      </c>
      <c r="D19" s="15">
        <f>'Term-40'!Q27</f>
        <v>-6705911.8377126735</v>
      </c>
      <c r="E19" s="87">
        <f>'Term-50'!Q27</f>
        <v>-14724129.872480789</v>
      </c>
    </row>
    <row r="20" spans="2:5">
      <c r="B20" s="3">
        <f>'Term-50'!C28</f>
        <v>16</v>
      </c>
      <c r="C20" s="15">
        <f>'Term-30'!Q29</f>
        <v>-2203631.4073750395</v>
      </c>
      <c r="D20" s="15">
        <f>'Term-40'!Q28</f>
        <v>-6520039.9245861927</v>
      </c>
      <c r="E20" s="87">
        <f>'Term-50'!Q28</f>
        <v>-14465625.376439717</v>
      </c>
    </row>
    <row r="21" spans="2:5">
      <c r="B21" s="3">
        <f>'Term-50'!C29</f>
        <v>17</v>
      </c>
      <c r="C21" s="15">
        <f>'Term-30'!Q30</f>
        <v>-2075076.3882923608</v>
      </c>
      <c r="D21" s="15">
        <f>'Term-40'!Q29</f>
        <v>-6327693.8566124812</v>
      </c>
      <c r="E21" s="87">
        <f>'Term-50'!Q29</f>
        <v>-14198225.756694306</v>
      </c>
    </row>
    <row r="22" spans="2:5">
      <c r="B22" s="3">
        <f>'Term-50'!C30</f>
        <v>18</v>
      </c>
      <c r="C22" s="15">
        <f>'Term-30'!Q31</f>
        <v>-1942200.9549481212</v>
      </c>
      <c r="D22" s="15">
        <f>'Term-40'!Q30</f>
        <v>-6128738.9637654331</v>
      </c>
      <c r="E22" s="87">
        <f>'Term-50'!Q30</f>
        <v>-13921763.16870239</v>
      </c>
    </row>
    <row r="23" spans="2:5">
      <c r="B23" s="3">
        <f>'Term-50'!C31</f>
        <v>19</v>
      </c>
      <c r="C23" s="15">
        <f>'Term-30'!Q32</f>
        <v>-1804945.5813029257</v>
      </c>
      <c r="D23" s="15">
        <f>'Term-40'!Q31</f>
        <v>-5923059.2527860086</v>
      </c>
      <c r="E23" s="87">
        <f>'Term-50'!Q31</f>
        <v>-13636099.575490888</v>
      </c>
    </row>
    <row r="24" spans="2:5">
      <c r="B24" s="3">
        <f>'Term-50'!C32</f>
        <v>20</v>
      </c>
      <c r="C24" s="15">
        <f>'Term-30'!Q33</f>
        <v>-1663242.0644027577</v>
      </c>
      <c r="D24" s="15">
        <f>'Term-40'!Q32</f>
        <v>-5710524.5665969998</v>
      </c>
      <c r="E24" s="87">
        <f>'Term-50'!Q32</f>
        <v>-13341078.267965764</v>
      </c>
    </row>
    <row r="25" spans="2:5">
      <c r="B25" s="3">
        <f>'Term-50'!C33</f>
        <v>21</v>
      </c>
      <c r="C25" s="15">
        <f>'Term-30'!Q34</f>
        <v>-1517024.3501143064</v>
      </c>
      <c r="D25" s="15">
        <f>'Term-40'!Q33</f>
        <v>-5491004.962974336</v>
      </c>
      <c r="E25" s="87">
        <f>'Term-50'!Q33</f>
        <v>-13036545.422351159</v>
      </c>
    </row>
    <row r="26" spans="2:5">
      <c r="B26" s="3">
        <f>'Term-50'!C34</f>
        <v>22</v>
      </c>
      <c r="C26" s="15">
        <f>'Term-30'!Q35</f>
        <v>-1366239.0502222783</v>
      </c>
      <c r="D26" s="15">
        <f>'Term-40'!Q34</f>
        <v>-5264384.5448178127</v>
      </c>
      <c r="E26" s="87">
        <f>'Term-50'!Q34</f>
        <v>-12722370.96991281</v>
      </c>
    </row>
    <row r="27" spans="2:5">
      <c r="B27" s="3">
        <f>'Term-50'!C35</f>
        <v>23</v>
      </c>
      <c r="C27" s="15">
        <f>'Term-30'!Q36</f>
        <v>-1210866.8112096877</v>
      </c>
      <c r="D27" s="15">
        <f>'Term-40'!Q35</f>
        <v>-5030589.6830721535</v>
      </c>
      <c r="E27" s="87">
        <f>'Term-50'!Q35</f>
        <v>-12398491.06497347</v>
      </c>
    </row>
    <row r="28" spans="2:5">
      <c r="B28" s="3">
        <f>'Term-50'!C36</f>
        <v>24</v>
      </c>
      <c r="C28" s="15">
        <f>'Term-30'!Q37</f>
        <v>-1050898.6125105442</v>
      </c>
      <c r="D28" s="15">
        <f>'Term-40'!Q36</f>
        <v>-4789556.605132103</v>
      </c>
      <c r="E28" s="87">
        <f>'Term-50'!Q36</f>
        <v>-12064860.395617828</v>
      </c>
    </row>
    <row r="29" spans="2:5">
      <c r="B29" s="3">
        <f>'Term-50'!C37</f>
        <v>25</v>
      </c>
      <c r="C29" s="15">
        <f>'Term-30'!Q38</f>
        <v>-886367.0900644135</v>
      </c>
      <c r="D29" s="15">
        <f>'Term-40'!Q37</f>
        <v>-4541272.6791456435</v>
      </c>
      <c r="E29" s="87">
        <f>'Term-50'!Q37</f>
        <v>-11721514.390044408</v>
      </c>
    </row>
    <row r="30" spans="2:5">
      <c r="B30" s="3">
        <f>'Term-50'!C38</f>
        <v>26</v>
      </c>
      <c r="C30" s="15">
        <f>'Term-30'!Q39</f>
        <v>-717365.862453504</v>
      </c>
      <c r="D30" s="15">
        <f>'Term-40'!Q38</f>
        <v>-4285801.1929637818</v>
      </c>
      <c r="E30" s="87">
        <f>'Term-50'!Q38</f>
        <v>-11368607.231052281</v>
      </c>
    </row>
    <row r="31" spans="2:5">
      <c r="B31" s="3">
        <f>'Term-50'!C39</f>
        <v>27</v>
      </c>
      <c r="C31" s="15">
        <f>'Term-30'!Q40</f>
        <v>-544025.51592479215</v>
      </c>
      <c r="D31" s="15">
        <f>'Term-40'!Q39</f>
        <v>-4023248.0462378161</v>
      </c>
      <c r="E31" s="87">
        <f>'Term-50'!Q39</f>
        <v>-11006363.289389636</v>
      </c>
    </row>
    <row r="32" spans="2:5">
      <c r="B32" s="3">
        <f>'Term-50'!C40</f>
        <v>28</v>
      </c>
      <c r="C32" s="15">
        <f>'Term-30'!Q41</f>
        <v>-366531.71125027101</v>
      </c>
      <c r="D32" s="15">
        <f>'Term-40'!Q40</f>
        <v>-3753784.4827041943</v>
      </c>
      <c r="E32" s="87">
        <f>'Term-50'!Q40</f>
        <v>-10635112.484673882</v>
      </c>
    </row>
    <row r="33" spans="2:5">
      <c r="B33" s="3">
        <f>'Term-50'!C41</f>
        <v>29</v>
      </c>
      <c r="C33" s="15">
        <f>'Term-30'!Q42</f>
        <v>-185111.53631995548</v>
      </c>
      <c r="D33" s="15">
        <f>'Term-40'!Q41</f>
        <v>-3477627.2774410527</v>
      </c>
      <c r="E33" s="87">
        <f>'Term-50'!Q41</f>
        <v>-10255262.218623102</v>
      </c>
    </row>
    <row r="34" spans="2:5">
      <c r="B34" s="3">
        <f>'Term-50'!C42</f>
        <v>30</v>
      </c>
      <c r="C34" s="15">
        <f>'Term-30'!Q43</f>
        <v>0</v>
      </c>
      <c r="D34" s="15">
        <f>'Term-40'!Q42</f>
        <v>-3194992.6749216942</v>
      </c>
      <c r="E34" s="87">
        <f>'Term-50'!Q42</f>
        <v>-9867229.8303939383</v>
      </c>
    </row>
    <row r="35" spans="2:5">
      <c r="B35" s="3">
        <f>'Term-50'!C43</f>
        <v>31</v>
      </c>
      <c r="C35" s="15"/>
      <c r="D35" s="15">
        <f>'Term-40'!Q43</f>
        <v>-2906078.2705021687</v>
      </c>
      <c r="E35" s="87">
        <f>'Term-50'!Q43</f>
        <v>-9471416.8561407495</v>
      </c>
    </row>
    <row r="36" spans="2:5">
      <c r="B36" s="3">
        <f>'Term-50'!C44</f>
        <v>32</v>
      </c>
      <c r="C36" s="1"/>
      <c r="D36" s="15">
        <f>'Term-40'!Q44</f>
        <v>-2611020.0855027782</v>
      </c>
      <c r="E36" s="87">
        <f>'Term-50'!Q44</f>
        <v>-9068145.7740950715</v>
      </c>
    </row>
    <row r="37" spans="2:5">
      <c r="B37" s="3">
        <f>'Term-50'!C45</f>
        <v>33</v>
      </c>
      <c r="C37" s="1"/>
      <c r="D37" s="15">
        <f>'Term-40'!Q45</f>
        <v>-2309814.8869209597</v>
      </c>
      <c r="E37" s="87">
        <f>'Term-50'!Q45</f>
        <v>-8657543.5993927177</v>
      </c>
    </row>
    <row r="38" spans="2:5">
      <c r="B38" s="3">
        <f>'Term-50'!C46</f>
        <v>34</v>
      </c>
      <c r="C38" s="1"/>
      <c r="D38" s="15">
        <f>'Term-40'!Q46</f>
        <v>-2002344.4826090853</v>
      </c>
      <c r="E38" s="87">
        <f>'Term-50'!Q46</f>
        <v>-8239579.132288387</v>
      </c>
    </row>
    <row r="39" spans="2:5">
      <c r="B39" s="3">
        <f>'Term-50'!C47</f>
        <v>35</v>
      </c>
      <c r="C39" s="1"/>
      <c r="D39" s="15">
        <f>'Term-40'!Q47</f>
        <v>-1688315.6716420946</v>
      </c>
      <c r="E39" s="87">
        <f>'Term-50'!Q47</f>
        <v>-7813972.1688223602</v>
      </c>
    </row>
    <row r="40" spans="2:5">
      <c r="B40" s="3">
        <f>'Term-50'!C48</f>
        <v>36</v>
      </c>
      <c r="C40" s="1"/>
      <c r="D40" s="15">
        <f>'Term-40'!Q48</f>
        <v>-1367285.2378755964</v>
      </c>
      <c r="E40" s="87">
        <f>'Term-50'!Q48</f>
        <v>-7380231.3611487783</v>
      </c>
    </row>
    <row r="41" spans="2:5">
      <c r="B41" s="3">
        <f>'Term-50'!C49</f>
        <v>37</v>
      </c>
      <c r="C41" s="1"/>
      <c r="D41" s="15">
        <f>'Term-40'!Q49</f>
        <v>-1038660.6540573983</v>
      </c>
      <c r="E41" s="87">
        <f>'Term-50'!Q49</f>
        <v>-6937655.2680128636</v>
      </c>
    </row>
    <row r="42" spans="2:5">
      <c r="B42" s="3">
        <f>'Term-50'!C50</f>
        <v>38</v>
      </c>
      <c r="C42" s="1"/>
      <c r="D42" s="15">
        <f>'Term-40'!Q50</f>
        <v>-701754.76688984502</v>
      </c>
      <c r="E42" s="87">
        <f>'Term-50'!Q50</f>
        <v>-6485416.4478879906</v>
      </c>
    </row>
    <row r="43" spans="2:5">
      <c r="B43" s="3">
        <f>'Term-50'!C51</f>
        <v>39</v>
      </c>
      <c r="C43" s="1"/>
      <c r="D43" s="15">
        <f>'Term-40'!Q51</f>
        <v>-355803.34098494338</v>
      </c>
      <c r="E43" s="87">
        <f>'Term-50'!Q51</f>
        <v>-6022589.746807158</v>
      </c>
    </row>
    <row r="44" spans="2:5">
      <c r="B44" s="3">
        <f>'Term-50'!C52</f>
        <v>40</v>
      </c>
      <c r="C44" s="1"/>
      <c r="D44" s="15">
        <f>'Term-40'!Q52</f>
        <v>0</v>
      </c>
      <c r="E44" s="87">
        <f>'Term-50'!Q52</f>
        <v>-5548208.4949244056</v>
      </c>
    </row>
    <row r="45" spans="2:5">
      <c r="B45" s="3">
        <f>'Term-50'!C53</f>
        <v>41</v>
      </c>
      <c r="C45" s="1"/>
      <c r="D45" s="1"/>
      <c r="E45" s="87">
        <f>'Term-50'!Q53</f>
        <v>-5061374.5245213006</v>
      </c>
    </row>
    <row r="46" spans="2:5">
      <c r="B46" s="3">
        <f>'Term-50'!C54</f>
        <v>42</v>
      </c>
      <c r="C46" s="1"/>
      <c r="D46" s="1"/>
      <c r="E46" s="87">
        <f>'Term-50'!Q54</f>
        <v>-4561235.5612924751</v>
      </c>
    </row>
    <row r="47" spans="2:5">
      <c r="B47" s="3">
        <f>'Term-50'!C55</f>
        <v>43</v>
      </c>
      <c r="C47" s="1"/>
      <c r="D47" s="1"/>
      <c r="E47" s="87">
        <f>'Term-50'!Q55</f>
        <v>-4047045.2486872924</v>
      </c>
    </row>
    <row r="48" spans="2:5">
      <c r="B48" s="3">
        <f>'Term-50'!C56</f>
        <v>44</v>
      </c>
      <c r="C48" s="1"/>
      <c r="D48" s="1"/>
      <c r="E48" s="87">
        <f>'Term-50'!Q56</f>
        <v>-3518126.7000177409</v>
      </c>
    </row>
    <row r="49" spans="2:5">
      <c r="B49" s="3">
        <f>'Term-50'!C57</f>
        <v>45</v>
      </c>
      <c r="C49" s="1"/>
      <c r="D49" s="1"/>
      <c r="E49" s="87">
        <f>'Term-50'!Q57</f>
        <v>-2973884.0888174502</v>
      </c>
    </row>
    <row r="50" spans="2:5">
      <c r="B50" s="3">
        <f>'Term-50'!C58</f>
        <v>46</v>
      </c>
      <c r="C50" s="1"/>
      <c r="D50" s="1"/>
      <c r="E50" s="87">
        <f>'Term-50'!Q58</f>
        <v>-2413737.7495532427</v>
      </c>
    </row>
    <row r="51" spans="2:5">
      <c r="B51" s="3">
        <f>'Term-50'!C59</f>
        <v>47</v>
      </c>
      <c r="C51" s="1"/>
      <c r="D51" s="1"/>
      <c r="E51" s="87">
        <f>'Term-50'!Q59</f>
        <v>-1837078.6623571005</v>
      </c>
    </row>
    <row r="52" spans="2:5">
      <c r="B52" s="3">
        <f>'Term-50'!C60</f>
        <v>48</v>
      </c>
      <c r="C52" s="1"/>
      <c r="D52" s="1"/>
      <c r="E52" s="87">
        <f>'Term-50'!Q60</f>
        <v>-1243201.4960882002</v>
      </c>
    </row>
    <row r="53" spans="2:5">
      <c r="B53" s="3">
        <f>'Term-50'!C61</f>
        <v>49</v>
      </c>
      <c r="C53" s="1"/>
      <c r="D53" s="1"/>
      <c r="E53" s="87">
        <f>'Term-50'!Q61</f>
        <v>-631228.24292575766</v>
      </c>
    </row>
    <row r="54" spans="2:5" ht="15" thickBot="1">
      <c r="B54" s="5">
        <f>'Term-50'!C62</f>
        <v>50</v>
      </c>
      <c r="C54" s="6"/>
      <c r="D54" s="6"/>
      <c r="E54" s="89">
        <f>'Term-50'!Q62</f>
        <v>0</v>
      </c>
    </row>
    <row r="55" spans="2:5">
      <c r="B55" s="11"/>
    </row>
    <row r="56" spans="2:5">
      <c r="B56" s="11"/>
    </row>
    <row r="57" spans="2:5">
      <c r="B57" s="11"/>
    </row>
    <row r="58" spans="2:5">
      <c r="B58" s="11"/>
    </row>
    <row r="59" spans="2:5">
      <c r="B59" s="11"/>
    </row>
    <row r="60" spans="2:5">
      <c r="B60" s="11"/>
    </row>
    <row r="61" spans="2:5">
      <c r="B61" s="11"/>
    </row>
  </sheetData>
  <mergeCells count="1"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IALM 2012-14</vt:lpstr>
      <vt:lpstr>Parameters</vt:lpstr>
      <vt:lpstr>Term-30</vt:lpstr>
      <vt:lpstr>Term-40</vt:lpstr>
      <vt:lpstr>Term-50</vt:lpstr>
      <vt:lpstr>Comparision of Reserves</vt:lpstr>
      <vt:lpstr>Age</vt:lpstr>
      <vt:lpstr>i</vt:lpstr>
      <vt:lpstr>InitialFixedExp</vt:lpstr>
      <vt:lpstr>InitialVarExp</vt:lpstr>
      <vt:lpstr>monthlyconv</vt:lpstr>
      <vt:lpstr>'Term-40'!premium</vt:lpstr>
      <vt:lpstr>'Term-50'!premium</vt:lpstr>
      <vt:lpstr>premium</vt:lpstr>
      <vt:lpstr>RenFixedExp</vt:lpstr>
      <vt:lpstr>RenVarExp</vt:lpstr>
      <vt:lpstr>SumAssured</vt:lpstr>
      <vt:lpstr>term1</vt:lpstr>
      <vt:lpstr>term2</vt:lpstr>
      <vt:lpstr>term3</vt:lpstr>
      <vt:lpstr>'Term-40'!v</vt:lpstr>
      <vt:lpstr>'Term-50'!v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Ktated</dc:creator>
  <cp:lastModifiedBy>KAREENA T</cp:lastModifiedBy>
  <dcterms:created xsi:type="dcterms:W3CDTF">2021-11-23T09:22:17Z</dcterms:created>
  <dcterms:modified xsi:type="dcterms:W3CDTF">2021-11-23T17:20:07Z</dcterms:modified>
</cp:coreProperties>
</file>