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ocuments\"/>
    </mc:Choice>
  </mc:AlternateContent>
  <xr:revisionPtr revIDLastSave="0" documentId="13_ncr:1_{BFF3FBDA-86A8-48A3-AD90-CEAFDD6FCADE}" xr6:coauthVersionLast="47" xr6:coauthVersionMax="47" xr10:uidLastSave="{00000000-0000-0000-0000-000000000000}"/>
  <bookViews>
    <workbookView xWindow="-110" yWindow="-110" windowWidth="19420" windowHeight="10300" xr2:uid="{A64142E7-1250-4A8E-99B6-78847FB5609D}"/>
  </bookViews>
  <sheets>
    <sheet name="Jeet(1)" sheetId="6" r:id="rId1"/>
    <sheet name="Jeet(2)" sheetId="5" r:id="rId2"/>
    <sheet name="Devanshu(1)" sheetId="1" r:id="rId3"/>
    <sheet name="Devanshu(2)" sheetId="2" r:id="rId4"/>
    <sheet name="Drishti(1)" sheetId="3" r:id="rId5"/>
    <sheet name="Drishti(2)" sheetId="4" r:id="rId6"/>
    <sheet name="Mitali(1)" sheetId="9" r:id="rId7"/>
    <sheet name="Mitali(2)" sheetId="10" r:id="rId8"/>
    <sheet name="Avani(1)" sheetId="7" r:id="rId9"/>
    <sheet name="Avani(2)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9" l="1"/>
  <c r="G13" i="9"/>
  <c r="F13" i="9"/>
  <c r="I12" i="9"/>
  <c r="G12" i="9"/>
  <c r="F12" i="9"/>
  <c r="I11" i="9"/>
  <c r="G11" i="9"/>
  <c r="F11" i="9"/>
  <c r="I10" i="9"/>
  <c r="G10" i="9"/>
  <c r="F10" i="9"/>
  <c r="I9" i="9"/>
  <c r="G9" i="9"/>
  <c r="F9" i="9"/>
  <c r="I8" i="9"/>
  <c r="G8" i="9"/>
  <c r="F8" i="9"/>
  <c r="I7" i="9"/>
  <c r="G7" i="9"/>
  <c r="F7" i="9"/>
  <c r="I6" i="9"/>
  <c r="G6" i="9"/>
  <c r="F6" i="9"/>
  <c r="I5" i="9"/>
  <c r="G5" i="9"/>
  <c r="F5" i="9"/>
  <c r="C13" i="7"/>
  <c r="E12" i="7"/>
  <c r="C12" i="7"/>
  <c r="E11" i="7"/>
  <c r="C11" i="7"/>
  <c r="E10" i="7"/>
  <c r="C10" i="7"/>
  <c r="E9" i="7"/>
  <c r="C9" i="7"/>
  <c r="E8" i="7"/>
  <c r="C8" i="7"/>
  <c r="E7" i="7"/>
  <c r="C7" i="7"/>
  <c r="E6" i="7"/>
  <c r="C6" i="7"/>
  <c r="E5" i="7"/>
  <c r="C5" i="7"/>
  <c r="E4" i="7"/>
  <c r="C4" i="7"/>
  <c r="G15" i="3"/>
  <c r="D15" i="3"/>
  <c r="I14" i="3"/>
  <c r="G14" i="3"/>
  <c r="F14" i="3"/>
  <c r="D14" i="3"/>
  <c r="I13" i="3"/>
  <c r="G13" i="3"/>
  <c r="F13" i="3"/>
  <c r="D13" i="3"/>
  <c r="I12" i="3"/>
  <c r="G12" i="3"/>
  <c r="F12" i="3"/>
  <c r="D12" i="3"/>
  <c r="I11" i="3"/>
  <c r="G11" i="3"/>
  <c r="F11" i="3"/>
  <c r="D11" i="3"/>
  <c r="I10" i="3"/>
  <c r="G10" i="3"/>
  <c r="F10" i="3"/>
  <c r="D10" i="3"/>
  <c r="I9" i="3"/>
  <c r="G9" i="3"/>
  <c r="F9" i="3"/>
  <c r="D9" i="3"/>
  <c r="I8" i="3"/>
  <c r="G8" i="3"/>
  <c r="F8" i="3"/>
  <c r="D8" i="3"/>
  <c r="I7" i="3"/>
  <c r="G7" i="3"/>
  <c r="F7" i="3"/>
  <c r="D7" i="3"/>
  <c r="I6" i="3"/>
  <c r="G6" i="3"/>
  <c r="F6" i="3"/>
  <c r="D6" i="3"/>
  <c r="I5" i="3"/>
  <c r="G5" i="3"/>
  <c r="F5" i="3"/>
  <c r="D5" i="3"/>
  <c r="G16" i="1" l="1"/>
  <c r="G15" i="1"/>
  <c r="G14" i="1"/>
  <c r="G13" i="1"/>
  <c r="G12" i="1"/>
  <c r="G11" i="1"/>
  <c r="G10" i="1"/>
  <c r="G9" i="1"/>
  <c r="G8" i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I4" authorId="0" shapeId="0" xr:uid="{B6469428-95CA-4068-997F-D993FFB4A73A}">
      <text>
        <r>
          <rPr>
            <b/>
            <sz val="10"/>
            <color rgb="FF000000"/>
            <rFont val="Tahoma"/>
            <family val="2"/>
          </rPr>
          <t xml:space="preserve">Drishti: 
</t>
        </r>
        <r>
          <rPr>
            <b/>
            <sz val="10"/>
            <color rgb="FF000000"/>
            <rFont val="Tahoma"/>
            <family val="2"/>
          </rPr>
          <t>Incomplete information was given in the annual report, therefore calculations might be incorrect</t>
        </r>
      </text>
    </comment>
  </commentList>
</comments>
</file>

<file path=xl/sharedStrings.xml><?xml version="1.0" encoding="utf-8"?>
<sst xmlns="http://schemas.openxmlformats.org/spreadsheetml/2006/main" count="199" uniqueCount="140">
  <si>
    <t>NTPC LTD.</t>
  </si>
  <si>
    <t>FINANCIAL YEAR</t>
  </si>
  <si>
    <t>DIVIDEND YEILD(%)</t>
  </si>
  <si>
    <t>SALES GROWTH RATE(%)</t>
  </si>
  <si>
    <r>
      <rPr>
        <b/>
        <sz val="11"/>
        <color theme="1"/>
        <rFont val="Calibri"/>
        <family val="2"/>
        <scheme val="minor"/>
      </rPr>
      <t>FCFE ( RS IN CRORE)</t>
    </r>
    <r>
      <rPr>
        <sz val="11"/>
        <color theme="1"/>
        <rFont val="Calibri"/>
        <family val="2"/>
        <scheme val="minor"/>
      </rPr>
      <t xml:space="preserve"> </t>
    </r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</si>
  <si>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</si>
  <si>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</si>
  <si>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</si>
  <si>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</si>
  <si>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</si>
  <si>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</si>
  <si>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</si>
  <si>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</si>
  <si>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</si>
  <si>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</si>
  <si>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BUYBACK DETAILS</t>
  </si>
  <si>
    <t>TPC Total Share Capital</t>
  </si>
  <si>
    <t>9894.6 Cr</t>
  </si>
  <si>
    <t>NTPC Face Value</t>
  </si>
  <si>
    <t>10 Per Equity Share</t>
  </si>
  <si>
    <r>
      <t>Buyback Offer Amount</t>
    </r>
    <r>
      <rPr>
        <sz val="11"/>
        <color rgb="FF222222"/>
        <rFont val="Calibri"/>
        <family val="2"/>
        <scheme val="minor"/>
      </rPr>
      <t xml:space="preserve">: </t>
    </r>
  </si>
  <si>
    <t xml:space="preserve"> 2275 Cr</t>
  </si>
  <si>
    <t>NTPC Buyback Offer Size (In %)</t>
  </si>
  <si>
    <t>Buyback Number of Shares</t>
  </si>
  <si>
    <t>19.78 Cr</t>
  </si>
  <si>
    <t>NTPC Buyback Price</t>
  </si>
  <si>
    <t>₹115 per unit</t>
  </si>
  <si>
    <t>Promoters and Promoter Group participation</t>
  </si>
  <si>
    <t>YES</t>
  </si>
  <si>
    <t>Buyback type</t>
  </si>
  <si>
    <t>Tender Offer</t>
  </si>
  <si>
    <t>Formulae Used</t>
  </si>
  <si>
    <t>Dividend yeild</t>
  </si>
  <si>
    <t>Annual dividend per Share/Current Share Price</t>
  </si>
  <si>
    <t>A dividend expressed as a percentage of a current share price</t>
  </si>
  <si>
    <t>Dividend Payout</t>
  </si>
  <si>
    <t>Payments that a company makes to its shareholders</t>
  </si>
  <si>
    <t>Sale Growth Rate</t>
  </si>
  <si>
    <t>(Current period sale-Prior Period Sales)/Prior PeriodSales</t>
  </si>
  <si>
    <t>Measures the rate at which a business is able to increase revenue from sales during a fixed period of time</t>
  </si>
  <si>
    <t>Buyback</t>
  </si>
  <si>
    <t>A buyback is a repurchase of outstanding shares by a company to reduce the number of shares on the market and increase the value of remaining shares</t>
  </si>
  <si>
    <t>Free Cash Flow to Equity</t>
  </si>
  <si>
    <t>(Cash from Operation)-(Capital Operations)+(Net Debt Issued)</t>
  </si>
  <si>
    <t>Amount of cash a business generates that is available to be potentially distributed to shareholders</t>
  </si>
  <si>
    <t>Refrences</t>
  </si>
  <si>
    <t>https://www.investello.com/</t>
  </si>
  <si>
    <t>https://www.moneycontrol.com/</t>
  </si>
  <si>
    <t>https://www.ntpc.co.in/</t>
  </si>
  <si>
    <t>https://corporatefinanceinstitute.com/</t>
  </si>
  <si>
    <t>https://investoracademy.in/</t>
  </si>
  <si>
    <t>Prepared By Devanshu Jindal</t>
  </si>
  <si>
    <t>Roll No. 37</t>
  </si>
  <si>
    <t>Divdend Per Share (DPS) (₹)</t>
  </si>
  <si>
    <t>Share Price (₹)</t>
  </si>
  <si>
    <t>Dividend Yield (%)</t>
  </si>
  <si>
    <t>Earnings Per Share (EPS) (₹)</t>
  </si>
  <si>
    <t>Dividend Payout Ratio (%)</t>
  </si>
  <si>
    <t>Sales Growth Rate (%)</t>
  </si>
  <si>
    <t>Buyback Amount Spent</t>
  </si>
  <si>
    <t>Free Cash Flow To Equity (₹) in millions</t>
  </si>
  <si>
    <t>-</t>
  </si>
  <si>
    <t>Links used:</t>
  </si>
  <si>
    <t>bse.com</t>
  </si>
  <si>
    <t>moneycontrol.com</t>
  </si>
  <si>
    <t>corporatefinanceinstitute.com</t>
  </si>
  <si>
    <t>siemens.com</t>
  </si>
  <si>
    <t>Formulae used:</t>
  </si>
  <si>
    <t>Dividend yield= amount of dividend/share price at that time</t>
  </si>
  <si>
    <t>Dividend payout ratio= Dividend per share/earnings per share * 100</t>
  </si>
  <si>
    <t>Sales growth rate= (current year sales-previous year sales)/previous year sale *100</t>
  </si>
  <si>
    <t>Buyback amount spent- directly from official website of siemens.</t>
  </si>
  <si>
    <t>FCFE= Cash from operations-capital expenditures+net debt issues (repaid)</t>
  </si>
  <si>
    <t xml:space="preserve">Dividend Yield (Stock)  </t>
  </si>
  <si>
    <t>=</t>
  </si>
  <si>
    <t>(Annual Dividends per Share / Price per Share)*100</t>
  </si>
  <si>
    <t>A dividend expressed as a percentage of a current share price.</t>
  </si>
  <si>
    <t xml:space="preserve">Dividends Payout Ratio  </t>
  </si>
  <si>
    <t>(Dividends per share / Earnings per share)*100</t>
  </si>
  <si>
    <t>The dividend payout ratio is the fraction of net income a firm pays to its stockholders in dividends</t>
  </si>
  <si>
    <t>Sales Growth Rate</t>
  </si>
  <si>
    <t>[(Current year sales – Previous year sales) / Previous year sales]*100</t>
  </si>
  <si>
    <t>The sales growth rate measures the rate at which a business is able to increase revenue from sales during a fixed period of time.</t>
  </si>
  <si>
    <t xml:space="preserve">Buyback Yield </t>
  </si>
  <si>
    <t>(Buyback Amount/Market Capitalisation)*100</t>
  </si>
  <si>
    <t>Free Cash Flow To Equity</t>
  </si>
  <si>
    <t>(Net Income + Depreciation
  &amp; Amortization + Changes in WC + Capex + Net Borrowings)</t>
  </si>
  <si>
    <t>In corporate finance, free cash flow to equity is a metric of how much cash can be distributed to the equity shareholders of the company as dividends or stock buybacks—after all expenses, reinvestments, and debt repayments are taken care of.</t>
  </si>
  <si>
    <t>Effective Date</t>
  </si>
  <si>
    <t>Dividend Date</t>
  </si>
  <si>
    <t>Dividend</t>
  </si>
  <si>
    <t>Dividend Yield</t>
  </si>
  <si>
    <t>Jun 17,2021</t>
  </si>
  <si>
    <t>Final</t>
  </si>
  <si>
    <t>July 14,2020</t>
  </si>
  <si>
    <t>June 04,2019</t>
  </si>
  <si>
    <t>July 12,2018</t>
  </si>
  <si>
    <t>August 10,2017</t>
  </si>
  <si>
    <t>July 22,2016</t>
  </si>
  <si>
    <t>July 20,2015</t>
  </si>
  <si>
    <t>July 23,2014</t>
  </si>
  <si>
    <t>July 26,2013</t>
  </si>
  <si>
    <t>July 24,2012</t>
  </si>
  <si>
    <t>Financial Year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</si>
  <si>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</si>
  <si>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</si>
  <si>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</si>
  <si>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</si>
  <si>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</si>
  <si>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</si>
  <si>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</si>
  <si>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</si>
  <si>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2019-2020</t>
  </si>
  <si>
    <t>2020-2021</t>
  </si>
  <si>
    <t>Tata power has not indulged in any share buyback in last 10 years</t>
  </si>
  <si>
    <t>Siemens</t>
  </si>
  <si>
    <t>TATA POWER</t>
  </si>
  <si>
    <t>Company- Bajaj Electricals Company</t>
  </si>
  <si>
    <t>Year</t>
  </si>
  <si>
    <t>2010-11</t>
  </si>
  <si>
    <t>No Buyback of share has been done till date</t>
  </si>
  <si>
    <t>Google links:</t>
  </si>
  <si>
    <t>https://economictimes.indiatimes.com/bajaj-electricals-ltd/infocompanydividends/companyid-13978.cms</t>
  </si>
  <si>
    <t>https://www.moneycontrol.com/financials/bajajelectricals/ratiosVI/BE/3#BE</t>
  </si>
  <si>
    <t>https://www.screener.in/company/BAJAJELEC/#profit-loss</t>
  </si>
  <si>
    <t xml:space="preserve">Formulas used : </t>
  </si>
  <si>
    <t>1) Market Price =(Dividend per share/ Dividend yield)*100</t>
  </si>
  <si>
    <t>2)Earning per share = (Dividend per share/ Dividend payout)*100</t>
  </si>
  <si>
    <t>3)Sales growth = (Present sales - Past sales/Past sales)*100</t>
  </si>
  <si>
    <t xml:space="preserve">4)Free cash flow to equity = Cash from Operating Activity - Cash from Investing Activity + Cash from Financing Activity </t>
  </si>
  <si>
    <t>DIVIDEND (%)</t>
  </si>
  <si>
    <t>DIVIDEND(RS)</t>
  </si>
  <si>
    <t>BHEL</t>
  </si>
  <si>
    <t>Dividend Per Share(DPS)</t>
  </si>
  <si>
    <t xml:space="preserve"> Share Price </t>
  </si>
  <si>
    <t xml:space="preserve">Earnings Per Share </t>
  </si>
  <si>
    <t>Dividend Payout Ratio</t>
  </si>
  <si>
    <t>Buyback Amount Spent( Cr)</t>
  </si>
  <si>
    <t>Free cashflow to Equity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</si>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</sst>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00"/>
    <numFmt numFmtId="165" formatCode="[$€-2]\ #,##0"/>
    <numFmt numFmtId="166" formatCode="0.000%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9"/>
      <color theme="1"/>
      <name val="Algerian"/>
      <family val="5"/>
    </font>
    <font>
      <b/>
      <sz val="11"/>
      <color rgb="FF33333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6"/>
      <color theme="1"/>
      <name val="Agency FB"/>
      <family val="2"/>
    </font>
    <font>
      <sz val="20"/>
      <color theme="1"/>
      <name val="Agency FB"/>
      <family val="2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10151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4D5156"/>
      <name val="Calibri"/>
      <family val="2"/>
      <scheme val="minor"/>
    </font>
    <font>
      <b/>
      <sz val="20"/>
      <color theme="1"/>
      <name val="Superclarendon Bold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rgb="FF000000"/>
      <name val="Tahom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4"/>
      <name val="Arial"/>
      <family val="2"/>
    </font>
    <font>
      <b/>
      <i/>
      <u/>
      <sz val="11"/>
      <color theme="1"/>
      <name val="Arial Black"/>
      <family val="2"/>
    </font>
    <font>
      <i/>
      <u/>
      <sz val="11"/>
      <color theme="1"/>
      <name val="Arial Black"/>
      <family val="2"/>
    </font>
    <font>
      <b/>
      <sz val="48"/>
      <color theme="1"/>
      <name val="Agency FB"/>
      <family val="2"/>
    </font>
    <font>
      <b/>
      <sz val="48"/>
      <color theme="1"/>
      <name val="Superclarendon Bold"/>
    </font>
    <font>
      <sz val="28"/>
      <color theme="1"/>
      <name val="Bahnschrift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Calibri (Body)_x0000_"/>
    </font>
    <font>
      <sz val="10"/>
      <color theme="1"/>
      <name val="Calibri"/>
      <family val="2"/>
      <scheme val="minor"/>
    </font>
    <font>
      <sz val="10"/>
      <color rgb="FF333333"/>
      <name val="Arial"/>
      <family val="2"/>
    </font>
    <font>
      <sz val="16"/>
      <color theme="1"/>
      <name val="Algerian"/>
      <family val="5"/>
    </font>
    <font>
      <sz val="12"/>
      <color rgb="FF000000"/>
      <name val="Segoe UI"/>
      <family val="2"/>
    </font>
    <font>
      <sz val="11"/>
      <color rgb="FF333333"/>
      <name val="Arial"/>
      <family val="2"/>
    </font>
    <font>
      <b/>
      <sz val="16"/>
      <color theme="1"/>
      <name val="Baskerville Old Face"/>
      <family val="1"/>
    </font>
    <font>
      <sz val="11"/>
      <color theme="9"/>
      <name val="Calibri"/>
      <family val="2"/>
      <scheme val="minor"/>
    </font>
    <font>
      <sz val="36"/>
      <color theme="1"/>
      <name val="Bahnschrift Light Condensed"/>
      <family val="2"/>
    </font>
    <font>
      <sz val="14"/>
      <color theme="9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33333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D1D1D1"/>
      </top>
      <bottom style="medium">
        <color rgb="FFE0E0E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164" fontId="0" fillId="0" borderId="0" xfId="0" applyNumberFormat="1"/>
    <xf numFmtId="0" fontId="4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164" fontId="5" fillId="0" borderId="7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/>
    </xf>
    <xf numFmtId="10" fontId="7" fillId="0" borderId="8" xfId="0" applyNumberFormat="1" applyFont="1" applyBorder="1" applyAlignment="1">
      <alignment horizontal="center"/>
    </xf>
    <xf numFmtId="0" fontId="8" fillId="0" borderId="8" xfId="0" applyFont="1" applyBorder="1"/>
    <xf numFmtId="0" fontId="0" fillId="0" borderId="9" xfId="0" applyBorder="1" applyAlignment="1">
      <alignment horizontal="center"/>
    </xf>
    <xf numFmtId="164" fontId="5" fillId="0" borderId="10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/>
    </xf>
    <xf numFmtId="10" fontId="7" fillId="0" borderId="11" xfId="0" applyNumberFormat="1" applyFont="1" applyBorder="1" applyAlignment="1">
      <alignment horizontal="center"/>
    </xf>
    <xf numFmtId="0" fontId="8" fillId="0" borderId="11" xfId="0" applyFont="1" applyBorder="1"/>
    <xf numFmtId="0" fontId="0" fillId="0" borderId="12" xfId="0" applyBorder="1" applyAlignment="1">
      <alignment horizontal="center"/>
    </xf>
    <xf numFmtId="164" fontId="5" fillId="0" borderId="13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/>
    </xf>
    <xf numFmtId="10" fontId="7" fillId="0" borderId="14" xfId="0" applyNumberFormat="1" applyFont="1" applyBorder="1" applyAlignment="1">
      <alignment horizontal="center"/>
    </xf>
    <xf numFmtId="0" fontId="8" fillId="0" borderId="14" xfId="0" applyFont="1" applyBorder="1"/>
    <xf numFmtId="0" fontId="0" fillId="0" borderId="0" xfId="0" applyAlignment="1">
      <alignment horizontal="center"/>
    </xf>
    <xf numFmtId="164" fontId="5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8" fillId="0" borderId="0" xfId="0" applyFont="1"/>
    <xf numFmtId="14" fontId="0" fillId="0" borderId="0" xfId="0" applyNumberFormat="1" applyAlignment="1">
      <alignment horizontal="left"/>
    </xf>
    <xf numFmtId="0" fontId="9" fillId="0" borderId="0" xfId="0" applyFont="1" applyAlignment="1">
      <alignment horizontal="left"/>
    </xf>
    <xf numFmtId="0" fontId="11" fillId="4" borderId="15" xfId="0" applyFont="1" applyFill="1" applyBorder="1" applyAlignment="1">
      <alignment horizontal="left" vertical="center" wrapText="1" indent="1"/>
    </xf>
    <xf numFmtId="0" fontId="0" fillId="0" borderId="16" xfId="0" applyBorder="1" applyAlignment="1">
      <alignment horizontal="right" vertical="center"/>
    </xf>
    <xf numFmtId="0" fontId="11" fillId="4" borderId="17" xfId="0" applyFont="1" applyFill="1" applyBorder="1" applyAlignment="1">
      <alignment horizontal="left" vertical="center" wrapText="1" indent="1"/>
    </xf>
    <xf numFmtId="0" fontId="0" fillId="0" borderId="11" xfId="0" applyBorder="1" applyAlignment="1">
      <alignment horizontal="right" vertical="center"/>
    </xf>
    <xf numFmtId="10" fontId="0" fillId="0" borderId="11" xfId="0" applyNumberFormat="1" applyBorder="1" applyAlignment="1">
      <alignment horizontal="right" vertical="center"/>
    </xf>
    <xf numFmtId="0" fontId="11" fillId="4" borderId="18" xfId="0" applyFont="1" applyFill="1" applyBorder="1" applyAlignment="1">
      <alignment horizontal="left" vertical="center" wrapText="1" indent="1"/>
    </xf>
    <xf numFmtId="0" fontId="0" fillId="0" borderId="14" xfId="0" applyBorder="1" applyAlignment="1">
      <alignment horizontal="right" vertical="center"/>
    </xf>
    <xf numFmtId="2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center" wrapText="1" indent="1"/>
    </xf>
    <xf numFmtId="0" fontId="0" fillId="0" borderId="0" xfId="0" applyAlignment="1">
      <alignment horizontal="right" vertical="center"/>
    </xf>
    <xf numFmtId="10" fontId="0" fillId="0" borderId="0" xfId="0" applyNumberFormat="1" applyAlignment="1">
      <alignment horizontal="right" vertical="center"/>
    </xf>
    <xf numFmtId="0" fontId="9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2" fillId="2" borderId="17" xfId="0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16" fillId="0" borderId="0" xfId="0" applyFont="1"/>
    <xf numFmtId="0" fontId="17" fillId="0" borderId="0" xfId="0" applyFont="1" applyAlignment="1">
      <alignment wrapText="1"/>
    </xf>
    <xf numFmtId="0" fontId="0" fillId="0" borderId="0" xfId="0" applyAlignment="1">
      <alignment vertical="center"/>
    </xf>
    <xf numFmtId="0" fontId="20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23" fillId="0" borderId="33" xfId="0" applyFont="1" applyBorder="1" applyAlignment="1">
      <alignment horizontal="center"/>
    </xf>
    <xf numFmtId="0" fontId="23" fillId="0" borderId="21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/>
    </xf>
    <xf numFmtId="0" fontId="24" fillId="0" borderId="36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/>
    </xf>
    <xf numFmtId="0" fontId="23" fillId="0" borderId="30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5" fillId="0" borderId="0" xfId="0" applyFont="1"/>
    <xf numFmtId="0" fontId="0" fillId="0" borderId="37" xfId="0" applyBorder="1"/>
    <xf numFmtId="9" fontId="0" fillId="0" borderId="37" xfId="0" applyNumberFormat="1" applyBorder="1"/>
    <xf numFmtId="0" fontId="0" fillId="0" borderId="17" xfId="0" applyBorder="1"/>
    <xf numFmtId="0" fontId="0" fillId="0" borderId="11" xfId="0" applyBorder="1"/>
    <xf numFmtId="0" fontId="0" fillId="0" borderId="18" xfId="0" applyBorder="1"/>
    <xf numFmtId="0" fontId="0" fillId="0" borderId="14" xfId="0" applyBorder="1"/>
    <xf numFmtId="0" fontId="18" fillId="0" borderId="29" xfId="0" applyFont="1" applyFill="1" applyBorder="1" applyAlignment="1">
      <alignment horizontal="center"/>
    </xf>
    <xf numFmtId="0" fontId="30" fillId="5" borderId="4" xfId="0" applyFont="1" applyFill="1" applyBorder="1" applyAlignment="1">
      <alignment horizontal="center" vertical="center" wrapText="1"/>
    </xf>
    <xf numFmtId="0" fontId="31" fillId="5" borderId="4" xfId="0" applyFont="1" applyFill="1" applyBorder="1" applyAlignment="1">
      <alignment horizontal="center" vertical="center"/>
    </xf>
    <xf numFmtId="0" fontId="31" fillId="5" borderId="4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2" fillId="0" borderId="7" xfId="0" applyFont="1" applyBorder="1"/>
    <xf numFmtId="2" fontId="33" fillId="0" borderId="7" xfId="0" applyNumberFormat="1" applyFont="1" applyBorder="1"/>
    <xf numFmtId="2" fontId="32" fillId="0" borderId="7" xfId="0" applyNumberFormat="1" applyFont="1" applyBorder="1" applyProtection="1">
      <protection locked="0"/>
    </xf>
    <xf numFmtId="10" fontId="32" fillId="0" borderId="7" xfId="0" applyNumberFormat="1" applyFont="1" applyBorder="1"/>
    <xf numFmtId="0" fontId="32" fillId="0" borderId="6" xfId="0" applyFont="1" applyBorder="1"/>
    <xf numFmtId="165" fontId="32" fillId="0" borderId="7" xfId="0" applyNumberFormat="1" applyFont="1" applyBorder="1"/>
    <xf numFmtId="0" fontId="32" fillId="0" borderId="24" xfId="0" applyFont="1" applyBorder="1"/>
    <xf numFmtId="0" fontId="32" fillId="0" borderId="10" xfId="0" applyFont="1" applyBorder="1"/>
    <xf numFmtId="2" fontId="33" fillId="0" borderId="10" xfId="0" applyNumberFormat="1" applyFont="1" applyBorder="1"/>
    <xf numFmtId="2" fontId="32" fillId="0" borderId="10" xfId="0" applyNumberFormat="1" applyFont="1" applyBorder="1" applyProtection="1">
      <protection locked="0"/>
    </xf>
    <xf numFmtId="10" fontId="32" fillId="0" borderId="10" xfId="0" applyNumberFormat="1" applyFont="1" applyBorder="1"/>
    <xf numFmtId="0" fontId="32" fillId="0" borderId="9" xfId="0" applyFont="1" applyBorder="1"/>
    <xf numFmtId="165" fontId="32" fillId="0" borderId="10" xfId="0" applyNumberFormat="1" applyFont="1" applyBorder="1"/>
    <xf numFmtId="0" fontId="32" fillId="0" borderId="31" xfId="0" applyFont="1" applyBorder="1"/>
    <xf numFmtId="2" fontId="32" fillId="0" borderId="10" xfId="0" applyNumberFormat="1" applyFont="1" applyBorder="1"/>
    <xf numFmtId="0" fontId="32" fillId="0" borderId="13" xfId="0" applyFont="1" applyBorder="1"/>
    <xf numFmtId="2" fontId="32" fillId="0" borderId="13" xfId="0" applyNumberFormat="1" applyFont="1" applyBorder="1"/>
    <xf numFmtId="2" fontId="32" fillId="0" borderId="13" xfId="0" applyNumberFormat="1" applyFont="1" applyBorder="1" applyProtection="1">
      <protection locked="0"/>
    </xf>
    <xf numFmtId="10" fontId="32" fillId="0" borderId="13" xfId="0" applyNumberFormat="1" applyFont="1" applyBorder="1"/>
    <xf numFmtId="0" fontId="32" fillId="0" borderId="12" xfId="0" applyFont="1" applyBorder="1" applyAlignment="1">
      <alignment horizontal="right" vertical="center"/>
    </xf>
    <xf numFmtId="165" fontId="32" fillId="0" borderId="13" xfId="0" applyNumberFormat="1" applyFont="1" applyBorder="1"/>
    <xf numFmtId="0" fontId="32" fillId="0" borderId="32" xfId="0" applyFont="1" applyBorder="1"/>
    <xf numFmtId="0" fontId="32" fillId="6" borderId="33" xfId="0" applyFont="1" applyFill="1" applyBorder="1"/>
    <xf numFmtId="0" fontId="32" fillId="6" borderId="34" xfId="0" applyFont="1" applyFill="1" applyBorder="1"/>
    <xf numFmtId="0" fontId="32" fillId="6" borderId="35" xfId="0" applyFont="1" applyFill="1" applyBorder="1"/>
    <xf numFmtId="0" fontId="34" fillId="5" borderId="0" xfId="0" applyFont="1" applyFill="1"/>
    <xf numFmtId="0" fontId="20" fillId="5" borderId="0" xfId="0" applyFont="1" applyFill="1"/>
    <xf numFmtId="0" fontId="0" fillId="5" borderId="0" xfId="0" applyFill="1"/>
    <xf numFmtId="0" fontId="34" fillId="0" borderId="0" xfId="0" applyFont="1"/>
    <xf numFmtId="0" fontId="0" fillId="9" borderId="37" xfId="0" applyFill="1" applyBorder="1"/>
    <xf numFmtId="0" fontId="0" fillId="9" borderId="37" xfId="0" applyFill="1" applyBorder="1" applyAlignment="1">
      <alignment wrapText="1"/>
    </xf>
    <xf numFmtId="0" fontId="0" fillId="0" borderId="0" xfId="0" applyAlignment="1">
      <alignment wrapText="1"/>
    </xf>
    <xf numFmtId="0" fontId="35" fillId="0" borderId="37" xfId="0" applyFont="1" applyBorder="1" applyAlignment="1">
      <alignment horizontal="right" vertical="center" indent="1"/>
    </xf>
    <xf numFmtId="2" fontId="0" fillId="0" borderId="37" xfId="0" applyNumberFormat="1" applyBorder="1"/>
    <xf numFmtId="0" fontId="36" fillId="0" borderId="37" xfId="0" applyFont="1" applyBorder="1"/>
    <xf numFmtId="0" fontId="36" fillId="10" borderId="41" xfId="0" applyFont="1" applyFill="1" applyBorder="1" applyAlignment="1">
      <alignment horizontal="right" vertical="top" wrapText="1"/>
    </xf>
    <xf numFmtId="0" fontId="36" fillId="10" borderId="37" xfId="0" applyFont="1" applyFill="1" applyBorder="1" applyAlignment="1">
      <alignment horizontal="right" vertical="top" wrapText="1"/>
    </xf>
    <xf numFmtId="2" fontId="0" fillId="0" borderId="37" xfId="0" applyNumberFormat="1" applyBorder="1" applyAlignment="1">
      <alignment horizontal="right"/>
    </xf>
    <xf numFmtId="0" fontId="0" fillId="11" borderId="0" xfId="0" applyFill="1"/>
    <xf numFmtId="0" fontId="13" fillId="11" borderId="0" xfId="1" applyFill="1"/>
    <xf numFmtId="0" fontId="37" fillId="12" borderId="0" xfId="0" applyFont="1" applyFill="1"/>
    <xf numFmtId="0" fontId="0" fillId="12" borderId="0" xfId="0" applyFill="1"/>
    <xf numFmtId="2" fontId="38" fillId="0" borderId="44" xfId="0" applyNumberFormat="1" applyFont="1" applyBorder="1" applyAlignment="1">
      <alignment horizontal="center"/>
    </xf>
    <xf numFmtId="2" fontId="38" fillId="0" borderId="7" xfId="0" applyNumberFormat="1" applyFont="1" applyBorder="1" applyAlignment="1">
      <alignment horizontal="center"/>
    </xf>
    <xf numFmtId="2" fontId="38" fillId="0" borderId="35" xfId="0" applyNumberFormat="1" applyFont="1" applyBorder="1" applyAlignment="1">
      <alignment horizontal="center"/>
    </xf>
    <xf numFmtId="0" fontId="25" fillId="7" borderId="15" xfId="0" applyFont="1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9" xfId="0" applyBorder="1" applyAlignment="1">
      <alignment horizontal="center"/>
    </xf>
    <xf numFmtId="0" fontId="25" fillId="7" borderId="38" xfId="0" applyFont="1" applyFill="1" applyBorder="1" applyAlignment="1">
      <alignment horizontal="center"/>
    </xf>
    <xf numFmtId="0" fontId="25" fillId="7" borderId="16" xfId="0" applyFont="1" applyFill="1" applyBorder="1" applyAlignment="1">
      <alignment horizontal="center"/>
    </xf>
    <xf numFmtId="9" fontId="0" fillId="0" borderId="37" xfId="0" applyNumberFormat="1" applyBorder="1" applyAlignment="1">
      <alignment horizontal="center"/>
    </xf>
    <xf numFmtId="9" fontId="0" fillId="0" borderId="39" xfId="0" applyNumberFormat="1" applyBorder="1" applyAlignment="1">
      <alignment horizontal="center"/>
    </xf>
    <xf numFmtId="0" fontId="26" fillId="9" borderId="37" xfId="0" applyFont="1" applyFill="1" applyBorder="1"/>
    <xf numFmtId="0" fontId="25" fillId="9" borderId="37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9" fillId="8" borderId="0" xfId="0" applyFont="1" applyFill="1" applyAlignment="1">
      <alignment horizontal="center"/>
    </xf>
    <xf numFmtId="0" fontId="22" fillId="0" borderId="3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5" borderId="45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/>
    <xf numFmtId="0" fontId="5" fillId="0" borderId="11" xfId="0" applyFont="1" applyBorder="1"/>
    <xf numFmtId="0" fontId="5" fillId="0" borderId="18" xfId="0" applyFont="1" applyBorder="1"/>
    <xf numFmtId="0" fontId="5" fillId="0" borderId="14" xfId="0" applyFont="1" applyBorder="1"/>
    <xf numFmtId="0" fontId="9" fillId="3" borderId="1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2" borderId="18" xfId="0" applyFont="1" applyFill="1" applyBorder="1" applyAlignment="1">
      <alignment horizontal="center" vertical="center"/>
    </xf>
    <xf numFmtId="0" fontId="1" fillId="0" borderId="28" xfId="1" applyFont="1" applyBorder="1" applyAlignment="1">
      <alignment horizontal="center"/>
    </xf>
    <xf numFmtId="0" fontId="1" fillId="0" borderId="29" xfId="1" applyFont="1" applyBorder="1" applyAlignment="1">
      <alignment horizontal="center"/>
    </xf>
    <xf numFmtId="0" fontId="1" fillId="0" borderId="30" xfId="1" applyFont="1" applyBorder="1" applyAlignment="1">
      <alignment horizontal="center"/>
    </xf>
    <xf numFmtId="165" fontId="32" fillId="0" borderId="10" xfId="0" applyNumberFormat="1" applyFont="1" applyBorder="1" applyAlignment="1">
      <alignment horizontal="center"/>
    </xf>
    <xf numFmtId="0" fontId="27" fillId="2" borderId="28" xfId="0" applyFont="1" applyFill="1" applyBorder="1" applyAlignment="1">
      <alignment horizontal="center" vertical="center"/>
    </xf>
    <xf numFmtId="0" fontId="28" fillId="2" borderId="29" xfId="0" applyFont="1" applyFill="1" applyBorder="1" applyAlignment="1">
      <alignment horizontal="center" vertical="center"/>
    </xf>
    <xf numFmtId="0" fontId="0" fillId="0" borderId="40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39" fillId="11" borderId="0" xfId="0" applyFont="1" applyFill="1" applyAlignment="1">
      <alignment horizontal="center"/>
    </xf>
    <xf numFmtId="0" fontId="40" fillId="12" borderId="37" xfId="0" applyFont="1" applyFill="1" applyBorder="1" applyAlignment="1">
      <alignment horizontal="center" vertical="center"/>
    </xf>
    <xf numFmtId="0" fontId="40" fillId="12" borderId="37" xfId="0" applyFont="1" applyFill="1" applyBorder="1" applyAlignment="1">
      <alignment horizontal="center" vertical="center" wrapText="1"/>
    </xf>
    <xf numFmtId="0" fontId="41" fillId="0" borderId="37" xfId="0" applyFont="1" applyBorder="1" applyAlignment="1">
      <alignment horizontal="center"/>
    </xf>
    <xf numFmtId="9" fontId="41" fillId="0" borderId="37" xfId="3" applyFont="1" applyBorder="1" applyAlignment="1">
      <alignment horizontal="center"/>
    </xf>
    <xf numFmtId="166" fontId="41" fillId="0" borderId="37" xfId="3" applyNumberFormat="1" applyFont="1" applyBorder="1" applyAlignment="1">
      <alignment horizontal="center"/>
    </xf>
    <xf numFmtId="0" fontId="41" fillId="0" borderId="37" xfId="2" applyNumberFormat="1" applyFont="1" applyBorder="1" applyAlignment="1">
      <alignment horizontal="center"/>
    </xf>
    <xf numFmtId="0" fontId="42" fillId="10" borderId="41" xfId="0" applyFont="1" applyFill="1" applyBorder="1" applyAlignment="1">
      <alignment horizontal="right" vertical="top" wrapText="1"/>
    </xf>
    <xf numFmtId="0" fontId="19" fillId="13" borderId="33" xfId="0" applyFont="1" applyFill="1" applyBorder="1"/>
    <xf numFmtId="0" fontId="20" fillId="13" borderId="10" xfId="0" applyFont="1" applyFill="1" applyBorder="1"/>
    <xf numFmtId="0" fontId="20" fillId="13" borderId="13" xfId="0" applyFont="1" applyFill="1" applyBorder="1"/>
    <xf numFmtId="0" fontId="19" fillId="7" borderId="37" xfId="0" applyFont="1" applyFill="1" applyBorder="1"/>
    <xf numFmtId="0" fontId="20" fillId="7" borderId="37" xfId="0" applyFont="1" applyFill="1" applyBorder="1"/>
  </cellXfs>
  <cellStyles count="4">
    <cellStyle name="Currency" xfId="2" builtinId="4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corporatefinanceinstitute.com/resources/knowledge/accounting/stockholders-equity-guide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oneycontrol.com/financials/bajajelectricals/ratiosVI/BE/3" TargetMode="External"/><Relationship Id="rId1" Type="http://schemas.openxmlformats.org/officeDocument/2006/relationships/hyperlink" Target="https://economictimes.indiatimes.com/bajaj-electricals-ltd/infocompanydividends/companyid-13978.cm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DF481-96AE-41C2-91DD-E20249BAD65F}">
  <dimension ref="A1:E31"/>
  <sheetViews>
    <sheetView tabSelected="1" workbookViewId="0">
      <selection sqref="A1:D1"/>
    </sheetView>
  </sheetViews>
  <sheetFormatPr defaultRowHeight="14.5"/>
  <cols>
    <col min="1" max="1" width="16.90625" customWidth="1"/>
    <col min="2" max="2" width="20.6328125" customWidth="1"/>
    <col min="3" max="3" width="21" customWidth="1"/>
    <col min="4" max="4" width="21.81640625" customWidth="1"/>
    <col min="5" max="6" width="16.36328125" customWidth="1"/>
    <col min="7" max="7" width="15" customWidth="1"/>
  </cols>
  <sheetData>
    <row r="1" spans="1:5" ht="34.5">
      <c r="A1" s="135" t="s">
        <v>116</v>
      </c>
      <c r="B1" s="135"/>
      <c r="C1" s="135"/>
      <c r="D1" s="135"/>
    </row>
    <row r="4" spans="1:5" ht="15" thickBot="1"/>
    <row r="5" spans="1:5" ht="17">
      <c r="A5" s="123" t="s">
        <v>88</v>
      </c>
      <c r="B5" s="126" t="s">
        <v>89</v>
      </c>
      <c r="C5" s="126" t="s">
        <v>90</v>
      </c>
      <c r="D5" s="127" t="s">
        <v>91</v>
      </c>
      <c r="E5" s="65"/>
    </row>
    <row r="6" spans="1:5">
      <c r="A6" s="68" t="s">
        <v>92</v>
      </c>
      <c r="B6" s="124" t="s">
        <v>93</v>
      </c>
      <c r="C6" s="128">
        <v>1.55</v>
      </c>
      <c r="D6" s="69">
        <v>1.24E-2</v>
      </c>
    </row>
    <row r="7" spans="1:5">
      <c r="A7" s="68" t="s">
        <v>94</v>
      </c>
      <c r="B7" s="124" t="s">
        <v>93</v>
      </c>
      <c r="C7" s="128">
        <v>1.55</v>
      </c>
      <c r="D7" s="69">
        <v>3.2099999999999997E-2</v>
      </c>
    </row>
    <row r="8" spans="1:5">
      <c r="A8" s="68" t="s">
        <v>95</v>
      </c>
      <c r="B8" s="124" t="s">
        <v>93</v>
      </c>
      <c r="C8" s="128">
        <v>1.3</v>
      </c>
      <c r="D8" s="69">
        <v>1.9400000000000001E-2</v>
      </c>
    </row>
    <row r="9" spans="1:5">
      <c r="A9" s="68" t="s">
        <v>96</v>
      </c>
      <c r="B9" s="124" t="s">
        <v>93</v>
      </c>
      <c r="C9" s="128">
        <v>1.3</v>
      </c>
      <c r="D9" s="69">
        <v>1.8599999999999998E-2</v>
      </c>
    </row>
    <row r="10" spans="1:5">
      <c r="A10" s="68" t="s">
        <v>97</v>
      </c>
      <c r="B10" s="124" t="s">
        <v>93</v>
      </c>
      <c r="C10" s="128">
        <v>1.3</v>
      </c>
      <c r="D10" s="69">
        <v>1.6899999999999998E-2</v>
      </c>
    </row>
    <row r="11" spans="1:5">
      <c r="A11" s="68" t="s">
        <v>98</v>
      </c>
      <c r="B11" s="124" t="s">
        <v>93</v>
      </c>
      <c r="C11" s="128">
        <v>1.3</v>
      </c>
      <c r="D11" s="69">
        <v>1.7999999999999999E-2</v>
      </c>
    </row>
    <row r="12" spans="1:5">
      <c r="A12" s="68" t="s">
        <v>99</v>
      </c>
      <c r="B12" s="124" t="s">
        <v>93</v>
      </c>
      <c r="C12" s="128">
        <v>1.3</v>
      </c>
      <c r="D12" s="69">
        <v>1.7299999999999999E-2</v>
      </c>
    </row>
    <row r="13" spans="1:5">
      <c r="A13" s="68" t="s">
        <v>100</v>
      </c>
      <c r="B13" s="124" t="s">
        <v>93</v>
      </c>
      <c r="C13" s="128">
        <v>1.25</v>
      </c>
      <c r="D13" s="69">
        <v>1.21E-2</v>
      </c>
    </row>
    <row r="14" spans="1:5">
      <c r="A14" s="68" t="s">
        <v>101</v>
      </c>
      <c r="B14" s="124" t="s">
        <v>93</v>
      </c>
      <c r="C14" s="128">
        <v>1.1499999999999999</v>
      </c>
      <c r="D14" s="69">
        <v>1.34E-2</v>
      </c>
    </row>
    <row r="15" spans="1:5" ht="15" thickBot="1">
      <c r="A15" s="70" t="s">
        <v>102</v>
      </c>
      <c r="B15" s="125" t="s">
        <v>93</v>
      </c>
      <c r="C15" s="129">
        <v>1.25</v>
      </c>
      <c r="D15" s="71">
        <v>1.3299999999999999E-2</v>
      </c>
    </row>
    <row r="17" spans="1:3" ht="17">
      <c r="A17" s="130" t="s">
        <v>103</v>
      </c>
      <c r="B17" s="131" t="s">
        <v>37</v>
      </c>
      <c r="C17" s="65"/>
    </row>
    <row r="18" spans="1:3">
      <c r="A18" s="124" t="s">
        <v>104</v>
      </c>
      <c r="B18" s="66">
        <v>33.678067079999998</v>
      </c>
    </row>
    <row r="19" spans="1:3">
      <c r="A19" s="124" t="s">
        <v>105</v>
      </c>
      <c r="B19" s="66">
        <v>27.014045400000001</v>
      </c>
    </row>
    <row r="20" spans="1:3">
      <c r="A20" s="124" t="s">
        <v>106</v>
      </c>
      <c r="B20" s="66">
        <v>8.9947958289999992</v>
      </c>
    </row>
    <row r="21" spans="1:3">
      <c r="A21" s="124" t="s">
        <v>107</v>
      </c>
      <c r="B21" s="66">
        <v>-3.2920324480000001</v>
      </c>
    </row>
    <row r="22" spans="1:3">
      <c r="A22" s="124" t="s">
        <v>108</v>
      </c>
      <c r="B22" s="66">
        <v>-13.08781707</v>
      </c>
    </row>
    <row r="23" spans="1:3">
      <c r="A23" s="124" t="s">
        <v>109</v>
      </c>
      <c r="B23" s="66">
        <v>-4.4488514300000004</v>
      </c>
    </row>
    <row r="24" spans="1:3">
      <c r="A24" s="124" t="s">
        <v>110</v>
      </c>
      <c r="B24" s="66">
        <v>-4.662907745</v>
      </c>
    </row>
    <row r="25" spans="1:3">
      <c r="A25" s="124" t="s">
        <v>111</v>
      </c>
      <c r="B25" s="66">
        <v>12.067776930000001</v>
      </c>
    </row>
    <row r="26" spans="1:3">
      <c r="A26" s="124" t="s">
        <v>112</v>
      </c>
      <c r="B26" s="66">
        <v>-1.7418331339999999</v>
      </c>
    </row>
    <row r="27" spans="1:3">
      <c r="A27" s="124" t="s">
        <v>113</v>
      </c>
      <c r="B27" s="66">
        <v>11.160170020000001</v>
      </c>
    </row>
    <row r="30" spans="1:3" ht="15" thickBot="1"/>
    <row r="31" spans="1:3" ht="15" thickBot="1">
      <c r="A31" s="132" t="s">
        <v>114</v>
      </c>
      <c r="B31" s="133"/>
      <c r="C31" s="134"/>
    </row>
  </sheetData>
  <mergeCells count="2">
    <mergeCell ref="A31:C31"/>
    <mergeCell ref="A1:D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8CEA4-7837-4E29-8993-980D84560C44}">
  <dimension ref="B2:S6"/>
  <sheetViews>
    <sheetView workbookViewId="0">
      <selection activeCell="D10" sqref="D10"/>
    </sheetView>
  </sheetViews>
  <sheetFormatPr defaultRowHeight="14.5"/>
  <sheetData>
    <row r="2" spans="2:19" ht="20.5">
      <c r="B2" s="118" t="s">
        <v>125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9"/>
      <c r="R2" s="119"/>
      <c r="S2" s="119"/>
    </row>
    <row r="3" spans="2:19" ht="20.5">
      <c r="B3" s="118" t="s">
        <v>126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9"/>
      <c r="R3" s="119"/>
      <c r="S3" s="119"/>
    </row>
    <row r="4" spans="2:19" ht="20.5">
      <c r="B4" s="118" t="s">
        <v>127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9"/>
      <c r="R4" s="119"/>
      <c r="S4" s="119"/>
    </row>
    <row r="5" spans="2:19" ht="20.5">
      <c r="B5" s="118" t="s">
        <v>128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9"/>
      <c r="R5" s="119"/>
      <c r="S5" s="119"/>
    </row>
    <row r="6" spans="2:19" ht="20.5">
      <c r="B6" s="118" t="s">
        <v>129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9"/>
      <c r="R6" s="119"/>
      <c r="S6" s="1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1379F-BDC3-473C-B5C3-563711046F57}">
  <dimension ref="A2:D15"/>
  <sheetViews>
    <sheetView workbookViewId="0">
      <selection activeCell="B16" sqref="B16"/>
    </sheetView>
  </sheetViews>
  <sheetFormatPr defaultRowHeight="14.5"/>
  <cols>
    <col min="1" max="1" width="2.1796875" style="51" bestFit="1" customWidth="1"/>
    <col min="2" max="2" width="27.08984375" bestFit="1" customWidth="1"/>
    <col min="3" max="3" width="4.54296875" customWidth="1"/>
    <col min="4" max="4" width="100.26953125" customWidth="1"/>
  </cols>
  <sheetData>
    <row r="2" spans="1:4">
      <c r="A2" s="42"/>
      <c r="B2" s="43"/>
    </row>
    <row r="3" spans="1:4" ht="15" thickBot="1">
      <c r="A3" s="42"/>
      <c r="B3" s="43"/>
    </row>
    <row r="4" spans="1:4" ht="15.5">
      <c r="A4" s="136">
        <v>1</v>
      </c>
      <c r="B4" s="136" t="s">
        <v>73</v>
      </c>
      <c r="C4" s="53" t="s">
        <v>74</v>
      </c>
      <c r="D4" s="54" t="s">
        <v>75</v>
      </c>
    </row>
    <row r="5" spans="1:4" ht="16" thickBot="1">
      <c r="A5" s="137"/>
      <c r="B5" s="137"/>
      <c r="C5" s="55"/>
      <c r="D5" s="56" t="s">
        <v>76</v>
      </c>
    </row>
    <row r="6" spans="1:4" ht="15.5">
      <c r="A6" s="136">
        <v>2</v>
      </c>
      <c r="B6" s="136" t="s">
        <v>77</v>
      </c>
      <c r="C6" s="53" t="s">
        <v>74</v>
      </c>
      <c r="D6" s="54" t="s">
        <v>78</v>
      </c>
    </row>
    <row r="7" spans="1:4" ht="15.5">
      <c r="A7" s="137"/>
      <c r="B7" s="137"/>
      <c r="C7" s="55"/>
      <c r="D7" s="56" t="s">
        <v>79</v>
      </c>
    </row>
    <row r="8" spans="1:4" ht="16" thickBot="1">
      <c r="A8" s="57"/>
      <c r="B8" s="57"/>
      <c r="C8" s="58"/>
      <c r="D8" s="59"/>
    </row>
    <row r="9" spans="1:4" ht="15.5">
      <c r="A9" s="136">
        <v>3</v>
      </c>
      <c r="B9" s="136" t="s">
        <v>80</v>
      </c>
      <c r="C9" s="53" t="s">
        <v>74</v>
      </c>
      <c r="D9" s="54" t="s">
        <v>81</v>
      </c>
    </row>
    <row r="10" spans="1:4" ht="31.5" thickBot="1">
      <c r="A10" s="137"/>
      <c r="B10" s="137"/>
      <c r="C10" s="55"/>
      <c r="D10" s="60" t="s">
        <v>82</v>
      </c>
    </row>
    <row r="11" spans="1:4" ht="15.5">
      <c r="A11" s="136">
        <v>4</v>
      </c>
      <c r="B11" s="136" t="s">
        <v>83</v>
      </c>
      <c r="C11" s="53" t="s">
        <v>74</v>
      </c>
      <c r="D11" s="54" t="s">
        <v>84</v>
      </c>
    </row>
    <row r="12" spans="1:4" ht="15.5">
      <c r="A12" s="137"/>
      <c r="B12" s="137"/>
      <c r="C12" s="55"/>
      <c r="D12" s="56"/>
    </row>
    <row r="13" spans="1:4" ht="31">
      <c r="A13" s="137">
        <v>5</v>
      </c>
      <c r="B13" s="139" t="s">
        <v>85</v>
      </c>
      <c r="C13" s="61" t="s">
        <v>74</v>
      </c>
      <c r="D13" s="62" t="s">
        <v>86</v>
      </c>
    </row>
    <row r="14" spans="1:4" ht="47" thickBot="1">
      <c r="A14" s="138"/>
      <c r="B14" s="140"/>
      <c r="C14" s="63"/>
      <c r="D14" s="64" t="s">
        <v>87</v>
      </c>
    </row>
    <row r="15" spans="1:4">
      <c r="B15" s="52"/>
      <c r="C15" s="52"/>
      <c r="D15" s="52"/>
    </row>
  </sheetData>
  <mergeCells count="10">
    <mergeCell ref="A11:A12"/>
    <mergeCell ref="B11:B12"/>
    <mergeCell ref="A13:A14"/>
    <mergeCell ref="B13:B14"/>
    <mergeCell ref="A4:A5"/>
    <mergeCell ref="B4:B5"/>
    <mergeCell ref="A6:A7"/>
    <mergeCell ref="B6:B7"/>
    <mergeCell ref="A9:A10"/>
    <mergeCell ref="B9:B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1A708-AEDE-411E-9012-C91129F90516}">
  <dimension ref="A1:G78"/>
  <sheetViews>
    <sheetView workbookViewId="0">
      <selection activeCell="D7" sqref="D7"/>
    </sheetView>
  </sheetViews>
  <sheetFormatPr defaultRowHeight="14.5"/>
  <cols>
    <col min="1" max="1" width="10.453125" bestFit="1" customWidth="1"/>
    <col min="2" max="2" width="19.08984375" bestFit="1" customWidth="1"/>
    <col min="3" max="3" width="21.6328125" bestFit="1" customWidth="1"/>
    <col min="4" max="4" width="20.453125" bestFit="1" customWidth="1"/>
    <col min="5" max="6" width="21.6328125" bestFit="1" customWidth="1"/>
    <col min="7" max="7" width="17.453125" bestFit="1" customWidth="1"/>
  </cols>
  <sheetData>
    <row r="1" spans="2:7" ht="55">
      <c r="B1" s="143" t="s">
        <v>0</v>
      </c>
      <c r="C1" s="144"/>
      <c r="D1" s="144"/>
      <c r="E1" s="144"/>
      <c r="F1" s="144"/>
      <c r="G1" s="144"/>
    </row>
    <row r="2" spans="2:7">
      <c r="F2" s="1"/>
    </row>
    <row r="3" spans="2:7">
      <c r="F3" s="1"/>
    </row>
    <row r="4" spans="2:7">
      <c r="F4" s="1"/>
    </row>
    <row r="5" spans="2:7" ht="15" thickBot="1">
      <c r="F5" s="1"/>
    </row>
    <row r="6" spans="2:7" ht="15" thickBot="1">
      <c r="B6" s="2" t="s">
        <v>1</v>
      </c>
      <c r="C6" s="3" t="s">
        <v>2</v>
      </c>
      <c r="D6" s="4" t="s">
        <v>131</v>
      </c>
      <c r="E6" s="3" t="s">
        <v>130</v>
      </c>
      <c r="F6" s="4" t="s">
        <v>3</v>
      </c>
      <c r="G6" s="5" t="s">
        <v>4</v>
      </c>
    </row>
    <row r="7" spans="2:7">
      <c r="B7" s="6" t="s">
        <v>5</v>
      </c>
      <c r="C7" s="7">
        <v>1.5094905094905096</v>
      </c>
      <c r="D7" s="8">
        <v>4.3</v>
      </c>
      <c r="E7" s="120">
        <v>43</v>
      </c>
      <c r="F7" s="9">
        <v>0.14383765076465313</v>
      </c>
      <c r="G7" s="10">
        <f>15495.17-16296.65+11696.96-4434.52</f>
        <v>6460.9599999999991</v>
      </c>
    </row>
    <row r="8" spans="2:7">
      <c r="B8" s="11" t="s">
        <v>6</v>
      </c>
      <c r="C8" s="12">
        <v>2.0952380952380953</v>
      </c>
      <c r="D8" s="13">
        <v>4.25</v>
      </c>
      <c r="E8" s="121">
        <v>42.5</v>
      </c>
      <c r="F8" s="14">
        <v>9.4165032078399491E-2</v>
      </c>
      <c r="G8" s="15">
        <f>15732.18-16739.7+12366.65-4993.49</f>
        <v>6365.6399999999994</v>
      </c>
    </row>
    <row r="9" spans="2:7">
      <c r="B9" s="11" t="s">
        <v>7</v>
      </c>
      <c r="C9" s="12">
        <v>2.8221930974224554</v>
      </c>
      <c r="D9" s="13">
        <v>6</v>
      </c>
      <c r="E9" s="121">
        <v>60</v>
      </c>
      <c r="F9" s="14">
        <v>0.14577237760390052</v>
      </c>
      <c r="G9" s="15">
        <f>15732.18-16739.7+12366.65-4993.49</f>
        <v>6365.6399999999994</v>
      </c>
    </row>
    <row r="10" spans="2:7">
      <c r="B10" s="11" t="s">
        <v>8</v>
      </c>
      <c r="C10" s="12">
        <v>1.0694363952477544</v>
      </c>
      <c r="D10" s="13">
        <v>2.5</v>
      </c>
      <c r="E10" s="121">
        <v>25</v>
      </c>
      <c r="F10" s="14">
        <v>1.69596165020337E-2</v>
      </c>
      <c r="G10" s="15">
        <f>14234.7-17128.27+23360.37-4751.15</f>
        <v>15715.65</v>
      </c>
    </row>
    <row r="11" spans="2:7">
      <c r="B11" s="11" t="s">
        <v>9</v>
      </c>
      <c r="C11" s="12">
        <v>1.6712926249008724</v>
      </c>
      <c r="D11" s="13">
        <v>3.35</v>
      </c>
      <c r="E11" s="121">
        <v>33.5</v>
      </c>
      <c r="F11" s="14">
        <v>-0.11221416752966944</v>
      </c>
      <c r="G11" s="15">
        <f>14503.53-20561.82+11786.03-7697.53</f>
        <v>-1969.7899999999981</v>
      </c>
    </row>
    <row r="12" spans="2:7">
      <c r="B12" s="11" t="s">
        <v>10</v>
      </c>
      <c r="C12" s="12">
        <v>1.5671622326551904</v>
      </c>
      <c r="D12" s="13">
        <v>4.3600000000000003</v>
      </c>
      <c r="E12" s="121">
        <v>43.6</v>
      </c>
      <c r="F12" s="14">
        <v>0.12031053069105146</v>
      </c>
      <c r="G12" s="15">
        <f>20301.92-23513.5+23803.92-11095.86</f>
        <v>9496.4799999999959</v>
      </c>
    </row>
    <row r="13" spans="2:7">
      <c r="B13" s="11" t="s">
        <v>11</v>
      </c>
      <c r="C13" s="12">
        <v>1.7604348720057572</v>
      </c>
      <c r="D13" s="13">
        <v>4.9000000000000004</v>
      </c>
      <c r="E13" s="121">
        <v>49</v>
      </c>
      <c r="F13" s="14">
        <v>0.11698880976602238</v>
      </c>
      <c r="G13" s="15">
        <f>19248.35-18015.46+17230.49-6966.57</f>
        <v>11496.810000000001</v>
      </c>
    </row>
    <row r="14" spans="2:7">
      <c r="B14" s="11" t="s">
        <v>12</v>
      </c>
      <c r="C14" s="12">
        <v>1.9807947484282482</v>
      </c>
      <c r="D14" s="13">
        <v>5.97</v>
      </c>
      <c r="E14" s="121">
        <v>59.699999999999996</v>
      </c>
      <c r="F14" s="14">
        <v>4.6415943426550949E-2</v>
      </c>
      <c r="G14" s="15">
        <f>16030.47-17701.26+24884.83-13839.47</f>
        <v>9374.5700000000015</v>
      </c>
    </row>
    <row r="15" spans="2:7">
      <c r="B15" s="11" t="s">
        <v>13</v>
      </c>
      <c r="C15" s="12">
        <v>0.59523809523809523</v>
      </c>
      <c r="D15" s="13">
        <v>3</v>
      </c>
      <c r="E15" s="121">
        <v>30</v>
      </c>
      <c r="F15" s="14">
        <v>0.20125535008498699</v>
      </c>
      <c r="G15" s="15">
        <f>21583.98-14523.88+28775.62-7667.17</f>
        <v>28168.550000000003</v>
      </c>
    </row>
    <row r="16" spans="2:7" ht="15" thickBot="1">
      <c r="B16" s="16" t="s">
        <v>14</v>
      </c>
      <c r="C16" s="17">
        <v>3.0362940630797772</v>
      </c>
      <c r="D16" s="18">
        <v>5.65</v>
      </c>
      <c r="E16" s="122">
        <v>56.5</v>
      </c>
      <c r="F16" s="19">
        <v>-9.695875278092693E-2</v>
      </c>
      <c r="G16" s="20">
        <f>27057.78-18307.09+30431.12-20364.45</f>
        <v>18817.359999999997</v>
      </c>
    </row>
    <row r="17" spans="1:6" ht="15" thickBot="1">
      <c r="B17" s="21"/>
      <c r="C17" s="22"/>
      <c r="D17" s="23"/>
      <c r="E17" s="24"/>
      <c r="F17" s="25"/>
    </row>
    <row r="18" spans="1:6" ht="26.5" thickBot="1">
      <c r="A18" s="27"/>
      <c r="C18" s="141" t="s">
        <v>15</v>
      </c>
      <c r="D18" s="142"/>
      <c r="E18" s="1"/>
    </row>
    <row r="19" spans="1:6" ht="20">
      <c r="B19" s="27"/>
      <c r="E19" s="1"/>
    </row>
    <row r="20" spans="1:6" ht="20.5" thickBot="1">
      <c r="B20" s="27"/>
      <c r="E20" s="1"/>
    </row>
    <row r="21" spans="1:6" ht="29">
      <c r="C21" s="28" t="s">
        <v>16</v>
      </c>
      <c r="D21" s="29" t="s">
        <v>17</v>
      </c>
      <c r="E21" s="1"/>
    </row>
    <row r="22" spans="1:6">
      <c r="C22" s="30" t="s">
        <v>18</v>
      </c>
      <c r="D22" s="31" t="s">
        <v>19</v>
      </c>
      <c r="E22" s="1"/>
    </row>
    <row r="23" spans="1:6" ht="29">
      <c r="C23" s="30" t="s">
        <v>20</v>
      </c>
      <c r="D23" s="31" t="s">
        <v>21</v>
      </c>
      <c r="E23" s="1"/>
    </row>
    <row r="24" spans="1:6" ht="29">
      <c r="C24" s="30" t="s">
        <v>22</v>
      </c>
      <c r="D24" s="32">
        <v>2.1899999999999999E-2</v>
      </c>
    </row>
    <row r="25" spans="1:6" ht="29">
      <c r="C25" s="30" t="s">
        <v>23</v>
      </c>
      <c r="D25" s="31" t="s">
        <v>24</v>
      </c>
    </row>
    <row r="26" spans="1:6">
      <c r="C26" s="30" t="s">
        <v>25</v>
      </c>
      <c r="D26" s="31" t="s">
        <v>26</v>
      </c>
    </row>
    <row r="27" spans="1:6" ht="43.5">
      <c r="C27" s="30" t="s">
        <v>27</v>
      </c>
      <c r="D27" s="31" t="s">
        <v>28</v>
      </c>
    </row>
    <row r="28" spans="1:6" ht="15" thickBot="1">
      <c r="C28" s="33" t="s">
        <v>29</v>
      </c>
      <c r="D28" s="34" t="s">
        <v>30</v>
      </c>
    </row>
    <row r="29" spans="1:6">
      <c r="B29" s="21"/>
      <c r="C29" s="35"/>
      <c r="D29" s="1"/>
    </row>
    <row r="30" spans="1:6">
      <c r="B30" s="21"/>
      <c r="C30" s="35"/>
      <c r="D30" s="1"/>
    </row>
    <row r="31" spans="1:6">
      <c r="B31" s="21"/>
      <c r="C31" s="35"/>
      <c r="D31" s="1"/>
    </row>
    <row r="32" spans="1:6">
      <c r="B32" s="21"/>
      <c r="C32" s="35"/>
      <c r="D32" s="1"/>
    </row>
    <row r="33" spans="1:4">
      <c r="B33" s="21"/>
      <c r="C33" s="35"/>
      <c r="D33" s="1"/>
    </row>
    <row r="34" spans="1:4" ht="20">
      <c r="A34" s="27"/>
      <c r="B34" s="26"/>
    </row>
    <row r="36" spans="1:4" ht="20">
      <c r="B36" s="27"/>
    </row>
    <row r="39" spans="1:4">
      <c r="B39" s="36"/>
      <c r="C39" s="36"/>
    </row>
    <row r="40" spans="1:4">
      <c r="B40" s="21"/>
      <c r="C40" s="37"/>
    </row>
    <row r="41" spans="1:4">
      <c r="B41" s="21"/>
      <c r="C41" s="37"/>
    </row>
    <row r="42" spans="1:4">
      <c r="B42" s="21"/>
      <c r="C42" s="37"/>
    </row>
    <row r="43" spans="1:4">
      <c r="B43" s="21"/>
      <c r="C43" s="37"/>
    </row>
    <row r="44" spans="1:4">
      <c r="B44" s="21"/>
      <c r="C44" s="37"/>
    </row>
    <row r="45" spans="1:4">
      <c r="B45" s="21"/>
      <c r="C45" s="37"/>
    </row>
    <row r="46" spans="1:4">
      <c r="B46" s="21"/>
      <c r="C46" s="37"/>
    </row>
    <row r="47" spans="1:4">
      <c r="B47" s="21"/>
      <c r="C47" s="37"/>
    </row>
    <row r="48" spans="1:4">
      <c r="B48" s="21"/>
      <c r="C48" s="37"/>
    </row>
    <row r="49" spans="1:3">
      <c r="B49" s="21"/>
      <c r="C49" s="37"/>
    </row>
    <row r="50" spans="1:3" ht="20">
      <c r="A50" s="27"/>
    </row>
    <row r="52" spans="1:3" ht="20">
      <c r="B52" s="27"/>
    </row>
    <row r="55" spans="1:3">
      <c r="B55" s="38"/>
      <c r="C55" s="39"/>
    </row>
    <row r="56" spans="1:3">
      <c r="B56" s="38"/>
      <c r="C56" s="39"/>
    </row>
    <row r="57" spans="1:3">
      <c r="B57" s="38"/>
      <c r="C57" s="39"/>
    </row>
    <row r="58" spans="1:3">
      <c r="B58" s="38"/>
      <c r="C58" s="40"/>
    </row>
    <row r="59" spans="1:3">
      <c r="B59" s="38"/>
      <c r="C59" s="39"/>
    </row>
    <row r="60" spans="1:3">
      <c r="B60" s="38"/>
      <c r="C60" s="39"/>
    </row>
    <row r="61" spans="1:3">
      <c r="B61" s="38"/>
      <c r="C61" s="39"/>
    </row>
    <row r="62" spans="1:3">
      <c r="B62" s="38"/>
      <c r="C62" s="39"/>
    </row>
    <row r="63" spans="1:3" ht="20">
      <c r="A63" s="41"/>
    </row>
    <row r="65" spans="2:3" ht="20">
      <c r="B65" s="41"/>
    </row>
    <row r="68" spans="2:3">
      <c r="B68" s="42"/>
      <c r="C68" s="43"/>
    </row>
    <row r="69" spans="2:3">
      <c r="B69" s="21"/>
      <c r="C69" s="44"/>
    </row>
    <row r="70" spans="2:3">
      <c r="B70" s="21"/>
      <c r="C70" s="44"/>
    </row>
    <row r="71" spans="2:3">
      <c r="B71" s="21"/>
      <c r="C71" s="44"/>
    </row>
    <row r="72" spans="2:3">
      <c r="B72" s="21"/>
      <c r="C72" s="44"/>
    </row>
    <row r="73" spans="2:3">
      <c r="B73" s="21"/>
      <c r="C73" s="44"/>
    </row>
    <row r="74" spans="2:3">
      <c r="B74" s="21"/>
      <c r="C74" s="44"/>
    </row>
    <row r="75" spans="2:3">
      <c r="B75" s="21"/>
      <c r="C75" s="44"/>
    </row>
    <row r="76" spans="2:3">
      <c r="B76" s="21"/>
      <c r="C76" s="44"/>
    </row>
    <row r="77" spans="2:3">
      <c r="B77" s="21"/>
      <c r="C77" s="44"/>
    </row>
    <row r="78" spans="2:3">
      <c r="B78" s="21"/>
      <c r="C78" s="44"/>
    </row>
  </sheetData>
  <mergeCells count="2">
    <mergeCell ref="C18:D18"/>
    <mergeCell ref="B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A2B37-51A7-4B24-B8C9-00F5DF23B778}">
  <dimension ref="A1:M34"/>
  <sheetViews>
    <sheetView workbookViewId="0">
      <selection activeCell="E18" sqref="E18"/>
    </sheetView>
  </sheetViews>
  <sheetFormatPr defaultRowHeight="14.5"/>
  <cols>
    <col min="2" max="2" width="21.54296875" customWidth="1"/>
    <col min="3" max="3" width="11.6328125" customWidth="1"/>
    <col min="8" max="8" width="43.26953125" customWidth="1"/>
  </cols>
  <sheetData>
    <row r="1" spans="1:8" ht="20.5" thickBot="1">
      <c r="A1" s="151" t="s">
        <v>31</v>
      </c>
      <c r="B1" s="152"/>
    </row>
    <row r="3" spans="1:8" ht="15" thickBot="1"/>
    <row r="4" spans="1:8">
      <c r="B4" s="153" t="s">
        <v>32</v>
      </c>
      <c r="C4" s="155" t="s">
        <v>33</v>
      </c>
      <c r="D4" s="156"/>
      <c r="E4" s="156"/>
      <c r="F4" s="156"/>
      <c r="G4" s="156"/>
      <c r="H4" s="157"/>
    </row>
    <row r="5" spans="1:8">
      <c r="B5" s="154"/>
      <c r="C5" s="158" t="s">
        <v>34</v>
      </c>
      <c r="D5" s="159"/>
      <c r="E5" s="159"/>
      <c r="F5" s="159"/>
      <c r="G5" s="159"/>
      <c r="H5" s="160"/>
    </row>
    <row r="6" spans="1:8">
      <c r="B6" s="45" t="s">
        <v>35</v>
      </c>
      <c r="C6" s="161" t="s">
        <v>36</v>
      </c>
      <c r="D6" s="162"/>
      <c r="E6" s="162"/>
      <c r="F6" s="162"/>
      <c r="G6" s="162"/>
      <c r="H6" s="163"/>
    </row>
    <row r="7" spans="1:8">
      <c r="B7" s="164" t="s">
        <v>37</v>
      </c>
      <c r="C7" s="165" t="s">
        <v>38</v>
      </c>
      <c r="D7" s="166"/>
      <c r="E7" s="166"/>
      <c r="F7" s="166"/>
      <c r="G7" s="166"/>
      <c r="H7" s="167"/>
    </row>
    <row r="8" spans="1:8">
      <c r="B8" s="164"/>
      <c r="C8" s="168" t="s">
        <v>39</v>
      </c>
      <c r="D8" s="169"/>
      <c r="E8" s="169"/>
      <c r="F8" s="169"/>
      <c r="G8" s="169"/>
      <c r="H8" s="170"/>
    </row>
    <row r="9" spans="1:8">
      <c r="B9" s="154" t="s">
        <v>40</v>
      </c>
      <c r="C9" s="171" t="s">
        <v>41</v>
      </c>
      <c r="D9" s="172"/>
      <c r="E9" s="172"/>
      <c r="F9" s="172"/>
      <c r="G9" s="172"/>
      <c r="H9" s="173"/>
    </row>
    <row r="10" spans="1:8">
      <c r="B10" s="154"/>
      <c r="C10" s="174"/>
      <c r="D10" s="175"/>
      <c r="E10" s="175"/>
      <c r="F10" s="175"/>
      <c r="G10" s="175"/>
      <c r="H10" s="176"/>
    </row>
    <row r="11" spans="1:8">
      <c r="B11" s="154" t="s">
        <v>42</v>
      </c>
      <c r="C11" s="165" t="s">
        <v>43</v>
      </c>
      <c r="D11" s="166"/>
      <c r="E11" s="166"/>
      <c r="F11" s="166"/>
      <c r="G11" s="166"/>
      <c r="H11" s="167"/>
    </row>
    <row r="12" spans="1:8" ht="15" thickBot="1">
      <c r="B12" s="177"/>
      <c r="C12" s="178" t="s">
        <v>44</v>
      </c>
      <c r="D12" s="179"/>
      <c r="E12" s="179"/>
      <c r="F12" s="179"/>
      <c r="G12" s="179"/>
      <c r="H12" s="180"/>
    </row>
    <row r="13" spans="1:8">
      <c r="B13" s="42"/>
      <c r="C13" s="46"/>
      <c r="D13" s="46"/>
      <c r="E13" s="46"/>
      <c r="F13" s="46"/>
      <c r="G13" s="46"/>
      <c r="H13" s="46"/>
    </row>
    <row r="14" spans="1:8" ht="15" thickBot="1"/>
    <row r="15" spans="1:8" ht="20.5" thickBot="1">
      <c r="A15" s="151" t="s">
        <v>45</v>
      </c>
      <c r="B15" s="152"/>
    </row>
    <row r="16" spans="1:8">
      <c r="E16" s="47"/>
    </row>
    <row r="17" spans="2:13" ht="15" thickBot="1">
      <c r="H17" s="48"/>
      <c r="I17" s="48"/>
      <c r="J17" s="48"/>
      <c r="K17" s="48"/>
      <c r="L17" s="48"/>
      <c r="M17" s="48"/>
    </row>
    <row r="18" spans="2:13">
      <c r="B18" s="145" t="s">
        <v>46</v>
      </c>
      <c r="C18" s="146"/>
      <c r="H18" s="48"/>
      <c r="I18" s="48"/>
      <c r="J18" s="48"/>
      <c r="K18" s="48"/>
      <c r="L18" s="48"/>
      <c r="M18" s="48"/>
    </row>
    <row r="19" spans="2:13">
      <c r="B19" s="147" t="s">
        <v>47</v>
      </c>
      <c r="C19" s="148"/>
    </row>
    <row r="20" spans="2:13">
      <c r="B20" s="147" t="s">
        <v>48</v>
      </c>
      <c r="C20" s="148"/>
    </row>
    <row r="21" spans="2:13">
      <c r="B21" s="147" t="s">
        <v>49</v>
      </c>
      <c r="C21" s="148"/>
    </row>
    <row r="22" spans="2:13" ht="15" thickBot="1">
      <c r="B22" s="149" t="s">
        <v>50</v>
      </c>
      <c r="C22" s="150"/>
    </row>
    <row r="25" spans="2:13" ht="14.5" customHeight="1">
      <c r="B25" s="49"/>
      <c r="C25" s="49"/>
      <c r="D25" s="49"/>
      <c r="E25" s="49"/>
      <c r="F25" s="49"/>
      <c r="G25" s="49"/>
      <c r="H25" s="49"/>
    </row>
    <row r="26" spans="2:13">
      <c r="B26" s="49"/>
      <c r="C26" s="49"/>
      <c r="D26" s="49"/>
      <c r="E26" s="49"/>
      <c r="F26" s="49"/>
      <c r="G26" s="49"/>
      <c r="H26" s="49"/>
    </row>
    <row r="27" spans="2:13">
      <c r="B27" s="49"/>
      <c r="C27" s="49"/>
      <c r="D27" s="49"/>
      <c r="E27" s="49"/>
      <c r="F27" s="49"/>
      <c r="G27" s="49"/>
      <c r="H27" s="49"/>
    </row>
    <row r="28" spans="2:13">
      <c r="B28" s="49"/>
      <c r="C28" s="49"/>
      <c r="D28" s="49"/>
      <c r="E28" s="49"/>
      <c r="F28" s="49"/>
      <c r="G28" s="49"/>
      <c r="H28" s="49"/>
    </row>
    <row r="33" spans="1:2">
      <c r="A33" t="s">
        <v>51</v>
      </c>
    </row>
    <row r="34" spans="1:2">
      <c r="B34" t="s">
        <v>52</v>
      </c>
    </row>
  </sheetData>
  <mergeCells count="19">
    <mergeCell ref="A15:B15"/>
    <mergeCell ref="A1:B1"/>
    <mergeCell ref="B4:B5"/>
    <mergeCell ref="C4:H4"/>
    <mergeCell ref="C5:H5"/>
    <mergeCell ref="C6:H6"/>
    <mergeCell ref="B7:B8"/>
    <mergeCell ref="C7:H7"/>
    <mergeCell ref="C8:H8"/>
    <mergeCell ref="B9:B10"/>
    <mergeCell ref="C9:H10"/>
    <mergeCell ref="B11:B12"/>
    <mergeCell ref="C11:H11"/>
    <mergeCell ref="C12:H12"/>
    <mergeCell ref="B18:C18"/>
    <mergeCell ref="B19:C19"/>
    <mergeCell ref="B20:C20"/>
    <mergeCell ref="B21:C21"/>
    <mergeCell ref="B22:C22"/>
  </mergeCells>
  <hyperlinks>
    <hyperlink ref="C12" r:id="rId1" display="https://corporatefinanceinstitute.com/resources/knowledge/accounting/stockholders-equity-guide/" xr:uid="{40D0675A-3680-4925-8746-83A682F90A81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BE829-FAD9-489D-BF05-CE748B96A4AD}">
  <dimension ref="A1:N26"/>
  <sheetViews>
    <sheetView workbookViewId="0">
      <selection sqref="A1:I1"/>
    </sheetView>
  </sheetViews>
  <sheetFormatPr defaultColWidth="11.6328125" defaultRowHeight="14.5"/>
  <cols>
    <col min="1" max="1" width="11.36328125" bestFit="1" customWidth="1"/>
    <col min="2" max="2" width="24.1796875" bestFit="1" customWidth="1"/>
    <col min="3" max="3" width="13.6328125" bestFit="1" customWidth="1"/>
    <col min="4" max="4" width="16.453125" bestFit="1" customWidth="1"/>
    <col min="5" max="5" width="15.08984375" bestFit="1" customWidth="1"/>
    <col min="6" max="6" width="13.54296875" bestFit="1" customWidth="1"/>
    <col min="7" max="7" width="14.90625" bestFit="1" customWidth="1"/>
    <col min="8" max="8" width="18.81640625" bestFit="1" customWidth="1"/>
    <col min="9" max="9" width="16.54296875" bestFit="1" customWidth="1"/>
  </cols>
  <sheetData>
    <row r="1" spans="1:14" ht="67.5" customHeight="1" thickBot="1">
      <c r="A1" s="182" t="s">
        <v>115</v>
      </c>
      <c r="B1" s="183"/>
      <c r="C1" s="183"/>
      <c r="D1" s="183"/>
      <c r="E1" s="183"/>
      <c r="F1" s="183"/>
      <c r="G1" s="183"/>
      <c r="H1" s="183"/>
      <c r="I1" s="183"/>
    </row>
    <row r="2" spans="1:14" ht="21">
      <c r="J2" s="50"/>
      <c r="K2" s="50"/>
      <c r="L2" s="50"/>
      <c r="M2" s="50"/>
      <c r="N2" s="50"/>
    </row>
    <row r="3" spans="1:14" ht="25.5" thickBot="1">
      <c r="A3" s="72"/>
      <c r="B3" s="72"/>
      <c r="C3" s="72"/>
      <c r="D3" s="72"/>
      <c r="E3" s="72"/>
      <c r="F3" s="72"/>
      <c r="G3" s="72"/>
      <c r="H3" s="72"/>
      <c r="I3" s="72"/>
      <c r="J3" s="50"/>
      <c r="K3" s="50"/>
      <c r="L3" s="50"/>
      <c r="M3" s="50"/>
      <c r="N3" s="50"/>
    </row>
    <row r="4" spans="1:14" ht="26.5" thickBot="1">
      <c r="A4" s="73" t="s">
        <v>103</v>
      </c>
      <c r="B4" s="73" t="s">
        <v>53</v>
      </c>
      <c r="C4" s="74" t="s">
        <v>54</v>
      </c>
      <c r="D4" s="75" t="s">
        <v>55</v>
      </c>
      <c r="E4" s="76" t="s">
        <v>56</v>
      </c>
      <c r="F4" s="73" t="s">
        <v>57</v>
      </c>
      <c r="G4" s="73" t="s">
        <v>58</v>
      </c>
      <c r="H4" s="73" t="s">
        <v>59</v>
      </c>
      <c r="I4" s="77" t="s">
        <v>60</v>
      </c>
      <c r="J4" s="50"/>
      <c r="K4" s="50"/>
      <c r="L4" s="50"/>
      <c r="M4" s="50"/>
      <c r="N4" s="50"/>
    </row>
    <row r="5" spans="1:14" ht="21">
      <c r="A5" s="78" t="s">
        <v>5</v>
      </c>
      <c r="B5" s="79">
        <v>6</v>
      </c>
      <c r="C5" s="80">
        <v>657.55</v>
      </c>
      <c r="D5" s="81">
        <f>B5/C5</f>
        <v>9.124781385445974E-3</v>
      </c>
      <c r="E5" s="82">
        <v>24.95</v>
      </c>
      <c r="F5" s="81">
        <f>B5/E5</f>
        <v>0.24048096192384771</v>
      </c>
      <c r="G5" s="81">
        <f>(12106.42-9400.07)/9400.07</f>
        <v>0.28790743047658163</v>
      </c>
      <c r="H5" s="83"/>
      <c r="I5" s="84">
        <f>107-4333</f>
        <v>-4226</v>
      </c>
      <c r="J5" s="50"/>
      <c r="K5" s="50"/>
      <c r="L5" s="50"/>
      <c r="M5" s="50"/>
      <c r="N5" s="50"/>
    </row>
    <row r="6" spans="1:14" ht="21">
      <c r="A6" s="85" t="s">
        <v>6</v>
      </c>
      <c r="B6" s="86">
        <v>5</v>
      </c>
      <c r="C6" s="87">
        <v>667</v>
      </c>
      <c r="D6" s="88">
        <f t="shared" ref="D6:D15" si="0">B6/C6</f>
        <v>7.4962518740629685E-3</v>
      </c>
      <c r="E6" s="89">
        <v>9.75</v>
      </c>
      <c r="F6" s="88">
        <f t="shared" ref="F6:F14" si="1">B6/E6</f>
        <v>0.51282051282051277</v>
      </c>
      <c r="G6" s="88">
        <f>(12919.88-12106.42)/12106.42</f>
        <v>6.7192448304288069E-2</v>
      </c>
      <c r="H6" s="90">
        <v>2900000000</v>
      </c>
      <c r="I6" s="91">
        <f>433-4114</f>
        <v>-3681</v>
      </c>
      <c r="J6" s="50"/>
      <c r="K6" s="50"/>
      <c r="L6" s="50"/>
      <c r="M6" s="50"/>
      <c r="N6" s="50"/>
    </row>
    <row r="7" spans="1:14" ht="21">
      <c r="A7" s="85" t="s">
        <v>7</v>
      </c>
      <c r="B7" s="86">
        <v>6</v>
      </c>
      <c r="C7" s="87">
        <v>669.6</v>
      </c>
      <c r="D7" s="88">
        <f t="shared" si="0"/>
        <v>8.9605734767025085E-3</v>
      </c>
      <c r="E7" s="89">
        <v>5.45</v>
      </c>
      <c r="F7" s="88">
        <f t="shared" si="1"/>
        <v>1.1009174311926606</v>
      </c>
      <c r="G7" s="88">
        <f>(11352.66-12919.88)/12919.88</f>
        <v>-0.12130298423824365</v>
      </c>
      <c r="H7" s="90"/>
      <c r="I7" s="91">
        <f>1018-2239</f>
        <v>-1221</v>
      </c>
      <c r="J7" s="50"/>
      <c r="K7" s="50"/>
      <c r="L7" s="50"/>
      <c r="M7" s="50"/>
      <c r="N7" s="50"/>
    </row>
    <row r="8" spans="1:14" ht="21">
      <c r="A8" s="85" t="s">
        <v>8</v>
      </c>
      <c r="B8" s="86">
        <v>10</v>
      </c>
      <c r="C8" s="87">
        <v>844.05</v>
      </c>
      <c r="D8" s="88">
        <f t="shared" si="0"/>
        <v>1.1847639357857948E-2</v>
      </c>
      <c r="E8" s="89">
        <v>16.940000000000001</v>
      </c>
      <c r="F8" s="88">
        <f t="shared" si="1"/>
        <v>0.59031877213695394</v>
      </c>
      <c r="G8" s="88">
        <f>(10662.57-11352.66)/11352.66</f>
        <v>-6.0786635026504818E-2</v>
      </c>
      <c r="H8" s="90">
        <v>4000000000</v>
      </c>
      <c r="I8" s="91">
        <f>6078-1917</f>
        <v>4161</v>
      </c>
      <c r="J8" s="50"/>
      <c r="K8" s="50"/>
      <c r="L8" s="50"/>
      <c r="M8" s="50"/>
      <c r="N8" s="50"/>
    </row>
    <row r="9" spans="1:14" ht="21">
      <c r="A9" s="85" t="s">
        <v>9</v>
      </c>
      <c r="B9" s="92">
        <v>6</v>
      </c>
      <c r="C9" s="87">
        <v>1198.5</v>
      </c>
      <c r="D9" s="88">
        <f t="shared" si="0"/>
        <v>5.0062578222778474E-3</v>
      </c>
      <c r="E9" s="89">
        <v>33.229999999999997</v>
      </c>
      <c r="F9" s="88">
        <f t="shared" si="1"/>
        <v>0.18055973517905508</v>
      </c>
      <c r="G9" s="88">
        <f>(10512.35-10662.57)/10662.57</f>
        <v>-1.4088535878310703E-2</v>
      </c>
      <c r="H9" s="90"/>
      <c r="I9" s="91">
        <f>6204-2510</f>
        <v>3694</v>
      </c>
      <c r="J9" s="50"/>
      <c r="K9" s="50"/>
      <c r="L9" s="50"/>
      <c r="M9" s="50"/>
      <c r="N9" s="50"/>
    </row>
    <row r="10" spans="1:14" ht="21">
      <c r="A10" s="85" t="s">
        <v>10</v>
      </c>
      <c r="B10" s="92">
        <v>6</v>
      </c>
      <c r="C10" s="87">
        <v>1048.75</v>
      </c>
      <c r="D10" s="88">
        <f t="shared" si="0"/>
        <v>5.7210965435041715E-3</v>
      </c>
      <c r="E10" s="89">
        <v>81.099999999999994</v>
      </c>
      <c r="F10" s="88">
        <f t="shared" si="1"/>
        <v>7.3982737361282372E-2</v>
      </c>
      <c r="G10" s="88">
        <f>((10808.82-10512.35)/10808.82)</f>
        <v>2.7428525963056036E-2</v>
      </c>
      <c r="H10" s="181">
        <v>3000000000</v>
      </c>
      <c r="I10" s="91">
        <f>5128-3006</f>
        <v>2122</v>
      </c>
      <c r="J10" s="50"/>
      <c r="K10" s="50"/>
      <c r="L10" s="50"/>
      <c r="M10" s="50"/>
      <c r="N10" s="50"/>
    </row>
    <row r="11" spans="1:14" ht="21">
      <c r="A11" s="85" t="s">
        <v>11</v>
      </c>
      <c r="B11" s="92">
        <v>7</v>
      </c>
      <c r="C11" s="87">
        <v>1238.95</v>
      </c>
      <c r="D11" s="88">
        <f t="shared" si="0"/>
        <v>5.649945518382501E-3</v>
      </c>
      <c r="E11" s="89">
        <v>31.84</v>
      </c>
      <c r="F11" s="88">
        <f t="shared" si="1"/>
        <v>0.21984924623115579</v>
      </c>
      <c r="G11" s="88">
        <f>((11014.75-10808.82)/10808.82)</f>
        <v>1.9052033431956522E-2</v>
      </c>
      <c r="H11" s="181"/>
      <c r="I11" s="91">
        <f>5734-2864</f>
        <v>2870</v>
      </c>
      <c r="J11" s="50"/>
      <c r="K11" s="50"/>
      <c r="L11" s="50"/>
      <c r="M11" s="50"/>
      <c r="N11" s="50"/>
    </row>
    <row r="12" spans="1:14" ht="21">
      <c r="A12" s="85" t="s">
        <v>12</v>
      </c>
      <c r="B12" s="92">
        <v>7</v>
      </c>
      <c r="C12" s="87">
        <v>1029.25</v>
      </c>
      <c r="D12" s="88">
        <f t="shared" si="0"/>
        <v>6.8010687393733303E-3</v>
      </c>
      <c r="E12" s="89">
        <v>25.1</v>
      </c>
      <c r="F12" s="88">
        <f t="shared" si="1"/>
        <v>0.2788844621513944</v>
      </c>
      <c r="G12" s="88">
        <f>((12725.1-11014.75)/11014.75)</f>
        <v>0.15527814975373933</v>
      </c>
      <c r="H12" s="181">
        <v>3000000000</v>
      </c>
      <c r="I12" s="91">
        <f>988-1906</f>
        <v>-918</v>
      </c>
      <c r="J12" s="50"/>
      <c r="K12" s="50"/>
      <c r="L12" s="50"/>
      <c r="M12" s="50"/>
      <c r="N12" s="50"/>
    </row>
    <row r="13" spans="1:14" ht="21">
      <c r="A13" s="85" t="s">
        <v>13</v>
      </c>
      <c r="B13" s="92">
        <v>7</v>
      </c>
      <c r="C13" s="87">
        <v>1537.4</v>
      </c>
      <c r="D13" s="88">
        <f t="shared" si="0"/>
        <v>4.5531416677507481E-3</v>
      </c>
      <c r="E13" s="89">
        <v>30.52</v>
      </c>
      <c r="F13" s="88">
        <f t="shared" si="1"/>
        <v>0.22935779816513763</v>
      </c>
      <c r="G13" s="88">
        <f>((13683.8-12725.1)/12725.1)</f>
        <v>7.5339290064518075E-2</v>
      </c>
      <c r="H13" s="181"/>
      <c r="I13" s="91">
        <f>12917-1197</f>
        <v>11720</v>
      </c>
      <c r="J13" s="50"/>
      <c r="K13" s="50"/>
      <c r="L13" s="50"/>
      <c r="M13" s="50"/>
      <c r="N13" s="50"/>
    </row>
    <row r="14" spans="1:14">
      <c r="A14" s="85" t="s">
        <v>14</v>
      </c>
      <c r="B14" s="92">
        <v>7</v>
      </c>
      <c r="C14" s="87">
        <v>2483.75</v>
      </c>
      <c r="D14" s="88">
        <f t="shared" si="0"/>
        <v>2.8183190739808758E-3</v>
      </c>
      <c r="E14" s="89">
        <v>21.24</v>
      </c>
      <c r="F14" s="88">
        <f t="shared" si="1"/>
        <v>0.3295668549905838</v>
      </c>
      <c r="G14" s="88">
        <f>((9869.4-13683.8)/13683.8)</f>
        <v>-0.2787529779739546</v>
      </c>
      <c r="H14" s="181"/>
      <c r="I14" s="91">
        <f>6765-172</f>
        <v>6593</v>
      </c>
    </row>
    <row r="15" spans="1:14" ht="15" thickBot="1">
      <c r="A15" s="93">
        <v>2021</v>
      </c>
      <c r="B15" s="94">
        <v>7</v>
      </c>
      <c r="C15" s="95">
        <v>2359</v>
      </c>
      <c r="D15" s="96">
        <f t="shared" si="0"/>
        <v>2.967359050445104E-3</v>
      </c>
      <c r="E15" s="97" t="s">
        <v>61</v>
      </c>
      <c r="F15" s="93"/>
      <c r="G15" s="96">
        <f>((12963.1-9869.4)/9869.4)</f>
        <v>0.31346383772063152</v>
      </c>
      <c r="H15" s="98"/>
      <c r="I15" s="99"/>
    </row>
    <row r="21" spans="2:2" ht="15" thickBot="1"/>
    <row r="22" spans="2:2">
      <c r="B22" s="100" t="s">
        <v>62</v>
      </c>
    </row>
    <row r="23" spans="2:2">
      <c r="B23" s="101" t="s">
        <v>63</v>
      </c>
    </row>
    <row r="24" spans="2:2">
      <c r="B24" s="101" t="s">
        <v>64</v>
      </c>
    </row>
    <row r="25" spans="2:2">
      <c r="B25" s="101" t="s">
        <v>65</v>
      </c>
    </row>
    <row r="26" spans="2:2" ht="15" thickBot="1">
      <c r="B26" s="102" t="s">
        <v>66</v>
      </c>
    </row>
  </sheetData>
  <mergeCells count="3">
    <mergeCell ref="H10:H11"/>
    <mergeCell ref="H12:H14"/>
    <mergeCell ref="A1:I1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34FB3-46D6-4B1C-8B05-4B85ADB2E42B}">
  <dimension ref="B2:B7"/>
  <sheetViews>
    <sheetView workbookViewId="0">
      <selection activeCell="B10" sqref="B10"/>
    </sheetView>
  </sheetViews>
  <sheetFormatPr defaultColWidth="11.81640625" defaultRowHeight="21"/>
  <cols>
    <col min="1" max="1" width="11.81640625" style="50"/>
    <col min="2" max="2" width="103.08984375" style="50" customWidth="1"/>
    <col min="3" max="16384" width="11.81640625" style="50"/>
  </cols>
  <sheetData>
    <row r="2" spans="2:2">
      <c r="B2" s="198" t="s">
        <v>67</v>
      </c>
    </row>
    <row r="3" spans="2:2">
      <c r="B3" s="199" t="s">
        <v>68</v>
      </c>
    </row>
    <row r="4" spans="2:2">
      <c r="B4" s="199" t="s">
        <v>69</v>
      </c>
    </row>
    <row r="5" spans="2:2">
      <c r="B5" s="199" t="s">
        <v>70</v>
      </c>
    </row>
    <row r="6" spans="2:2">
      <c r="B6" s="199" t="s">
        <v>71</v>
      </c>
    </row>
    <row r="7" spans="2:2">
      <c r="B7" s="199" t="s">
        <v>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99079-6E7C-4BDB-B74D-74811030FDBF}">
  <dimension ref="A1:I19"/>
  <sheetViews>
    <sheetView workbookViewId="0">
      <selection activeCell="E12" sqref="E12"/>
    </sheetView>
  </sheetViews>
  <sheetFormatPr defaultRowHeight="14.5"/>
  <cols>
    <col min="1" max="1" width="12" bestFit="1" customWidth="1"/>
    <col min="2" max="2" width="21.90625" customWidth="1"/>
    <col min="3" max="3" width="13.7265625" bestFit="1" customWidth="1"/>
    <col min="4" max="4" width="15.81640625" bestFit="1" customWidth="1"/>
    <col min="5" max="5" width="21" bestFit="1" customWidth="1"/>
    <col min="6" max="6" width="24" bestFit="1" customWidth="1"/>
    <col min="7" max="7" width="20" bestFit="1" customWidth="1"/>
    <col min="8" max="8" width="18.81640625" bestFit="1" customWidth="1"/>
    <col min="9" max="9" width="17.6328125" customWidth="1"/>
  </cols>
  <sheetData>
    <row r="1" spans="1:9" ht="44">
      <c r="A1" s="187" t="s">
        <v>132</v>
      </c>
      <c r="B1" s="187"/>
      <c r="C1" s="187"/>
      <c r="D1" s="187"/>
      <c r="E1" s="187"/>
      <c r="F1" s="187"/>
      <c r="G1" s="187"/>
      <c r="H1" s="187"/>
      <c r="I1" s="187"/>
    </row>
    <row r="4" spans="1:9" ht="37">
      <c r="A4" s="188" t="s">
        <v>118</v>
      </c>
      <c r="B4" s="189" t="s">
        <v>133</v>
      </c>
      <c r="C4" s="188" t="s">
        <v>134</v>
      </c>
      <c r="D4" s="188" t="s">
        <v>91</v>
      </c>
      <c r="E4" s="188" t="s">
        <v>135</v>
      </c>
      <c r="F4" s="188" t="s">
        <v>136</v>
      </c>
      <c r="G4" s="188" t="s">
        <v>80</v>
      </c>
      <c r="H4" s="189" t="s">
        <v>137</v>
      </c>
      <c r="I4" s="189" t="s">
        <v>138</v>
      </c>
    </row>
    <row r="5" spans="1:9" ht="18.5">
      <c r="A5" s="190" t="s">
        <v>104</v>
      </c>
      <c r="B5" s="190">
        <v>17.899999999999999</v>
      </c>
      <c r="C5" s="190">
        <v>295.92</v>
      </c>
      <c r="D5" s="191">
        <v>1.79</v>
      </c>
      <c r="E5" s="190">
        <v>122.8</v>
      </c>
      <c r="F5" s="192">
        <f>B5/E5</f>
        <v>0.14576547231270356</v>
      </c>
      <c r="G5" s="192">
        <f>(41578-33572.81)/33572.81</f>
        <v>0.23844265642345705</v>
      </c>
      <c r="H5" s="190"/>
      <c r="I5" s="190">
        <f>42495.51-5366.34</f>
        <v>37129.17</v>
      </c>
    </row>
    <row r="6" spans="1:9" ht="18.5">
      <c r="A6" s="190" t="s">
        <v>105</v>
      </c>
      <c r="B6" s="190">
        <v>3.68</v>
      </c>
      <c r="C6" s="190">
        <v>167.08</v>
      </c>
      <c r="D6" s="191">
        <v>1.84</v>
      </c>
      <c r="E6" s="190">
        <v>28.76</v>
      </c>
      <c r="F6" s="192">
        <f t="shared" ref="F6:F13" si="0">B6/E6</f>
        <v>0.12795549374130738</v>
      </c>
      <c r="G6" s="192">
        <f>(47227.86-41578.8)/41578.8</f>
        <v>0.13586394989754388</v>
      </c>
      <c r="H6" s="190"/>
      <c r="I6" s="190">
        <f>47978.89-6282.06</f>
        <v>41696.83</v>
      </c>
    </row>
    <row r="7" spans="1:9" ht="18.5">
      <c r="A7" s="190" t="s">
        <v>106</v>
      </c>
      <c r="B7" s="190">
        <v>3.29</v>
      </c>
      <c r="C7" s="190">
        <v>151.87</v>
      </c>
      <c r="D7" s="191">
        <v>1.64</v>
      </c>
      <c r="E7" s="190">
        <v>27.03</v>
      </c>
      <c r="F7" s="192">
        <f t="shared" si="0"/>
        <v>0.12171661117277099</v>
      </c>
      <c r="G7" s="192">
        <f>(47617.67-47227.86)/47227.86</f>
        <v>8.2538145916414094E-3</v>
      </c>
      <c r="H7" s="190"/>
      <c r="I7" s="190">
        <f>48424.65-7035.92</f>
        <v>41388.730000000003</v>
      </c>
    </row>
    <row r="8" spans="1:9" ht="18.5">
      <c r="A8" s="190" t="s">
        <v>107</v>
      </c>
      <c r="B8" s="190">
        <v>1.52</v>
      </c>
      <c r="C8" s="190">
        <v>115.17</v>
      </c>
      <c r="D8" s="191">
        <v>0.76</v>
      </c>
      <c r="E8" s="190">
        <v>14.14</v>
      </c>
      <c r="F8" s="192">
        <f t="shared" si="0"/>
        <v>0.10749646393210749</v>
      </c>
      <c r="G8" s="192">
        <f>(38388.82-47617.67)/47617.67</f>
        <v>-0.19381145696544999</v>
      </c>
      <c r="H8" s="190"/>
      <c r="I8" s="190">
        <f>39108.83-7657.99</f>
        <v>31450.840000000004</v>
      </c>
    </row>
    <row r="9" spans="1:9" ht="18.5">
      <c r="A9" s="190" t="s">
        <v>108</v>
      </c>
      <c r="B9" s="190">
        <v>0.62</v>
      </c>
      <c r="C9" s="190">
        <v>194.51</v>
      </c>
      <c r="D9" s="191">
        <v>0.31</v>
      </c>
      <c r="E9" s="190">
        <v>5.8</v>
      </c>
      <c r="F9" s="192">
        <f t="shared" si="0"/>
        <v>0.10689655172413794</v>
      </c>
      <c r="G9" s="192">
        <f>(29541.97-38388.82)/38388.82</f>
        <v>-0.23045381441784349</v>
      </c>
      <c r="H9" s="190"/>
      <c r="I9" s="190">
        <f>30182.98-6852.38</f>
        <v>23330.6</v>
      </c>
    </row>
    <row r="10" spans="1:9" ht="18.5">
      <c r="A10" s="190" t="s">
        <v>109</v>
      </c>
      <c r="B10" s="190">
        <v>0.4</v>
      </c>
      <c r="C10" s="190">
        <v>92.47</v>
      </c>
      <c r="D10" s="191">
        <v>0.2</v>
      </c>
      <c r="E10" s="190">
        <v>-2.9</v>
      </c>
      <c r="F10" s="192">
        <f t="shared" si="0"/>
        <v>-0.13793103448275862</v>
      </c>
      <c r="G10" s="192">
        <f>(24894.33-29541.97)/29541.97</f>
        <v>-0.15732329292867062</v>
      </c>
      <c r="H10" s="190"/>
      <c r="I10" s="190">
        <f>25482.63-4286.55</f>
        <v>21196.080000000002</v>
      </c>
    </row>
    <row r="11" spans="1:9" ht="18.5">
      <c r="A11" s="190" t="s">
        <v>110</v>
      </c>
      <c r="B11" s="190">
        <v>0.78</v>
      </c>
      <c r="C11" s="190">
        <v>91.37</v>
      </c>
      <c r="D11" s="191">
        <v>0.39</v>
      </c>
      <c r="E11" s="190">
        <v>2.0299999999999998</v>
      </c>
      <c r="F11" s="192">
        <f t="shared" si="0"/>
        <v>0.38423645320197047</v>
      </c>
      <c r="G11" s="192">
        <f>(27587.64-24894.33)/24894.33</f>
        <v>0.10818969620793159</v>
      </c>
      <c r="H11" s="190"/>
      <c r="I11" s="190">
        <f>28222.21-3769.53</f>
        <v>24452.68</v>
      </c>
    </row>
    <row r="12" spans="1:9" ht="18.5">
      <c r="A12" s="190" t="s">
        <v>111</v>
      </c>
      <c r="B12" s="190">
        <v>1.02</v>
      </c>
      <c r="C12" s="190">
        <v>100.2</v>
      </c>
      <c r="D12" s="191">
        <v>0.51</v>
      </c>
      <c r="E12" s="190">
        <v>2.2000000000000002</v>
      </c>
      <c r="F12" s="192">
        <f>B12/E12</f>
        <v>0.46363636363636362</v>
      </c>
      <c r="G12" s="192">
        <f>(27963.15-27587.64)/27587.64</f>
        <v>1.3611530380996781E-2</v>
      </c>
      <c r="H12" s="193">
        <v>1628</v>
      </c>
      <c r="I12" s="190">
        <f>28925.71-3275.97</f>
        <v>25649.739999999998</v>
      </c>
    </row>
    <row r="13" spans="1:9" ht="18.5">
      <c r="A13" s="190">
        <v>2019</v>
      </c>
      <c r="B13" s="190">
        <v>1.2</v>
      </c>
      <c r="C13" s="190">
        <v>64.7</v>
      </c>
      <c r="D13" s="191">
        <v>0.6</v>
      </c>
      <c r="E13" s="190">
        <v>3.35</v>
      </c>
      <c r="F13" s="192">
        <f t="shared" si="0"/>
        <v>0.35820895522388058</v>
      </c>
      <c r="G13" s="192">
        <f>(29349.21-27963.15)/27963.15</f>
        <v>4.9567377065888416E-2</v>
      </c>
      <c r="H13" s="190"/>
      <c r="I13" s="190">
        <f>30348.95-3205.9</f>
        <v>27143.05</v>
      </c>
    </row>
    <row r="14" spans="1:9">
      <c r="H14" t="s">
        <v>139</v>
      </c>
    </row>
    <row r="17" spans="2:6" ht="15" thickBot="1"/>
    <row r="18" spans="2:6" ht="15" thickBot="1">
      <c r="B18" s="194"/>
      <c r="C18" s="194"/>
      <c r="D18" s="194"/>
      <c r="E18" s="194"/>
      <c r="F18" s="194"/>
    </row>
    <row r="19" spans="2:6" ht="15" thickBot="1">
      <c r="B19" s="194"/>
      <c r="C19" s="194"/>
      <c r="D19" s="194"/>
      <c r="E19" s="194"/>
      <c r="F19" s="194"/>
    </row>
  </sheetData>
  <mergeCells count="1">
    <mergeCell ref="A1: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114E4-F7BC-4EF7-9708-804DD74FF582}">
  <dimension ref="B2:B8"/>
  <sheetViews>
    <sheetView workbookViewId="0">
      <selection activeCell="B11" sqref="B11"/>
    </sheetView>
  </sheetViews>
  <sheetFormatPr defaultRowHeight="14.5"/>
  <cols>
    <col min="2" max="2" width="101" customWidth="1"/>
  </cols>
  <sheetData>
    <row r="2" spans="2:2" ht="15" thickBot="1"/>
    <row r="3" spans="2:2" ht="21">
      <c r="B3" s="195" t="s">
        <v>67</v>
      </c>
    </row>
    <row r="4" spans="2:2" ht="21">
      <c r="B4" s="196" t="s">
        <v>68</v>
      </c>
    </row>
    <row r="5" spans="2:2" ht="21">
      <c r="B5" s="196" t="s">
        <v>69</v>
      </c>
    </row>
    <row r="6" spans="2:2" ht="21">
      <c r="B6" s="196" t="s">
        <v>70</v>
      </c>
    </row>
    <row r="7" spans="2:2" ht="21">
      <c r="B7" s="196" t="s">
        <v>71</v>
      </c>
    </row>
    <row r="8" spans="2:2" ht="21.5" thickBot="1">
      <c r="B8" s="197" t="s">
        <v>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95E3-C1C6-4EF4-A3CD-BCDF26F9F143}">
  <dimension ref="A1:J18"/>
  <sheetViews>
    <sheetView workbookViewId="0">
      <selection activeCell="B4" sqref="B4"/>
    </sheetView>
  </sheetViews>
  <sheetFormatPr defaultRowHeight="14.5"/>
  <cols>
    <col min="2" max="2" width="26.1796875" bestFit="1" customWidth="1"/>
    <col min="3" max="3" width="14" bestFit="1" customWidth="1"/>
    <col min="4" max="4" width="17.54296875" bestFit="1" customWidth="1"/>
    <col min="5" max="5" width="25.81640625" bestFit="1" customWidth="1"/>
    <col min="6" max="6" width="24.453125" bestFit="1" customWidth="1"/>
    <col min="7" max="7" width="20.7265625" bestFit="1" customWidth="1"/>
    <col min="8" max="8" width="21.7265625" customWidth="1"/>
    <col min="9" max="9" width="26.54296875" customWidth="1"/>
  </cols>
  <sheetData>
    <row r="1" spans="1:10" ht="23">
      <c r="A1" s="103" t="s">
        <v>117</v>
      </c>
      <c r="B1" s="103"/>
      <c r="C1" s="103"/>
      <c r="D1" s="103"/>
      <c r="E1" s="104"/>
      <c r="F1" s="105"/>
      <c r="G1" s="105"/>
      <c r="H1" s="105"/>
      <c r="I1" s="105"/>
    </row>
    <row r="2" spans="1:10" ht="23">
      <c r="A2" s="106"/>
      <c r="B2" s="106"/>
      <c r="C2" s="106"/>
      <c r="D2" s="106"/>
      <c r="E2" s="50"/>
    </row>
    <row r="3" spans="1:10" ht="29.5" thickBot="1">
      <c r="A3" s="107" t="s">
        <v>118</v>
      </c>
      <c r="B3" s="107" t="s">
        <v>53</v>
      </c>
      <c r="C3" s="107" t="s">
        <v>54</v>
      </c>
      <c r="D3" s="107" t="s">
        <v>55</v>
      </c>
      <c r="E3" s="107" t="s">
        <v>56</v>
      </c>
      <c r="F3" s="107" t="s">
        <v>57</v>
      </c>
      <c r="G3" s="107" t="s">
        <v>58</v>
      </c>
      <c r="H3" s="107" t="s">
        <v>59</v>
      </c>
      <c r="I3" s="108" t="s">
        <v>60</v>
      </c>
      <c r="J3" s="109"/>
    </row>
    <row r="4" spans="1:10" ht="18" thickBot="1">
      <c r="A4" s="66" t="s">
        <v>119</v>
      </c>
      <c r="B4" s="110">
        <v>3.5</v>
      </c>
      <c r="C4" s="111">
        <f>(B4/D4)*100</f>
        <v>291.66666666666669</v>
      </c>
      <c r="D4" s="67">
        <v>1.2</v>
      </c>
      <c r="E4" s="111">
        <f>(B4/F4)*100</f>
        <v>17.508754377188595</v>
      </c>
      <c r="F4" s="112">
        <v>19.989999999999998</v>
      </c>
      <c r="G4" s="66">
        <v>22.77</v>
      </c>
      <c r="H4" s="184" t="s">
        <v>120</v>
      </c>
      <c r="I4" s="66">
        <v>84</v>
      </c>
      <c r="J4" s="113"/>
    </row>
    <row r="5" spans="1:10" ht="17.5">
      <c r="A5" s="66" t="s">
        <v>5</v>
      </c>
      <c r="B5" s="110">
        <v>3.5</v>
      </c>
      <c r="C5" s="111">
        <f t="shared" ref="C5:C13" si="0">(B5/D5)*100</f>
        <v>250</v>
      </c>
      <c r="D5" s="67">
        <v>1.4</v>
      </c>
      <c r="E5" s="111">
        <f t="shared" ref="E5:E12" si="1">(B5/F5)*100</f>
        <v>18.191268191268193</v>
      </c>
      <c r="F5" s="114">
        <v>19.239999999999998</v>
      </c>
      <c r="G5" s="66">
        <v>13</v>
      </c>
      <c r="H5" s="185"/>
      <c r="I5" s="66">
        <v>42</v>
      </c>
    </row>
    <row r="6" spans="1:10" ht="17.5">
      <c r="A6" s="66" t="s">
        <v>6</v>
      </c>
      <c r="B6" s="110">
        <v>2.8</v>
      </c>
      <c r="C6" s="111">
        <f t="shared" si="0"/>
        <v>200</v>
      </c>
      <c r="D6" s="67">
        <v>1.4</v>
      </c>
      <c r="E6" s="111">
        <f t="shared" si="1"/>
        <v>14.553014553014554</v>
      </c>
      <c r="F6" s="114">
        <v>19.239999999999998</v>
      </c>
      <c r="G6" s="66">
        <v>8.9</v>
      </c>
      <c r="H6" s="185"/>
      <c r="I6" s="66">
        <v>142</v>
      </c>
    </row>
    <row r="7" spans="1:10" ht="17.5">
      <c r="A7" s="66" t="s">
        <v>7</v>
      </c>
      <c r="B7" s="110">
        <v>2.8</v>
      </c>
      <c r="C7" s="111">
        <f t="shared" si="0"/>
        <v>280</v>
      </c>
      <c r="D7" s="67">
        <v>1</v>
      </c>
      <c r="E7" s="111">
        <f t="shared" si="1"/>
        <v>7.1868583162217652</v>
      </c>
      <c r="F7" s="114">
        <v>38.96</v>
      </c>
      <c r="G7" s="66">
        <v>19.43</v>
      </c>
      <c r="H7" s="185"/>
      <c r="I7" s="66">
        <v>-3</v>
      </c>
    </row>
    <row r="8" spans="1:10" ht="17.5">
      <c r="A8" s="66" t="s">
        <v>8</v>
      </c>
      <c r="B8" s="110">
        <v>1.5</v>
      </c>
      <c r="C8" s="111">
        <f t="shared" si="0"/>
        <v>200</v>
      </c>
      <c r="D8" s="67">
        <v>0.75</v>
      </c>
      <c r="E8" s="111">
        <f t="shared" si="1"/>
        <v>-0.53102984387722585</v>
      </c>
      <c r="F8" s="114">
        <v>-282.47000000000003</v>
      </c>
      <c r="G8" s="66">
        <v>5.75</v>
      </c>
      <c r="H8" s="185"/>
      <c r="I8" s="66">
        <v>156</v>
      </c>
    </row>
    <row r="9" spans="1:10" ht="17.5">
      <c r="A9" s="66" t="s">
        <v>9</v>
      </c>
      <c r="B9" s="110">
        <v>1.5</v>
      </c>
      <c r="C9" s="111">
        <f t="shared" si="0"/>
        <v>200</v>
      </c>
      <c r="D9" s="67">
        <v>0.75</v>
      </c>
      <c r="E9" s="111">
        <f t="shared" si="1"/>
        <v>-1.379690949227373</v>
      </c>
      <c r="F9" s="114">
        <v>-108.72</v>
      </c>
      <c r="G9" s="66">
        <v>8.4600000000000009</v>
      </c>
      <c r="H9" s="185"/>
      <c r="I9" s="66">
        <v>148</v>
      </c>
    </row>
    <row r="10" spans="1:10" ht="17.5">
      <c r="A10" s="66" t="s">
        <v>10</v>
      </c>
      <c r="B10" s="110">
        <v>2</v>
      </c>
      <c r="C10" s="111">
        <f t="shared" si="0"/>
        <v>142.85714285714286</v>
      </c>
      <c r="D10" s="67">
        <v>1.4</v>
      </c>
      <c r="E10" s="111">
        <f t="shared" si="1"/>
        <v>6.763611768684477</v>
      </c>
      <c r="F10" s="114">
        <v>29.57</v>
      </c>
      <c r="G10" s="66">
        <v>-7.32</v>
      </c>
      <c r="H10" s="185"/>
      <c r="I10" s="66">
        <v>119</v>
      </c>
    </row>
    <row r="11" spans="1:10" ht="17.5">
      <c r="A11" s="66" t="s">
        <v>11</v>
      </c>
      <c r="B11" s="110">
        <v>2.8</v>
      </c>
      <c r="C11" s="111">
        <f t="shared" si="0"/>
        <v>200</v>
      </c>
      <c r="D11" s="67">
        <v>1.4</v>
      </c>
      <c r="E11" s="111">
        <f t="shared" si="1"/>
        <v>13.09022907900888</v>
      </c>
      <c r="F11" s="114">
        <v>21.39</v>
      </c>
      <c r="G11" s="66">
        <v>10.41</v>
      </c>
      <c r="H11" s="185"/>
      <c r="I11" s="66">
        <v>159</v>
      </c>
    </row>
    <row r="12" spans="1:10" ht="17.5">
      <c r="A12" s="66" t="s">
        <v>12</v>
      </c>
      <c r="B12" s="110">
        <v>2.8</v>
      </c>
      <c r="C12" s="111">
        <f t="shared" si="0"/>
        <v>160</v>
      </c>
      <c r="D12" s="67">
        <v>1.75</v>
      </c>
      <c r="E12" s="111">
        <f t="shared" si="1"/>
        <v>8.2474226804123703</v>
      </c>
      <c r="F12" s="114">
        <v>33.950000000000003</v>
      </c>
      <c r="G12" s="66">
        <v>41.71</v>
      </c>
      <c r="H12" s="185"/>
      <c r="I12" s="66">
        <v>-75</v>
      </c>
    </row>
    <row r="13" spans="1:10" ht="17.5">
      <c r="A13" s="66">
        <v>2019</v>
      </c>
      <c r="B13" s="110">
        <v>2.4</v>
      </c>
      <c r="C13" s="111">
        <f t="shared" si="0"/>
        <v>137.14285714285714</v>
      </c>
      <c r="D13" s="67">
        <v>1.75</v>
      </c>
      <c r="E13" s="115" t="s">
        <v>61</v>
      </c>
      <c r="F13" s="114">
        <v>0</v>
      </c>
      <c r="G13" s="66">
        <v>-25.26</v>
      </c>
      <c r="H13" s="186"/>
      <c r="I13" s="66">
        <v>243</v>
      </c>
    </row>
    <row r="16" spans="1:10">
      <c r="C16" s="116" t="s">
        <v>121</v>
      </c>
      <c r="D16" s="117" t="s">
        <v>122</v>
      </c>
      <c r="E16" s="116"/>
      <c r="F16" s="116"/>
      <c r="G16" s="116"/>
      <c r="H16" s="116"/>
    </row>
    <row r="17" spans="3:8">
      <c r="C17" s="116"/>
      <c r="D17" s="117" t="s">
        <v>123</v>
      </c>
      <c r="E17" s="116"/>
      <c r="F17" s="116"/>
      <c r="G17" s="116"/>
      <c r="H17" s="116"/>
    </row>
    <row r="18" spans="3:8">
      <c r="C18" s="116"/>
      <c r="D18" s="116"/>
      <c r="E18" s="116" t="s">
        <v>124</v>
      </c>
      <c r="F18" s="116"/>
      <c r="G18" s="116"/>
      <c r="H18" s="116"/>
    </row>
  </sheetData>
  <mergeCells count="1">
    <mergeCell ref="H4:H13"/>
  </mergeCells>
  <hyperlinks>
    <hyperlink ref="D16" r:id="rId1" xr:uid="{54061288-E8A1-48CF-8F57-FF531A9CC416}"/>
    <hyperlink ref="D17" r:id="rId2" location="BE" xr:uid="{095E9FA3-1B70-4D92-BE0D-F9F29440C48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Jeet(1)</vt:lpstr>
      <vt:lpstr>Jeet(2)</vt:lpstr>
      <vt:lpstr>Devanshu(1)</vt:lpstr>
      <vt:lpstr>Devanshu(2)</vt:lpstr>
      <vt:lpstr>Drishti(1)</vt:lpstr>
      <vt:lpstr>Drishti(2)</vt:lpstr>
      <vt:lpstr>Mitali(1)</vt:lpstr>
      <vt:lpstr>Mitali(2)</vt:lpstr>
      <vt:lpstr>Avani(1)</vt:lpstr>
      <vt:lpstr>Avani(2)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2022-01-02T12:07:41Z</dcterms:created>
  <dcterms:modified xsi:type="dcterms:W3CDTF">2022-01-02T17:38:00Z</dcterms:modified>
</cp:coreProperties>
</file>