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)Cashflows" sheetId="1" r:id="rId4"/>
    <sheet state="visible" name="Q2)" sheetId="2" r:id="rId5"/>
    <sheet state="visible" name="Q3)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5">
      <text>
        <t xml:space="preserve">Tirth Parmar:
Price in dollars($)</t>
      </text>
    </comment>
    <comment authorId="0" ref="E5">
      <text>
        <t xml:space="preserve">Tirth Parmar:
Without Alternium</t>
      </text>
    </comment>
    <comment authorId="0" ref="C7">
      <text>
        <t xml:space="preserve">Tirth Parmar:
Price in dollars($)</t>
      </text>
    </comment>
    <comment authorId="0" ref="C8">
      <text>
        <t xml:space="preserve">Tirth Parmar:
Price in dollars($)</t>
      </text>
    </comment>
  </commentList>
</comments>
</file>

<file path=xl/sharedStrings.xml><?xml version="1.0" encoding="utf-8"?>
<sst xmlns="http://schemas.openxmlformats.org/spreadsheetml/2006/main" count="108" uniqueCount="46">
  <si>
    <t>Universal Swaps (New Project = The Alternium)</t>
  </si>
  <si>
    <t>Stock Price per Share</t>
  </si>
  <si>
    <t>No.of Participants(Universal Swaps)</t>
  </si>
  <si>
    <t>US and Russia</t>
  </si>
  <si>
    <t>International</t>
  </si>
  <si>
    <t>No.of Shares in Circulation</t>
  </si>
  <si>
    <t>Amount of Capital Raised by Equity</t>
  </si>
  <si>
    <t>Amount Raised by Debt</t>
  </si>
  <si>
    <t>Gearing/Leverage</t>
  </si>
  <si>
    <t>Marginal Tax Rate</t>
  </si>
  <si>
    <t>US Treasury Bond Rate</t>
  </si>
  <si>
    <t>Inflation Rate</t>
  </si>
  <si>
    <t>Cost of Capital</t>
  </si>
  <si>
    <t>Charges to Participants</t>
  </si>
  <si>
    <t>No.of Participants</t>
  </si>
  <si>
    <t>Cost to Particiapnts(Per Participants)</t>
  </si>
  <si>
    <t>Cost to Participants</t>
  </si>
  <si>
    <t>Cost to Company(Per Participant)</t>
  </si>
  <si>
    <t>Cost to Company</t>
  </si>
  <si>
    <t>Working Capital</t>
  </si>
  <si>
    <t>Without Alternium</t>
  </si>
  <si>
    <t>With Alternium</t>
  </si>
  <si>
    <t>G&amp;A Expenses</t>
  </si>
  <si>
    <t>Advertising</t>
  </si>
  <si>
    <t>Total Revenue(Yearly)</t>
  </si>
  <si>
    <t>Year</t>
  </si>
  <si>
    <t>Time Period</t>
  </si>
  <si>
    <t>R&amp;D Expenses</t>
  </si>
  <si>
    <t>Introductory Costs</t>
  </si>
  <si>
    <t>Alternium Participants</t>
  </si>
  <si>
    <t>International(Universal Swaps)</t>
  </si>
  <si>
    <t>Cost to Particiapnts(Universal Swaps)</t>
  </si>
  <si>
    <t>Cost to Participants(Alternium)</t>
  </si>
  <si>
    <t>Server Facilities and Costs</t>
  </si>
  <si>
    <t>Inventory</t>
  </si>
  <si>
    <t>Accounts Payable</t>
  </si>
  <si>
    <t>Side Benefits</t>
  </si>
  <si>
    <t>Net Present Value</t>
  </si>
  <si>
    <t>i</t>
  </si>
  <si>
    <t>NPV</t>
  </si>
  <si>
    <t>Server Cost</t>
  </si>
  <si>
    <t>Total NPV</t>
  </si>
  <si>
    <t>IRR</t>
  </si>
  <si>
    <t>Assumptions</t>
  </si>
  <si>
    <t>The growth rate remains constant and hopefully the business is still profitable by the end.</t>
  </si>
  <si>
    <t>the tenure is 20 years.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</si>
</sst>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[$$-409]* #,##0.00_ ;_-[$$-409]* \-#,##0.00\ ;_-[$$-409]* &quot;-&quot;??_ ;_-@_ "/>
    <numFmt numFmtId="165" formatCode="&quot;₹&quot;\ #,##0.00"/>
    <numFmt numFmtId="166" formatCode="_ * #,##0_ ;_ * \-#,##0_ ;_ * &quot;-&quot;??_ ;_ @_ "/>
    <numFmt numFmtId="167" formatCode="0.0%"/>
    <numFmt numFmtId="168" formatCode="_ * #,##0.00_ ;_ * \-#,##0.00_ ;_ * &quot;-&quot;??_ ;_ @_ "/>
    <numFmt numFmtId="169" formatCode="_ * #,##0_ ;_ * \-#,##0_ ;_ * &quot;-&quot;?_ ;_ @_ "/>
  </numFmts>
  <fonts count="7">
    <font>
      <sz val="11.0"/>
      <color/>
      <name val="Calibri"/>
    </font>
    <font>
      <b/>
      <i/>
      <u/>
      <sz val="14.0"/>
      <color/>
      <name val="Calibri"/>
    </font>
    <font>
      <b/>
      <sz val="11.0"/>
      <color/>
      <name val="Calibri"/>
    </font>
    <font/>
    <font>
      <sz val="11.0"/>
      <color rgb="FFFF0000"/>
      <name val="Calibri"/>
    </font>
    <font>
      <sz val="11.0"/>
      <color rgb="FF00B050"/>
      <name val="Calibri"/>
    </font>
    <font>
      <sz val="11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FFD965"/>
        <bgColor rgb="FFFFD965"/>
      </patternFill>
    </fill>
  </fills>
  <borders count="32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164" xfId="0" applyFont="1" applyNumberFormat="1"/>
    <xf borderId="0" fillId="0" fontId="0" numFmtId="165" xfId="0" applyFont="1" applyNumberFormat="1"/>
    <xf borderId="1" fillId="0" fontId="2" numFmtId="0" xfId="0" applyBorder="1" applyFont="1"/>
    <xf borderId="2" fillId="0" fontId="2" numFmtId="2" xfId="0" applyAlignment="1" applyBorder="1" applyFont="1" applyNumberFormat="1">
      <alignment horizontal="right"/>
    </xf>
    <xf borderId="3" fillId="2" fontId="2" numFmtId="0" xfId="0" applyBorder="1" applyFill="1" applyFont="1"/>
    <xf borderId="2" fillId="3" fontId="2" numFmtId="0" xfId="0" applyBorder="1" applyFill="1" applyFont="1"/>
    <xf borderId="4" fillId="0" fontId="2" numFmtId="0" xfId="0" applyBorder="1" applyFont="1"/>
    <xf borderId="5" fillId="0" fontId="2" numFmtId="166" xfId="0" applyBorder="1" applyFont="1" applyNumberFormat="1"/>
    <xf borderId="6" fillId="2" fontId="2" numFmtId="166" xfId="0" applyBorder="1" applyFont="1" applyNumberFormat="1"/>
    <xf borderId="5" fillId="3" fontId="2" numFmtId="166" xfId="0" applyBorder="1" applyFont="1" applyNumberFormat="1"/>
    <xf borderId="5" fillId="0" fontId="2" numFmtId="166" xfId="0" applyAlignment="1" applyBorder="1" applyFont="1" applyNumberFormat="1">
      <alignment horizontal="right"/>
    </xf>
    <xf borderId="7" fillId="0" fontId="2" numFmtId="0" xfId="0" applyBorder="1" applyFont="1"/>
    <xf borderId="8" fillId="2" fontId="2" numFmtId="166" xfId="0" applyBorder="1" applyFont="1" applyNumberFormat="1"/>
    <xf borderId="9" fillId="3" fontId="2" numFmtId="166" xfId="0" applyBorder="1" applyFont="1" applyNumberFormat="1"/>
    <xf borderId="5" fillId="0" fontId="2" numFmtId="12" xfId="0" applyBorder="1" applyFont="1" applyNumberFormat="1"/>
    <xf borderId="5" fillId="0" fontId="2" numFmtId="9" xfId="0" applyBorder="1" applyFont="1" applyNumberFormat="1"/>
    <xf borderId="5" fillId="0" fontId="2" numFmtId="167" xfId="0" applyBorder="1" applyFont="1" applyNumberFormat="1"/>
    <xf borderId="7" fillId="0" fontId="2" numFmtId="165" xfId="0" applyBorder="1" applyFont="1" applyNumberFormat="1"/>
    <xf borderId="9" fillId="0" fontId="2" numFmtId="1" xfId="0" applyBorder="1" applyFont="1" applyNumberFormat="1"/>
    <xf borderId="0" fillId="0" fontId="2" numFmtId="165" xfId="0" applyFont="1" applyNumberFormat="1"/>
    <xf borderId="0" fillId="0" fontId="2" numFmtId="1" xfId="0" applyFont="1" applyNumberFormat="1"/>
    <xf borderId="10" fillId="0" fontId="0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6" fillId="0" fontId="2" numFmtId="0" xfId="0" applyAlignment="1" applyBorder="1" applyFont="1">
      <alignment horizontal="center"/>
    </xf>
    <xf borderId="17" fillId="0" fontId="0" numFmtId="0" xfId="0" applyBorder="1" applyFont="1"/>
    <xf borderId="13" fillId="0" fontId="0" numFmtId="0" xfId="0" applyBorder="1" applyFont="1"/>
    <xf borderId="18" fillId="0" fontId="0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2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6" fillId="0" fontId="2" numFmtId="0" xfId="0" applyBorder="1" applyFont="1"/>
    <xf borderId="26" fillId="0" fontId="3" numFmtId="0" xfId="0" applyBorder="1" applyFont="1"/>
    <xf borderId="27" fillId="0" fontId="3" numFmtId="0" xfId="0" applyBorder="1" applyFont="1"/>
    <xf borderId="8" fillId="0" fontId="2" numFmtId="165" xfId="0" applyBorder="1" applyFont="1" applyNumberFormat="1"/>
    <xf borderId="8" fillId="0" fontId="2" numFmtId="0" xfId="0" applyBorder="1" applyFont="1"/>
    <xf borderId="9" fillId="0" fontId="2" numFmtId="0" xfId="0" applyBorder="1" applyFont="1"/>
    <xf borderId="26" fillId="0" fontId="0" numFmtId="0" xfId="0" applyBorder="1" applyFont="1"/>
    <xf borderId="26" fillId="0" fontId="0" numFmtId="1" xfId="0" applyBorder="1" applyFont="1" applyNumberFormat="1"/>
    <xf borderId="26" fillId="0" fontId="4" numFmtId="166" xfId="0" applyBorder="1" applyFont="1" applyNumberFormat="1"/>
    <xf borderId="28" fillId="4" fontId="0" numFmtId="166" xfId="0" applyBorder="1" applyFill="1" applyFont="1" applyNumberFormat="1"/>
    <xf borderId="28" fillId="3" fontId="0" numFmtId="166" xfId="0" applyBorder="1" applyFont="1" applyNumberFormat="1"/>
    <xf borderId="28" fillId="5" fontId="0" numFmtId="166" xfId="0" applyBorder="1" applyFill="1" applyFont="1" applyNumberFormat="1"/>
    <xf borderId="26" fillId="0" fontId="5" numFmtId="166" xfId="0" applyBorder="1" applyFont="1" applyNumberFormat="1"/>
    <xf borderId="26" fillId="0" fontId="0" numFmtId="166" xfId="0" applyBorder="1" applyFont="1" applyNumberFormat="1"/>
    <xf borderId="26" fillId="0" fontId="0" numFmtId="168" xfId="0" applyBorder="1" applyFont="1" applyNumberFormat="1"/>
    <xf borderId="26" fillId="0" fontId="6" numFmtId="166" xfId="0" applyBorder="1" applyFont="1" applyNumberFormat="1"/>
    <xf borderId="6" fillId="0" fontId="0" numFmtId="0" xfId="0" applyBorder="1" applyFont="1"/>
    <xf borderId="6" fillId="0" fontId="0" numFmtId="1" xfId="0" applyBorder="1" applyFont="1" applyNumberFormat="1"/>
    <xf borderId="6" fillId="4" fontId="0" numFmtId="166" xfId="0" applyBorder="1" applyFont="1" applyNumberFormat="1"/>
    <xf borderId="6" fillId="3" fontId="0" numFmtId="166" xfId="0" applyBorder="1" applyFont="1" applyNumberFormat="1"/>
    <xf borderId="6" fillId="5" fontId="0" numFmtId="166" xfId="0" applyBorder="1" applyFont="1" applyNumberFormat="1"/>
    <xf borderId="6" fillId="0" fontId="0" numFmtId="2" xfId="0" applyBorder="1" applyFont="1" applyNumberFormat="1"/>
    <xf borderId="6" fillId="0" fontId="5" numFmtId="166" xfId="0" applyBorder="1" applyFont="1" applyNumberFormat="1"/>
    <xf borderId="6" fillId="0" fontId="0" numFmtId="168" xfId="0" applyBorder="1" applyFont="1" applyNumberFormat="1"/>
    <xf borderId="6" fillId="0" fontId="4" numFmtId="166" xfId="0" applyBorder="1" applyFont="1" applyNumberFormat="1"/>
    <xf borderId="6" fillId="0" fontId="0" numFmtId="169" xfId="0" applyBorder="1" applyFont="1" applyNumberFormat="1"/>
    <xf borderId="6" fillId="0" fontId="6" numFmtId="166" xfId="0" applyBorder="1" applyFont="1" applyNumberFormat="1"/>
    <xf borderId="6" fillId="0" fontId="0" numFmtId="166" xfId="0" applyBorder="1" applyFont="1" applyNumberFormat="1"/>
    <xf borderId="6" fillId="0" fontId="4" numFmtId="169" xfId="0" applyBorder="1" applyFont="1" applyNumberFormat="1"/>
    <xf borderId="6" fillId="0" fontId="5" numFmtId="169" xfId="0" applyBorder="1" applyFont="1" applyNumberFormat="1"/>
    <xf borderId="0" fillId="0" fontId="2" numFmtId="0" xfId="0" applyFont="1"/>
    <xf borderId="6" fillId="0" fontId="0" numFmtId="9" xfId="0" applyBorder="1" applyFont="1" applyNumberFormat="1"/>
    <xf borderId="29" fillId="0" fontId="0" numFmtId="0" xfId="0" applyBorder="1" applyFont="1"/>
    <xf borderId="30" fillId="0" fontId="0" numFmtId="0" xfId="0" applyBorder="1" applyFont="1"/>
    <xf borderId="31" fillId="0" fontId="0" numFmtId="0" xfId="0" applyBorder="1" applyFont="1"/>
    <xf borderId="6" fillId="0" fontId="6" numFmtId="0" xfId="0" applyBorder="1" applyFont="1"/>
    <xf borderId="6" fillId="0" fontId="0" numFmtId="9" xfId="0" applyAlignment="1" applyBorder="1" applyFont="1" applyNumberFormat="1">
      <alignment readingOrder="0"/>
    </xf>
    <xf borderId="0" fillId="0" fontId="0" numFmtId="166" xfId="0" applyFont="1" applyNumberFormat="1"/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31.29"/>
    <col customWidth="1" min="3" max="3" width="17.57"/>
    <col customWidth="1" min="4" max="4" width="23.14"/>
    <col customWidth="1" min="5" max="5" width="31.71"/>
    <col customWidth="1" min="6" max="6" width="17.86"/>
    <col customWidth="1" min="7" max="7" width="19.14"/>
    <col customWidth="1" min="8" max="8" width="18.0"/>
    <col customWidth="1" min="9" max="9" width="19.71"/>
    <col customWidth="1" min="10" max="10" width="27.14"/>
    <col customWidth="1" min="11" max="11" width="33.0"/>
    <col customWidth="1" min="12" max="12" width="27.43"/>
    <col customWidth="1" min="13" max="13" width="18.43"/>
    <col customWidth="1" min="14" max="14" width="15.71"/>
    <col customWidth="1" min="15" max="15" width="13.29"/>
    <col customWidth="1" min="16" max="16" width="12.71"/>
    <col customWidth="1" min="17" max="17" width="14.71"/>
    <col customWidth="1" min="18" max="18" width="17.0"/>
    <col customWidth="1" min="19" max="19" width="17.29"/>
    <col customWidth="1" min="20" max="20" width="23.0"/>
    <col customWidth="1" min="21" max="21" width="17.29"/>
    <col customWidth="1" min="22" max="22" width="15.71"/>
    <col customWidth="1" min="23" max="23" width="17.14"/>
    <col customWidth="1" min="24" max="24" width="14.86"/>
    <col customWidth="1" min="25" max="25" width="17.14"/>
    <col customWidth="1" min="26" max="26" width="15.71"/>
    <col customWidth="1" min="27" max="27" width="16.14"/>
    <col customWidth="1" min="28" max="28" width="16.29"/>
    <col customWidth="1" min="29" max="29" width="14.29"/>
    <col customWidth="1" min="30" max="30" width="16.29"/>
    <col customWidth="1" min="31" max="31" width="13.29"/>
  </cols>
  <sheetData>
    <row r="1" ht="14.25" customHeight="1">
      <c r="A1" s="1" t="s">
        <v>0</v>
      </c>
    </row>
    <row r="2" ht="14.25" customHeight="1">
      <c r="B2" s="2"/>
    </row>
    <row r="3" ht="14.25" customHeight="1">
      <c r="B3" s="3"/>
    </row>
    <row r="4" ht="14.25" customHeight="1">
      <c r="B4" s="3"/>
    </row>
    <row r="5" ht="14.25" customHeight="1">
      <c r="B5" s="4" t="s">
        <v>1</v>
      </c>
      <c r="C5" s="5">
        <v>87.5</v>
      </c>
      <c r="E5" s="4" t="s">
        <v>2</v>
      </c>
      <c r="F5" s="6" t="s">
        <v>3</v>
      </c>
      <c r="G5" s="7" t="s">
        <v>4</v>
      </c>
    </row>
    <row r="6" ht="14.25" customHeight="1">
      <c r="B6" s="8" t="s">
        <v>5</v>
      </c>
      <c r="C6" s="9">
        <v>2.5143E8</v>
      </c>
      <c r="E6" s="8">
        <v>2020.0</v>
      </c>
      <c r="F6" s="10">
        <v>4.5E7</v>
      </c>
      <c r="G6" s="11">
        <v>3.0E7</v>
      </c>
    </row>
    <row r="7" ht="14.25" customHeight="1">
      <c r="B7" s="8" t="s">
        <v>6</v>
      </c>
      <c r="C7" s="12" t="str">
        <f>C5*C6</f>
        <v>  22,000,125,000 </v>
      </c>
      <c r="E7" s="8">
        <v>2021.0</v>
      </c>
      <c r="F7" s="10" t="str">
        <f t="shared" ref="F7:F8" si="1">F6*(1+5%)</f>
        <v>  47,250,000 </v>
      </c>
      <c r="G7" s="11" t="str">
        <f t="shared" ref="G7:G8" si="2">G6*(1+8%)</f>
        <v>  32,400,000 </v>
      </c>
    </row>
    <row r="8" ht="14.25" customHeight="1">
      <c r="B8" s="8" t="s">
        <v>7</v>
      </c>
      <c r="C8" s="9">
        <v>2.432E9</v>
      </c>
      <c r="E8" s="13">
        <v>2022.0</v>
      </c>
      <c r="F8" s="14" t="str">
        <f t="shared" si="1"/>
        <v>  49,612,500 </v>
      </c>
      <c r="G8" s="15" t="str">
        <f t="shared" si="2"/>
        <v>  34,992,000 </v>
      </c>
    </row>
    <row r="9" ht="14.25" customHeight="1">
      <c r="B9" s="8" t="s">
        <v>8</v>
      </c>
      <c r="C9" s="16" t="str">
        <f>C8/C7</f>
        <v>1/9</v>
      </c>
    </row>
    <row r="10" ht="14.25" customHeight="1">
      <c r="B10" s="8" t="s">
        <v>9</v>
      </c>
      <c r="C10" s="17">
        <v>0.1</v>
      </c>
    </row>
    <row r="11" ht="14.25" customHeight="1">
      <c r="B11" s="8" t="s">
        <v>10</v>
      </c>
      <c r="C11" s="17">
        <v>0.02</v>
      </c>
    </row>
    <row r="12" ht="14.25" customHeight="1">
      <c r="B12" s="8" t="s">
        <v>11</v>
      </c>
      <c r="C12" s="18">
        <v>0.015</v>
      </c>
    </row>
    <row r="13" ht="14.25" customHeight="1">
      <c r="B13" s="8" t="s">
        <v>12</v>
      </c>
      <c r="C13" s="17">
        <v>0.11</v>
      </c>
    </row>
    <row r="14" ht="14.25" customHeight="1">
      <c r="B14" s="19" t="s">
        <v>13</v>
      </c>
      <c r="C14" s="20">
        <v>100.0</v>
      </c>
    </row>
    <row r="15" ht="14.25" customHeight="1">
      <c r="B15" s="21"/>
      <c r="C15" s="22"/>
    </row>
    <row r="16" ht="14.25" customHeight="1">
      <c r="A16" s="23"/>
      <c r="B16" s="24"/>
      <c r="C16" s="24"/>
      <c r="D16" s="25"/>
      <c r="E16" s="26" t="s">
        <v>14</v>
      </c>
      <c r="F16" s="27"/>
      <c r="G16" s="27"/>
      <c r="H16" s="27"/>
      <c r="I16" s="27"/>
      <c r="J16" s="28"/>
      <c r="K16" s="29" t="s">
        <v>15</v>
      </c>
      <c r="L16" s="25"/>
      <c r="M16" s="29" t="s">
        <v>16</v>
      </c>
      <c r="N16" s="25"/>
      <c r="O16" s="26" t="s">
        <v>17</v>
      </c>
      <c r="P16" s="27"/>
      <c r="Q16" s="28"/>
      <c r="R16" s="29" t="s">
        <v>18</v>
      </c>
      <c r="S16" s="25"/>
      <c r="T16" s="30"/>
      <c r="U16" s="31"/>
      <c r="V16" s="28"/>
      <c r="W16" s="31"/>
      <c r="X16" s="28"/>
      <c r="Y16" s="31"/>
      <c r="Z16" s="28"/>
      <c r="AA16" s="26" t="s">
        <v>19</v>
      </c>
      <c r="AB16" s="27"/>
      <c r="AC16" s="27"/>
      <c r="AD16" s="28"/>
      <c r="AE16" s="32"/>
    </row>
    <row r="17" ht="14.25" customHeight="1">
      <c r="A17" s="33"/>
      <c r="B17" s="34"/>
      <c r="C17" s="34"/>
      <c r="D17" s="35"/>
      <c r="E17" s="36" t="s">
        <v>20</v>
      </c>
      <c r="F17" s="37"/>
      <c r="G17" s="36" t="s">
        <v>21</v>
      </c>
      <c r="H17" s="38"/>
      <c r="I17" s="38"/>
      <c r="J17" s="37"/>
      <c r="K17" s="39"/>
      <c r="L17" s="35"/>
      <c r="M17" s="39"/>
      <c r="N17" s="35"/>
      <c r="O17" s="36" t="s">
        <v>20</v>
      </c>
      <c r="P17" s="37"/>
      <c r="Q17" s="40" t="s">
        <v>21</v>
      </c>
      <c r="R17" s="39"/>
      <c r="S17" s="35"/>
      <c r="T17" s="41"/>
      <c r="U17" s="36" t="s">
        <v>22</v>
      </c>
      <c r="V17" s="37"/>
      <c r="W17" s="36" t="s">
        <v>23</v>
      </c>
      <c r="X17" s="37"/>
      <c r="Y17" s="36" t="s">
        <v>24</v>
      </c>
      <c r="Z17" s="37"/>
      <c r="AA17" s="36" t="s">
        <v>20</v>
      </c>
      <c r="AB17" s="37"/>
      <c r="AC17" s="36" t="s">
        <v>21</v>
      </c>
      <c r="AD17" s="37"/>
      <c r="AE17" s="42"/>
    </row>
    <row r="18" ht="14.25" customHeight="1">
      <c r="A18" s="13" t="s">
        <v>25</v>
      </c>
      <c r="B18" s="43" t="s">
        <v>26</v>
      </c>
      <c r="C18" s="44" t="s">
        <v>27</v>
      </c>
      <c r="D18" s="44" t="s">
        <v>28</v>
      </c>
      <c r="E18" s="44" t="s">
        <v>3</v>
      </c>
      <c r="F18" s="44" t="s">
        <v>4</v>
      </c>
      <c r="G18" s="44" t="s">
        <v>3</v>
      </c>
      <c r="H18" s="44" t="s">
        <v>4</v>
      </c>
      <c r="I18" s="44" t="s">
        <v>29</v>
      </c>
      <c r="J18" s="44" t="s">
        <v>30</v>
      </c>
      <c r="K18" s="44" t="s">
        <v>31</v>
      </c>
      <c r="L18" s="44" t="s">
        <v>32</v>
      </c>
      <c r="M18" s="44" t="s">
        <v>20</v>
      </c>
      <c r="N18" s="44" t="s">
        <v>21</v>
      </c>
      <c r="O18" s="44" t="s">
        <v>3</v>
      </c>
      <c r="P18" s="44" t="s">
        <v>4</v>
      </c>
      <c r="Q18" s="44" t="s">
        <v>4</v>
      </c>
      <c r="R18" s="44" t="s">
        <v>20</v>
      </c>
      <c r="S18" s="44" t="s">
        <v>21</v>
      </c>
      <c r="T18" s="44" t="s">
        <v>33</v>
      </c>
      <c r="U18" s="44" t="s">
        <v>20</v>
      </c>
      <c r="V18" s="44" t="s">
        <v>21</v>
      </c>
      <c r="W18" s="44" t="s">
        <v>20</v>
      </c>
      <c r="X18" s="44" t="s">
        <v>21</v>
      </c>
      <c r="Y18" s="44" t="s">
        <v>20</v>
      </c>
      <c r="Z18" s="44" t="s">
        <v>21</v>
      </c>
      <c r="AA18" s="44" t="s">
        <v>34</v>
      </c>
      <c r="AB18" s="44" t="s">
        <v>35</v>
      </c>
      <c r="AC18" s="44" t="s">
        <v>34</v>
      </c>
      <c r="AD18" s="44" t="s">
        <v>35</v>
      </c>
      <c r="AE18" s="45" t="s">
        <v>36</v>
      </c>
    </row>
    <row r="19" ht="14.25" customHeight="1">
      <c r="A19" s="46">
        <v>2022.0</v>
      </c>
      <c r="B19" s="47">
        <v>0.0</v>
      </c>
      <c r="C19" s="48">
        <v>-1.5E9</v>
      </c>
      <c r="D19" s="48">
        <v>-1.0E9</v>
      </c>
      <c r="E19" s="49" t="str">
        <f t="shared" ref="E19:F19" si="3">F8</f>
        <v>  49,612,500 </v>
      </c>
      <c r="F19" s="50" t="str">
        <f t="shared" si="3"/>
        <v>  34,992,000 </v>
      </c>
      <c r="G19" s="49" t="str">
        <f t="shared" ref="G19:H19" si="4">F8</f>
        <v>  49,612,500 </v>
      </c>
      <c r="H19" s="50" t="str">
        <f t="shared" si="4"/>
        <v>  34,992,000 </v>
      </c>
      <c r="I19" s="51">
        <v>0.0</v>
      </c>
      <c r="J19" s="50" t="str">
        <f t="shared" ref="J19:J39" si="5">H19-I19</f>
        <v>  34,992,000 </v>
      </c>
      <c r="K19" s="46">
        <v>100.0</v>
      </c>
      <c r="L19" s="46">
        <v>50.0</v>
      </c>
      <c r="M19" s="52" t="str">
        <f t="shared" ref="M19:M39" si="7">(E19+F19)*K19</f>
        <v>  8,460,450,000 </v>
      </c>
      <c r="N19" s="52" t="str">
        <f t="shared" ref="N19:N39" si="8">((G19+J19)*K19)+(I19*L19)</f>
        <v>  8,460,450,000 </v>
      </c>
      <c r="O19" s="53">
        <v>36.0</v>
      </c>
      <c r="P19" s="53">
        <v>48.0</v>
      </c>
      <c r="Q19" s="54" t="str">
        <f t="shared" ref="Q19:Q39" si="10">P19*60%</f>
        <v>  28.80 </v>
      </c>
      <c r="R19" s="48" t="str">
        <f t="shared" ref="R19:R39" si="11">-((O19*E19)+(P19*F19))</f>
        <v>  -3,465,666,000 </v>
      </c>
      <c r="S19" s="48" t="str">
        <f t="shared" ref="S19:S39" si="12">-((O19*G19)+(P19*J19)+(Q19*I19))</f>
        <v>  -3,465,666,000 </v>
      </c>
      <c r="T19" s="53">
        <v>-6.0E8</v>
      </c>
      <c r="U19" s="48">
        <v>-4.0E8</v>
      </c>
      <c r="V19" s="48">
        <v>-4.4E8</v>
      </c>
      <c r="W19" s="48">
        <v>-5.0E8</v>
      </c>
      <c r="X19" s="48">
        <v>-5.0E8</v>
      </c>
      <c r="Y19" s="55" t="str">
        <f t="shared" ref="Y19:Y39" si="13">M19</f>
        <v>  8,460,450,000 </v>
      </c>
      <c r="Z19" s="55" t="str">
        <f t="shared" ref="Z19:Z39" si="14">(N19*10%)/5%</f>
        <v>  16,920,900,000 </v>
      </c>
      <c r="AA19" s="55" t="str">
        <f t="shared" ref="AA19:AA39" si="15">M19*10%</f>
        <v>  846,045,000 </v>
      </c>
      <c r="AB19" s="48" t="str">
        <f t="shared" ref="AB19:AB39" si="16">-(M19*6%)</f>
        <v>  -507,627,000 </v>
      </c>
      <c r="AC19" s="55" t="str">
        <f t="shared" ref="AC19:AC39" si="17">N19*10%</f>
        <v>  846,045,000 </v>
      </c>
      <c r="AD19" s="48" t="str">
        <f t="shared" ref="AD19:AD39" si="18">-(N19*6%)</f>
        <v>  -507,627,000 </v>
      </c>
      <c r="AE19" s="53">
        <v>3.0E7</v>
      </c>
    </row>
    <row r="20" ht="14.25" customHeight="1">
      <c r="A20" s="56">
        <v>2023.0</v>
      </c>
      <c r="B20" s="57">
        <v>1.0</v>
      </c>
      <c r="C20" s="56">
        <v>0.0</v>
      </c>
      <c r="D20" s="56">
        <v>0.0</v>
      </c>
      <c r="E20" s="58" t="str">
        <f t="shared" ref="E20:E39" si="19">E19*(1+5%)</f>
        <v>  52,093,125 </v>
      </c>
      <c r="F20" s="59" t="str">
        <f t="shared" ref="F20:F39" si="20">F19*(1+8%)</f>
        <v>  37,791,360 </v>
      </c>
      <c r="G20" s="58" t="str">
        <f t="shared" ref="G20:G39" si="21">G19*(1+5%)</f>
        <v>  52,093,125 </v>
      </c>
      <c r="H20" s="59" t="str">
        <f t="shared" ref="H20:H39" si="22">H19*(1+10%)</f>
        <v>  38,491,200 </v>
      </c>
      <c r="I20" s="60">
        <v>5000000.0</v>
      </c>
      <c r="J20" s="59" t="str">
        <f t="shared" si="5"/>
        <v>  33,491,200 </v>
      </c>
      <c r="K20" s="61" t="str">
        <f t="shared" ref="K20:L20" si="6">K19*(1+$C$12)</f>
        <v>101.50</v>
      </c>
      <c r="L20" s="61" t="str">
        <f t="shared" si="6"/>
        <v>50.75</v>
      </c>
      <c r="M20" s="62" t="str">
        <f t="shared" si="7"/>
        <v>  9,123,275,228 </v>
      </c>
      <c r="N20" s="62" t="str">
        <f t="shared" si="8"/>
        <v>  8,940,558,988 </v>
      </c>
      <c r="O20" s="63" t="str">
        <f t="shared" ref="O20:P20" si="9">O19*(1+$C$12)</f>
        <v>  36.54 </v>
      </c>
      <c r="P20" s="63" t="str">
        <f t="shared" si="9"/>
        <v>  48.72 </v>
      </c>
      <c r="Q20" s="63" t="str">
        <f t="shared" si="10"/>
        <v>  29.23 </v>
      </c>
      <c r="R20" s="64" t="str">
        <f t="shared" si="11"/>
        <v>  -3,744,677,847 </v>
      </c>
      <c r="S20" s="64" t="str">
        <f t="shared" si="12"/>
        <v>  -3,681,334,052 </v>
      </c>
      <c r="T20" s="65" t="str">
        <f t="shared" ref="T20:T39" si="25">T19*(1+1.5%)</f>
        <v>  -609,000,000 </v>
      </c>
      <c r="U20" s="64" t="str">
        <f t="shared" ref="U20:U39" si="26">U19*(1+5%)</f>
        <v>  -420,000,000 </v>
      </c>
      <c r="V20" s="64" t="str">
        <f t="shared" ref="V20:V39" si="27">V19*(1+10%)</f>
        <v>  -484,000,000 </v>
      </c>
      <c r="W20" s="64" t="str">
        <f t="shared" ref="W20:W39" si="28">W19*(1+5%)</f>
        <v>  -525,000,000 </v>
      </c>
      <c r="X20" s="64" t="str">
        <f t="shared" ref="X20:X39" si="29">X19*(1+15%)</f>
        <v>  -575,000,000 </v>
      </c>
      <c r="Y20" s="66" t="str">
        <f t="shared" si="13"/>
        <v>  9,123,275,228 </v>
      </c>
      <c r="Z20" s="66" t="str">
        <f t="shared" si="14"/>
        <v>  17,881,117,975 </v>
      </c>
      <c r="AA20" s="66" t="str">
        <f t="shared" si="15"/>
        <v>  912,327,523 </v>
      </c>
      <c r="AB20" s="64" t="str">
        <f t="shared" si="16"/>
        <v>  -547,396,514 </v>
      </c>
      <c r="AC20" s="66" t="str">
        <f t="shared" si="17"/>
        <v>  894,055,899 </v>
      </c>
      <c r="AD20" s="64" t="str">
        <f t="shared" si="18"/>
        <v>  -536,433,539 </v>
      </c>
      <c r="AE20" s="67" t="str">
        <f t="shared" ref="AE20:AE29" si="30">AE19*(1+3%)</f>
        <v>  30,900,000 </v>
      </c>
    </row>
    <row r="21" ht="14.25" customHeight="1">
      <c r="A21" s="56">
        <v>2024.0</v>
      </c>
      <c r="B21" s="57">
        <v>2.0</v>
      </c>
      <c r="C21" s="56">
        <v>0.0</v>
      </c>
      <c r="D21" s="56">
        <v>0.0</v>
      </c>
      <c r="E21" s="58" t="str">
        <f t="shared" si="19"/>
        <v>  54,697,781 </v>
      </c>
      <c r="F21" s="59" t="str">
        <f t="shared" si="20"/>
        <v>  40,814,669 </v>
      </c>
      <c r="G21" s="58" t="str">
        <f t="shared" si="21"/>
        <v>  54,697,781 </v>
      </c>
      <c r="H21" s="59" t="str">
        <f t="shared" si="22"/>
        <v>  42,340,320 </v>
      </c>
      <c r="I21" s="60" t="str">
        <f t="shared" ref="I21:I39" si="31">I20*(1+8%)</f>
        <v>  5,400,000 </v>
      </c>
      <c r="J21" s="59" t="str">
        <f t="shared" si="5"/>
        <v>  36,940,320 </v>
      </c>
      <c r="K21" s="61" t="str">
        <f t="shared" ref="K21:L21" si="23">K20*(1+$C$12)</f>
        <v>103.02</v>
      </c>
      <c r="L21" s="61" t="str">
        <f t="shared" si="23"/>
        <v>51.51</v>
      </c>
      <c r="M21" s="62" t="str">
        <f t="shared" si="7"/>
        <v>  9,839,931,385 </v>
      </c>
      <c r="N21" s="62" t="str">
        <f t="shared" si="8"/>
        <v>  9,718,947,036 </v>
      </c>
      <c r="O21" s="63" t="str">
        <f t="shared" ref="O21:P21" si="24">O20*(1+$C$12)</f>
        <v>  37.09 </v>
      </c>
      <c r="P21" s="63" t="str">
        <f t="shared" si="24"/>
        <v>  49.45 </v>
      </c>
      <c r="Q21" s="63" t="str">
        <f t="shared" si="10"/>
        <v>  29.67 </v>
      </c>
      <c r="R21" s="64" t="str">
        <f t="shared" si="11"/>
        <v>  -4,046,954,805 </v>
      </c>
      <c r="S21" s="64" t="str">
        <f t="shared" si="12"/>
        <v>  -4,015,585,749 </v>
      </c>
      <c r="T21" s="65" t="str">
        <f t="shared" si="25"/>
        <v>  -618,135,000 </v>
      </c>
      <c r="U21" s="64" t="str">
        <f t="shared" si="26"/>
        <v>  -441,000,000 </v>
      </c>
      <c r="V21" s="64" t="str">
        <f t="shared" si="27"/>
        <v>  -532,400,000 </v>
      </c>
      <c r="W21" s="64" t="str">
        <f t="shared" si="28"/>
        <v>  -551,250,000 </v>
      </c>
      <c r="X21" s="64" t="str">
        <f t="shared" si="29"/>
        <v>  -661,250,000 </v>
      </c>
      <c r="Y21" s="66" t="str">
        <f t="shared" si="13"/>
        <v>  9,839,931,385 </v>
      </c>
      <c r="Z21" s="66" t="str">
        <f t="shared" si="14"/>
        <v>  19,437,894,072 </v>
      </c>
      <c r="AA21" s="66" t="str">
        <f t="shared" si="15"/>
        <v>  983,993,139 </v>
      </c>
      <c r="AB21" s="64" t="str">
        <f t="shared" si="16"/>
        <v>  -590,395,883 </v>
      </c>
      <c r="AC21" s="66" t="str">
        <f t="shared" si="17"/>
        <v>  971,894,704 </v>
      </c>
      <c r="AD21" s="64" t="str">
        <f t="shared" si="18"/>
        <v>  -583,136,822 </v>
      </c>
      <c r="AE21" s="67" t="str">
        <f t="shared" si="30"/>
        <v>  31,827,000 </v>
      </c>
    </row>
    <row r="22" ht="14.25" customHeight="1">
      <c r="A22" s="56">
        <v>2025.0</v>
      </c>
      <c r="B22" s="57">
        <v>3.0</v>
      </c>
      <c r="C22" s="56">
        <v>0.0</v>
      </c>
      <c r="D22" s="56">
        <v>0.0</v>
      </c>
      <c r="E22" s="58" t="str">
        <f t="shared" si="19"/>
        <v>  57,432,670 </v>
      </c>
      <c r="F22" s="59" t="str">
        <f t="shared" si="20"/>
        <v>  44,079,842 </v>
      </c>
      <c r="G22" s="58" t="str">
        <f t="shared" si="21"/>
        <v>  57,432,670 </v>
      </c>
      <c r="H22" s="59" t="str">
        <f t="shared" si="22"/>
        <v>  46,574,352 </v>
      </c>
      <c r="I22" s="60" t="str">
        <f t="shared" si="31"/>
        <v>  5,832,000 </v>
      </c>
      <c r="J22" s="59" t="str">
        <f t="shared" si="5"/>
        <v>  40,742,352 </v>
      </c>
      <c r="K22" s="61" t="str">
        <f t="shared" ref="K22:L22" si="32">K21*(1+$C$12)</f>
        <v>104.57</v>
      </c>
      <c r="L22" s="61" t="str">
        <f t="shared" si="32"/>
        <v>52.28</v>
      </c>
      <c r="M22" s="62" t="str">
        <f t="shared" si="7"/>
        <v>  10,614,943,923 </v>
      </c>
      <c r="N22" s="62" t="str">
        <f t="shared" si="8"/>
        <v>  10,570,869,594 </v>
      </c>
      <c r="O22" s="63" t="str">
        <f t="shared" ref="O22:P22" si="33">O21*(1+$C$12)</f>
        <v>  37.64 </v>
      </c>
      <c r="P22" s="63" t="str">
        <f t="shared" si="33"/>
        <v>  50.19 </v>
      </c>
      <c r="Q22" s="63" t="str">
        <f t="shared" si="10"/>
        <v>  30.12 </v>
      </c>
      <c r="R22" s="64" t="str">
        <f t="shared" si="11"/>
        <v>  -4,374,499,867 </v>
      </c>
      <c r="S22" s="64" t="str">
        <f t="shared" si="12"/>
        <v>  -4,382,616,491 </v>
      </c>
      <c r="T22" s="65" t="str">
        <f t="shared" si="25"/>
        <v>  -627,407,025 </v>
      </c>
      <c r="U22" s="64" t="str">
        <f t="shared" si="26"/>
        <v>  -463,050,000 </v>
      </c>
      <c r="V22" s="64" t="str">
        <f t="shared" si="27"/>
        <v>  -585,640,000 </v>
      </c>
      <c r="W22" s="64" t="str">
        <f t="shared" si="28"/>
        <v>  -578,812,500 </v>
      </c>
      <c r="X22" s="64" t="str">
        <f t="shared" si="29"/>
        <v>  -760,437,500 </v>
      </c>
      <c r="Y22" s="66" t="str">
        <f t="shared" si="13"/>
        <v>  10,614,943,923 </v>
      </c>
      <c r="Z22" s="66" t="str">
        <f t="shared" si="14"/>
        <v>  21,141,739,188 </v>
      </c>
      <c r="AA22" s="66" t="str">
        <f t="shared" si="15"/>
        <v>  1,061,494,392 </v>
      </c>
      <c r="AB22" s="64" t="str">
        <f t="shared" si="16"/>
        <v>  -636,896,635 </v>
      </c>
      <c r="AC22" s="66" t="str">
        <f t="shared" si="17"/>
        <v>  1,057,086,959 </v>
      </c>
      <c r="AD22" s="64" t="str">
        <f t="shared" si="18"/>
        <v>  -634,252,176 </v>
      </c>
      <c r="AE22" s="67" t="str">
        <f t="shared" si="30"/>
        <v>  32,781,810 </v>
      </c>
    </row>
    <row r="23" ht="14.25" customHeight="1">
      <c r="A23" s="56">
        <v>2026.0</v>
      </c>
      <c r="B23" s="57">
        <v>4.0</v>
      </c>
      <c r="C23" s="56">
        <v>0.0</v>
      </c>
      <c r="D23" s="56">
        <v>0.0</v>
      </c>
      <c r="E23" s="58" t="str">
        <f t="shared" si="19"/>
        <v>  60,304,304 </v>
      </c>
      <c r="F23" s="59" t="str">
        <f t="shared" si="20"/>
        <v>  47,606,230 </v>
      </c>
      <c r="G23" s="58" t="str">
        <f t="shared" si="21"/>
        <v>  60,304,304 </v>
      </c>
      <c r="H23" s="59" t="str">
        <f t="shared" si="22"/>
        <v>  51,231,787 </v>
      </c>
      <c r="I23" s="60" t="str">
        <f t="shared" si="31"/>
        <v>  6,298,560 </v>
      </c>
      <c r="J23" s="59" t="str">
        <f t="shared" si="5"/>
        <v>  44,933,227 </v>
      </c>
      <c r="K23" s="61" t="str">
        <f t="shared" ref="K23:L23" si="34">K22*(1+$C$12)</f>
        <v>106.14</v>
      </c>
      <c r="L23" s="61" t="str">
        <f t="shared" si="34"/>
        <v>53.07</v>
      </c>
      <c r="M23" s="62" t="str">
        <f t="shared" si="7"/>
        <v>  11,453,230,700 </v>
      </c>
      <c r="N23" s="62" t="str">
        <f t="shared" si="8"/>
        <v>  11,503,781,059 </v>
      </c>
      <c r="O23" s="63" t="str">
        <f t="shared" ref="O23:P23" si="35">O22*(1+$C$12)</f>
        <v>  38.21 </v>
      </c>
      <c r="P23" s="63" t="str">
        <f t="shared" si="35"/>
        <v>  50.95 </v>
      </c>
      <c r="Q23" s="63" t="str">
        <f t="shared" si="10"/>
        <v>  30.57 </v>
      </c>
      <c r="R23" s="64" t="str">
        <f t="shared" si="11"/>
        <v>  -4,729,493,256 </v>
      </c>
      <c r="S23" s="64" t="str">
        <f t="shared" si="12"/>
        <v>  -4,785,845,726 </v>
      </c>
      <c r="T23" s="68" t="str">
        <f t="shared" si="25"/>
        <v>  -636,818,130 </v>
      </c>
      <c r="U23" s="64" t="str">
        <f t="shared" si="26"/>
        <v>  -486,202,500 </v>
      </c>
      <c r="V23" s="64" t="str">
        <f t="shared" si="27"/>
        <v>  -644,204,000 </v>
      </c>
      <c r="W23" s="64" t="str">
        <f t="shared" si="28"/>
        <v>  -607,753,125 </v>
      </c>
      <c r="X23" s="64" t="str">
        <f t="shared" si="29"/>
        <v>  -874,503,125 </v>
      </c>
      <c r="Y23" s="66" t="str">
        <f t="shared" si="13"/>
        <v>  11,453,230,700 </v>
      </c>
      <c r="Z23" s="66" t="str">
        <f t="shared" si="14"/>
        <v>  23,007,562,119 </v>
      </c>
      <c r="AA23" s="66" t="str">
        <f t="shared" si="15"/>
        <v>  1,145,323,070 </v>
      </c>
      <c r="AB23" s="64" t="str">
        <f t="shared" si="16"/>
        <v>  -687,193,842 </v>
      </c>
      <c r="AC23" s="66" t="str">
        <f t="shared" si="17"/>
        <v>  1,150,378,106 </v>
      </c>
      <c r="AD23" s="64" t="str">
        <f t="shared" si="18"/>
        <v>  -690,226,864 </v>
      </c>
      <c r="AE23" s="67" t="str">
        <f t="shared" si="30"/>
        <v>  33,765,264 </v>
      </c>
    </row>
    <row r="24" ht="14.25" customHeight="1">
      <c r="A24" s="56">
        <v>2027.0</v>
      </c>
      <c r="B24" s="57">
        <v>5.0</v>
      </c>
      <c r="C24" s="56">
        <v>0.0</v>
      </c>
      <c r="D24" s="56">
        <v>0.0</v>
      </c>
      <c r="E24" s="58" t="str">
        <f t="shared" si="19"/>
        <v>  63,319,519 </v>
      </c>
      <c r="F24" s="59" t="str">
        <f t="shared" si="20"/>
        <v>  51,414,728 </v>
      </c>
      <c r="G24" s="58" t="str">
        <f t="shared" si="21"/>
        <v>  63,319,519 </v>
      </c>
      <c r="H24" s="59" t="str">
        <f t="shared" si="22"/>
        <v>  56,354,966 </v>
      </c>
      <c r="I24" s="60" t="str">
        <f t="shared" si="31"/>
        <v>  6,802,445 </v>
      </c>
      <c r="J24" s="59" t="str">
        <f t="shared" si="5"/>
        <v>  49,552,521 </v>
      </c>
      <c r="K24" s="61" t="str">
        <f t="shared" ref="K24:L24" si="36">K23*(1+$C$12)</f>
        <v>107.73</v>
      </c>
      <c r="L24" s="61" t="str">
        <f t="shared" si="36"/>
        <v>53.86</v>
      </c>
      <c r="M24" s="62" t="str">
        <f t="shared" si="7"/>
        <v>  12,360,136,908 </v>
      </c>
      <c r="N24" s="62" t="str">
        <f t="shared" si="8"/>
        <v>  12,525,932,581 </v>
      </c>
      <c r="O24" s="63" t="str">
        <f t="shared" ref="O24:P24" si="37">O23*(1+$C$12)</f>
        <v>  38.78 </v>
      </c>
      <c r="P24" s="63" t="str">
        <f t="shared" si="37"/>
        <v>  51.71 </v>
      </c>
      <c r="Q24" s="63" t="str">
        <f t="shared" si="10"/>
        <v>  31.03 </v>
      </c>
      <c r="R24" s="64" t="str">
        <f t="shared" si="11"/>
        <v>  -5,114,308,456 </v>
      </c>
      <c r="S24" s="64" t="str">
        <f t="shared" si="12"/>
        <v>  -5,229,065,571 </v>
      </c>
      <c r="T24" s="65" t="str">
        <f t="shared" si="25"/>
        <v>  -646,370,402 </v>
      </c>
      <c r="U24" s="64" t="str">
        <f t="shared" si="26"/>
        <v>  -510,512,625 </v>
      </c>
      <c r="V24" s="64" t="str">
        <f t="shared" si="27"/>
        <v>  -708,624,400 </v>
      </c>
      <c r="W24" s="64" t="str">
        <f t="shared" si="28"/>
        <v>  -638,140,781 </v>
      </c>
      <c r="X24" s="64" t="str">
        <f t="shared" si="29"/>
        <v>  -1,005,678,594 </v>
      </c>
      <c r="Y24" s="66" t="str">
        <f t="shared" si="13"/>
        <v>  12,360,136,908 </v>
      </c>
      <c r="Z24" s="66" t="str">
        <f t="shared" si="14"/>
        <v>  25,051,865,163 </v>
      </c>
      <c r="AA24" s="66" t="str">
        <f t="shared" si="15"/>
        <v>  1,236,013,691 </v>
      </c>
      <c r="AB24" s="64" t="str">
        <f t="shared" si="16"/>
        <v>  -741,608,214 </v>
      </c>
      <c r="AC24" s="66" t="str">
        <f t="shared" si="17"/>
        <v>  1,252,593,258 </v>
      </c>
      <c r="AD24" s="64" t="str">
        <f t="shared" si="18"/>
        <v>  -751,555,955 </v>
      </c>
      <c r="AE24" s="67" t="str">
        <f t="shared" si="30"/>
        <v>  34,778,222 </v>
      </c>
    </row>
    <row r="25" ht="14.25" customHeight="1">
      <c r="A25" s="56">
        <v>2028.0</v>
      </c>
      <c r="B25" s="57">
        <v>6.0</v>
      </c>
      <c r="C25" s="56">
        <v>0.0</v>
      </c>
      <c r="D25" s="56">
        <v>0.0</v>
      </c>
      <c r="E25" s="58" t="str">
        <f t="shared" si="19"/>
        <v>  66,485,495 </v>
      </c>
      <c r="F25" s="59" t="str">
        <f t="shared" si="20"/>
        <v>  55,527,906 </v>
      </c>
      <c r="G25" s="58" t="str">
        <f t="shared" si="21"/>
        <v>  66,485,495 </v>
      </c>
      <c r="H25" s="59" t="str">
        <f t="shared" si="22"/>
        <v>  61,990,463 </v>
      </c>
      <c r="I25" s="60" t="str">
        <f t="shared" si="31"/>
        <v>  7,346,640 </v>
      </c>
      <c r="J25" s="59" t="str">
        <f t="shared" si="5"/>
        <v>  54,643,822 </v>
      </c>
      <c r="K25" s="61" t="str">
        <f t="shared" ref="K25:L25" si="38">K24*(1+$C$12)</f>
        <v>109.34</v>
      </c>
      <c r="L25" s="61" t="str">
        <f t="shared" si="38"/>
        <v>54.67</v>
      </c>
      <c r="M25" s="62" t="str">
        <f t="shared" si="7"/>
        <v>  13,341,473,174 </v>
      </c>
      <c r="N25" s="62" t="str">
        <f t="shared" si="8"/>
        <v>  13,646,460,307 </v>
      </c>
      <c r="O25" s="63" t="str">
        <f t="shared" ref="O25:P25" si="39">O24*(1+$C$12)</f>
        <v>  39.36 </v>
      </c>
      <c r="P25" s="63" t="str">
        <f t="shared" si="39"/>
        <v>  52.49 </v>
      </c>
      <c r="Q25" s="63" t="str">
        <f t="shared" si="10"/>
        <v>  31.49 </v>
      </c>
      <c r="R25" s="64" t="str">
        <f t="shared" si="11"/>
        <v>  -5,531,529,724 </v>
      </c>
      <c r="S25" s="64" t="str">
        <f t="shared" si="12"/>
        <v>  -5,716,482,593 </v>
      </c>
      <c r="T25" s="65" t="str">
        <f t="shared" si="25"/>
        <v>  -656,065,958 </v>
      </c>
      <c r="U25" s="64" t="str">
        <f t="shared" si="26"/>
        <v>  -536,038,256 </v>
      </c>
      <c r="V25" s="64" t="str">
        <f t="shared" si="27"/>
        <v>  -779,486,840 </v>
      </c>
      <c r="W25" s="64" t="str">
        <f t="shared" si="28"/>
        <v>  -670,047,820 </v>
      </c>
      <c r="X25" s="64" t="str">
        <f t="shared" si="29"/>
        <v>  -1,156,530,383 </v>
      </c>
      <c r="Y25" s="66" t="str">
        <f t="shared" si="13"/>
        <v>  13,341,473,174 </v>
      </c>
      <c r="Z25" s="66" t="str">
        <f t="shared" si="14"/>
        <v>  27,292,920,614 </v>
      </c>
      <c r="AA25" s="66" t="str">
        <f t="shared" si="15"/>
        <v>  1,334,147,317 </v>
      </c>
      <c r="AB25" s="64" t="str">
        <f t="shared" si="16"/>
        <v>  -800,488,390 </v>
      </c>
      <c r="AC25" s="66" t="str">
        <f t="shared" si="17"/>
        <v>  1,364,646,031 </v>
      </c>
      <c r="AD25" s="64" t="str">
        <f t="shared" si="18"/>
        <v>  -818,787,618 </v>
      </c>
      <c r="AE25" s="67" t="str">
        <f t="shared" si="30"/>
        <v>  35,821,569 </v>
      </c>
    </row>
    <row r="26" ht="14.25" customHeight="1">
      <c r="A26" s="56">
        <v>2029.0</v>
      </c>
      <c r="B26" s="57">
        <v>7.0</v>
      </c>
      <c r="C26" s="56">
        <v>0.0</v>
      </c>
      <c r="D26" s="56">
        <v>0.0</v>
      </c>
      <c r="E26" s="58" t="str">
        <f t="shared" si="19"/>
        <v>  69,809,770 </v>
      </c>
      <c r="F26" s="59" t="str">
        <f t="shared" si="20"/>
        <v>  59,970,139 </v>
      </c>
      <c r="G26" s="58" t="str">
        <f t="shared" si="21"/>
        <v>  69,809,770 </v>
      </c>
      <c r="H26" s="59" t="str">
        <f t="shared" si="22"/>
        <v>  68,189,509 </v>
      </c>
      <c r="I26" s="60" t="str">
        <f t="shared" si="31"/>
        <v>  7,934,372 </v>
      </c>
      <c r="J26" s="59" t="str">
        <f t="shared" si="5"/>
        <v>  60,255,137 </v>
      </c>
      <c r="K26" s="61" t="str">
        <f t="shared" ref="K26:L26" si="40">K25*(1+$C$12)</f>
        <v>110.98</v>
      </c>
      <c r="L26" s="61" t="str">
        <f t="shared" si="40"/>
        <v>55.49</v>
      </c>
      <c r="M26" s="62" t="str">
        <f t="shared" si="7"/>
        <v>  14,403,557,128 </v>
      </c>
      <c r="N26" s="62" t="str">
        <f t="shared" si="8"/>
        <v>  14,875,483,622 </v>
      </c>
      <c r="O26" s="63" t="str">
        <f t="shared" ref="O26:P26" si="41">O25*(1+$C$12)</f>
        <v>  39.95 </v>
      </c>
      <c r="P26" s="63" t="str">
        <f t="shared" si="41"/>
        <v>  53.27 </v>
      </c>
      <c r="Q26" s="63" t="str">
        <f t="shared" si="10"/>
        <v>  31.96 </v>
      </c>
      <c r="R26" s="64" t="str">
        <f t="shared" si="11"/>
        <v>  -5,983,971,208 </v>
      </c>
      <c r="S26" s="64" t="str">
        <f t="shared" si="12"/>
        <v>  -6,252,764,351 </v>
      </c>
      <c r="T26" s="65" t="str">
        <f t="shared" si="25"/>
        <v>  -665,906,948 </v>
      </c>
      <c r="U26" s="64" t="str">
        <f t="shared" si="26"/>
        <v>  -562,840,169 </v>
      </c>
      <c r="V26" s="64" t="str">
        <f t="shared" si="27"/>
        <v>  -857,435,524 </v>
      </c>
      <c r="W26" s="64" t="str">
        <f t="shared" si="28"/>
        <v>  -703,550,211 </v>
      </c>
      <c r="X26" s="64" t="str">
        <f t="shared" si="29"/>
        <v>  -1,330,009,940 </v>
      </c>
      <c r="Y26" s="66" t="str">
        <f t="shared" si="13"/>
        <v>  14,403,557,128 </v>
      </c>
      <c r="Z26" s="66" t="str">
        <f t="shared" si="14"/>
        <v>  29,750,967,244 </v>
      </c>
      <c r="AA26" s="66" t="str">
        <f t="shared" si="15"/>
        <v>  1,440,355,713 </v>
      </c>
      <c r="AB26" s="64" t="str">
        <f t="shared" si="16"/>
        <v>  -864,213,428 </v>
      </c>
      <c r="AC26" s="66" t="str">
        <f t="shared" si="17"/>
        <v>  1,487,548,362 </v>
      </c>
      <c r="AD26" s="64" t="str">
        <f t="shared" si="18"/>
        <v>  -892,529,017 </v>
      </c>
      <c r="AE26" s="67" t="str">
        <f t="shared" si="30"/>
        <v>  36,896,216 </v>
      </c>
    </row>
    <row r="27" ht="14.25" customHeight="1">
      <c r="A27" s="56">
        <v>2030.0</v>
      </c>
      <c r="B27" s="57">
        <v>8.0</v>
      </c>
      <c r="C27" s="56">
        <v>0.0</v>
      </c>
      <c r="D27" s="56">
        <v>0.0</v>
      </c>
      <c r="E27" s="58" t="str">
        <f t="shared" si="19"/>
        <v>  73,300,258 </v>
      </c>
      <c r="F27" s="59" t="str">
        <f t="shared" si="20"/>
        <v>  64,767,750 </v>
      </c>
      <c r="G27" s="58" t="str">
        <f t="shared" si="21"/>
        <v>  73,300,258 </v>
      </c>
      <c r="H27" s="59" t="str">
        <f t="shared" si="22"/>
        <v>  75,008,460 </v>
      </c>
      <c r="I27" s="60" t="str">
        <f t="shared" si="31"/>
        <v>  8,569,121 </v>
      </c>
      <c r="J27" s="59" t="str">
        <f t="shared" si="5"/>
        <v>  66,439,338 </v>
      </c>
      <c r="K27" s="61" t="str">
        <f t="shared" ref="K27:L27" si="42">K26*(1+$C$12)</f>
        <v>112.65</v>
      </c>
      <c r="L27" s="61" t="str">
        <f t="shared" si="42"/>
        <v>56.32</v>
      </c>
      <c r="M27" s="62" t="str">
        <f t="shared" si="7"/>
        <v>  15,553,258,760 </v>
      </c>
      <c r="N27" s="62" t="str">
        <f t="shared" si="8"/>
        <v>  16,224,214,535 </v>
      </c>
      <c r="O27" s="63" t="str">
        <f t="shared" ref="O27:P27" si="43">O26*(1+$C$12)</f>
        <v>  40.55 </v>
      </c>
      <c r="P27" s="63" t="str">
        <f t="shared" si="43"/>
        <v>  54.07 </v>
      </c>
      <c r="Q27" s="63" t="str">
        <f t="shared" si="10"/>
        <v>  32.44 </v>
      </c>
      <c r="R27" s="64" t="str">
        <f t="shared" si="11"/>
        <v>  -6,474,697,835 </v>
      </c>
      <c r="S27" s="64" t="str">
        <f t="shared" si="12"/>
        <v>  -6,843,091,255 </v>
      </c>
      <c r="T27" s="65" t="str">
        <f t="shared" si="25"/>
        <v>  -675,895,552 </v>
      </c>
      <c r="U27" s="64" t="str">
        <f t="shared" si="26"/>
        <v>  -590,982,178 </v>
      </c>
      <c r="V27" s="64" t="str">
        <f t="shared" si="27"/>
        <v>  -943,179,076 </v>
      </c>
      <c r="W27" s="64" t="str">
        <f t="shared" si="28"/>
        <v>  -738,727,722 </v>
      </c>
      <c r="X27" s="64" t="str">
        <f t="shared" si="29"/>
        <v>  -1,529,511,431 </v>
      </c>
      <c r="Y27" s="66" t="str">
        <f t="shared" si="13"/>
        <v>  15,553,258,760 </v>
      </c>
      <c r="Z27" s="66" t="str">
        <f t="shared" si="14"/>
        <v>  32,448,429,069 </v>
      </c>
      <c r="AA27" s="66" t="str">
        <f t="shared" si="15"/>
        <v>  1,555,325,876 </v>
      </c>
      <c r="AB27" s="64" t="str">
        <f t="shared" si="16"/>
        <v>  -933,195,526 </v>
      </c>
      <c r="AC27" s="66" t="str">
        <f t="shared" si="17"/>
        <v>  1,622,421,453 </v>
      </c>
      <c r="AD27" s="64" t="str">
        <f t="shared" si="18"/>
        <v>  -973,452,872 </v>
      </c>
      <c r="AE27" s="67" t="str">
        <f t="shared" si="30"/>
        <v>  38,003,102 </v>
      </c>
    </row>
    <row r="28" ht="14.25" customHeight="1">
      <c r="A28" s="56">
        <v>2031.0</v>
      </c>
      <c r="B28" s="57">
        <v>9.0</v>
      </c>
      <c r="C28" s="56">
        <v>0.0</v>
      </c>
      <c r="D28" s="56">
        <v>0.0</v>
      </c>
      <c r="E28" s="58" t="str">
        <f t="shared" si="19"/>
        <v>  76,965,271 </v>
      </c>
      <c r="F28" s="59" t="str">
        <f t="shared" si="20"/>
        <v>  69,949,170 </v>
      </c>
      <c r="G28" s="58" t="str">
        <f t="shared" si="21"/>
        <v>  76,965,271 </v>
      </c>
      <c r="H28" s="59" t="str">
        <f t="shared" si="22"/>
        <v>  82,509,306 </v>
      </c>
      <c r="I28" s="60" t="str">
        <f t="shared" si="31"/>
        <v>  9,254,651 </v>
      </c>
      <c r="J28" s="59" t="str">
        <f t="shared" si="5"/>
        <v>  73,254,655 </v>
      </c>
      <c r="K28" s="61" t="str">
        <f t="shared" ref="K28:L28" si="44">K27*(1+$C$12)</f>
        <v>114.34</v>
      </c>
      <c r="L28" s="61" t="str">
        <f t="shared" si="44"/>
        <v>57.17</v>
      </c>
      <c r="M28" s="62" t="str">
        <f t="shared" si="7"/>
        <v>  16,798,049,911 </v>
      </c>
      <c r="N28" s="62" t="str">
        <f t="shared" si="8"/>
        <v>  17,705,079,473 </v>
      </c>
      <c r="O28" s="63" t="str">
        <f t="shared" ref="O28:P28" si="45">O27*(1+$C$12)</f>
        <v>  41.16 </v>
      </c>
      <c r="P28" s="63" t="str">
        <f t="shared" si="45"/>
        <v>  54.88 </v>
      </c>
      <c r="Q28" s="63" t="str">
        <f t="shared" si="10"/>
        <v>  32.93 </v>
      </c>
      <c r="R28" s="64" t="str">
        <f t="shared" si="11"/>
        <v>  -7,007,048,124 </v>
      </c>
      <c r="S28" s="64" t="str">
        <f t="shared" si="12"/>
        <v>  -7,493,214,355 </v>
      </c>
      <c r="T28" s="65" t="str">
        <f t="shared" si="25"/>
        <v>  -686,033,985 </v>
      </c>
      <c r="U28" s="64" t="str">
        <f t="shared" si="26"/>
        <v>  -620,531,286 </v>
      </c>
      <c r="V28" s="64" t="str">
        <f t="shared" si="27"/>
        <v>  -1,037,496,984 </v>
      </c>
      <c r="W28" s="64" t="str">
        <f t="shared" si="28"/>
        <v>  -775,664,108 </v>
      </c>
      <c r="X28" s="64" t="str">
        <f t="shared" si="29"/>
        <v>  -1,758,938,146 </v>
      </c>
      <c r="Y28" s="66" t="str">
        <f t="shared" si="13"/>
        <v>  16,798,049,911 </v>
      </c>
      <c r="Z28" s="66" t="str">
        <f t="shared" si="14"/>
        <v>  35,410,158,946 </v>
      </c>
      <c r="AA28" s="66" t="str">
        <f t="shared" si="15"/>
        <v>  1,679,804,991 </v>
      </c>
      <c r="AB28" s="64" t="str">
        <f t="shared" si="16"/>
        <v>  -1,007,882,995 </v>
      </c>
      <c r="AC28" s="66" t="str">
        <f t="shared" si="17"/>
        <v>  1,770,507,947 </v>
      </c>
      <c r="AD28" s="64" t="str">
        <f t="shared" si="18"/>
        <v>  -1,062,304,768 </v>
      </c>
      <c r="AE28" s="67" t="str">
        <f t="shared" si="30"/>
        <v>  39,143,196 </v>
      </c>
    </row>
    <row r="29" ht="14.25" customHeight="1">
      <c r="A29" s="56">
        <v>2032.0</v>
      </c>
      <c r="B29" s="57">
        <v>10.0</v>
      </c>
      <c r="C29" s="56">
        <v>0.0</v>
      </c>
      <c r="D29" s="62">
        <v>2.0E8</v>
      </c>
      <c r="E29" s="58" t="str">
        <f t="shared" si="19"/>
        <v>  80,813,535 </v>
      </c>
      <c r="F29" s="59" t="str">
        <f t="shared" si="20"/>
        <v>  75,545,104 </v>
      </c>
      <c r="G29" s="58" t="str">
        <f t="shared" si="21"/>
        <v>  80,813,535 </v>
      </c>
      <c r="H29" s="59" t="str">
        <f t="shared" si="22"/>
        <v>  90,760,236 </v>
      </c>
      <c r="I29" s="60" t="str">
        <f t="shared" si="31"/>
        <v>  9,995,023 </v>
      </c>
      <c r="J29" s="59" t="str">
        <f t="shared" si="5"/>
        <v>  80,765,213 </v>
      </c>
      <c r="K29" s="61" t="str">
        <f t="shared" ref="K29:L29" si="46">K28*(1+$C$12)</f>
        <v>116.05</v>
      </c>
      <c r="L29" s="61" t="str">
        <f t="shared" si="46"/>
        <v>58.03</v>
      </c>
      <c r="M29" s="62" t="str">
        <f t="shared" si="7"/>
        <v>  18,146,058,295 </v>
      </c>
      <c r="N29" s="62" t="str">
        <f t="shared" si="8"/>
        <v>  19,331,854,936 </v>
      </c>
      <c r="O29" s="63" t="str">
        <f t="shared" ref="O29:P29" si="47">O28*(1+$C$12)</f>
        <v>  41.78 </v>
      </c>
      <c r="P29" s="63" t="str">
        <f t="shared" si="47"/>
        <v>  55.71 </v>
      </c>
      <c r="Q29" s="63" t="str">
        <f t="shared" si="10"/>
        <v>  33.42 </v>
      </c>
      <c r="R29" s="64" t="str">
        <f t="shared" si="11"/>
        <v>  -7,584,659,107 </v>
      </c>
      <c r="S29" s="64" t="str">
        <f t="shared" si="12"/>
        <v>  -8,209,519,730 </v>
      </c>
      <c r="T29" s="69" t="str">
        <f t="shared" si="25"/>
        <v>  -696,324,495 </v>
      </c>
      <c r="U29" s="64" t="str">
        <f t="shared" si="26"/>
        <v>  -651,557,851 </v>
      </c>
      <c r="V29" s="64" t="str">
        <f t="shared" si="27"/>
        <v>  -1,141,246,682 </v>
      </c>
      <c r="W29" s="64" t="str">
        <f t="shared" si="28"/>
        <v>  -814,447,313 </v>
      </c>
      <c r="X29" s="64" t="str">
        <f t="shared" si="29"/>
        <v>  -2,022,778,868 </v>
      </c>
      <c r="Y29" s="66" t="str">
        <f t="shared" si="13"/>
        <v>  18,146,058,295 </v>
      </c>
      <c r="Z29" s="66" t="str">
        <f t="shared" si="14"/>
        <v>  38,663,709,872 </v>
      </c>
      <c r="AA29" s="62" t="str">
        <f t="shared" si="15"/>
        <v>  1,814,605,829 </v>
      </c>
      <c r="AB29" s="64" t="str">
        <f t="shared" si="16"/>
        <v>  -1,088,763,498 </v>
      </c>
      <c r="AC29" s="62" t="str">
        <f t="shared" si="17"/>
        <v>  1,933,185,494 </v>
      </c>
      <c r="AD29" s="64" t="str">
        <f t="shared" si="18"/>
        <v>  -1,159,911,296 </v>
      </c>
      <c r="AE29" s="67" t="str">
        <f t="shared" si="30"/>
        <v>  40,317,491 </v>
      </c>
    </row>
    <row r="30" ht="14.25" customHeight="1">
      <c r="A30" s="56">
        <v>2033.0</v>
      </c>
      <c r="B30" s="57">
        <v>11.0</v>
      </c>
      <c r="C30" s="56">
        <v>0.0</v>
      </c>
      <c r="D30" s="56">
        <v>0.0</v>
      </c>
      <c r="E30" s="58" t="str">
        <f t="shared" si="19"/>
        <v>  84,854,211 </v>
      </c>
      <c r="F30" s="59" t="str">
        <f t="shared" si="20"/>
        <v>  81,588,712 </v>
      </c>
      <c r="G30" s="58" t="str">
        <f t="shared" si="21"/>
        <v>  84,854,211 </v>
      </c>
      <c r="H30" s="59" t="str">
        <f t="shared" si="22"/>
        <v>  99,836,260 </v>
      </c>
      <c r="I30" s="60" t="str">
        <f t="shared" si="31"/>
        <v>  10,794,625 </v>
      </c>
      <c r="J30" s="59" t="str">
        <f t="shared" si="5"/>
        <v>  89,041,635 </v>
      </c>
      <c r="K30" s="61" t="str">
        <f t="shared" ref="K30:L30" si="48">K29*(1+$C$12)</f>
        <v>117.79</v>
      </c>
      <c r="L30" s="61" t="str">
        <f t="shared" si="48"/>
        <v>58.90</v>
      </c>
      <c r="M30" s="62" t="str">
        <f t="shared" si="7"/>
        <v>  19,606,126,451 </v>
      </c>
      <c r="N30" s="62" t="str">
        <f t="shared" si="8"/>
        <v>  21,119,818,576 </v>
      </c>
      <c r="O30" s="63" t="str">
        <f t="shared" ref="O30:P30" si="49">O29*(1+$C$12)</f>
        <v>  42.41 </v>
      </c>
      <c r="P30" s="63" t="str">
        <f t="shared" si="49"/>
        <v>  56.54 </v>
      </c>
      <c r="Q30" s="63" t="str">
        <f t="shared" si="10"/>
        <v>  33.92 </v>
      </c>
      <c r="R30" s="64" t="str">
        <f t="shared" si="11"/>
        <v>  -8,211,493,559 </v>
      </c>
      <c r="S30" s="64" t="str">
        <f t="shared" si="12"/>
        <v>  -8,999,100,261 </v>
      </c>
      <c r="T30" s="65" t="str">
        <f t="shared" si="25"/>
        <v>  -706,769,362 </v>
      </c>
      <c r="U30" s="64" t="str">
        <f t="shared" si="26"/>
        <v>  -684,135,743 </v>
      </c>
      <c r="V30" s="64" t="str">
        <f t="shared" si="27"/>
        <v>  -1,255,371,351 </v>
      </c>
      <c r="W30" s="64" t="str">
        <f t="shared" si="28"/>
        <v>  -855,169,679 </v>
      </c>
      <c r="X30" s="64" t="str">
        <f t="shared" si="29"/>
        <v>  -2,326,195,698 </v>
      </c>
      <c r="Y30" s="66" t="str">
        <f t="shared" si="13"/>
        <v>  19,606,126,451 </v>
      </c>
      <c r="Z30" s="66" t="str">
        <f t="shared" si="14"/>
        <v>  42,239,637,153 </v>
      </c>
      <c r="AA30" s="66" t="str">
        <f t="shared" si="15"/>
        <v>  1,960,612,645 </v>
      </c>
      <c r="AB30" s="64" t="str">
        <f t="shared" si="16"/>
        <v>  -1,176,367,587 </v>
      </c>
      <c r="AC30" s="66" t="str">
        <f t="shared" si="17"/>
        <v>  2,111,981,858 </v>
      </c>
      <c r="AD30" s="64" t="str">
        <f t="shared" si="18"/>
        <v>  -1,267,189,115 </v>
      </c>
      <c r="AE30" s="67">
        <v>3.0000001E7</v>
      </c>
    </row>
    <row r="31" ht="14.25" customHeight="1">
      <c r="A31" s="56">
        <v>2034.0</v>
      </c>
      <c r="B31" s="57">
        <v>12.0</v>
      </c>
      <c r="C31" s="56">
        <v>0.0</v>
      </c>
      <c r="D31" s="56">
        <v>0.0</v>
      </c>
      <c r="E31" s="58" t="str">
        <f t="shared" si="19"/>
        <v>  89,096,922 </v>
      </c>
      <c r="F31" s="59" t="str">
        <f t="shared" si="20"/>
        <v>  88,115,809 </v>
      </c>
      <c r="G31" s="58" t="str">
        <f t="shared" si="21"/>
        <v>  89,096,922 </v>
      </c>
      <c r="H31" s="59" t="str">
        <f t="shared" si="22"/>
        <v>  109,819,886 </v>
      </c>
      <c r="I31" s="60" t="str">
        <f t="shared" si="31"/>
        <v>  11,658,195 </v>
      </c>
      <c r="J31" s="59" t="str">
        <f t="shared" si="5"/>
        <v>  98,161,691 </v>
      </c>
      <c r="K31" s="61" t="str">
        <f t="shared" ref="K31:L31" si="50">K30*(1+$C$12)</f>
        <v>119.56</v>
      </c>
      <c r="L31" s="61" t="str">
        <f t="shared" si="50"/>
        <v>59.78</v>
      </c>
      <c r="M31" s="62" t="str">
        <f t="shared" si="7"/>
        <v>  21,187,876,104 </v>
      </c>
      <c r="N31" s="62" t="str">
        <f t="shared" si="8"/>
        <v>  23,085,917,505 </v>
      </c>
      <c r="O31" s="63" t="str">
        <f t="shared" ref="O31:P31" si="51">O30*(1+$C$12)</f>
        <v>  43.04 </v>
      </c>
      <c r="P31" s="63" t="str">
        <f t="shared" si="51"/>
        <v>  57.39 </v>
      </c>
      <c r="Q31" s="63" t="str">
        <f t="shared" si="10"/>
        <v>  34.43 </v>
      </c>
      <c r="R31" s="64" t="str">
        <f t="shared" si="11"/>
        <v>  -8,891,869,743 </v>
      </c>
      <c r="S31" s="64" t="str">
        <f t="shared" si="12"/>
        <v>  -9,869,835,614 </v>
      </c>
      <c r="T31" s="65" t="str">
        <f t="shared" si="25"/>
        <v>  -717,370,903 </v>
      </c>
      <c r="U31" s="64" t="str">
        <f t="shared" si="26"/>
        <v>  -718,342,530 </v>
      </c>
      <c r="V31" s="64" t="str">
        <f t="shared" si="27"/>
        <v>  -1,380,908,486 </v>
      </c>
      <c r="W31" s="64" t="str">
        <f t="shared" si="28"/>
        <v>  -897,928,163 </v>
      </c>
      <c r="X31" s="64" t="str">
        <f t="shared" si="29"/>
        <v>  -2,675,125,053 </v>
      </c>
      <c r="Y31" s="66" t="str">
        <f t="shared" si="13"/>
        <v>  21,187,876,104 </v>
      </c>
      <c r="Z31" s="66" t="str">
        <f t="shared" si="14"/>
        <v>  46,171,835,010 </v>
      </c>
      <c r="AA31" s="66" t="str">
        <f t="shared" si="15"/>
        <v>  2,118,787,610 </v>
      </c>
      <c r="AB31" s="64" t="str">
        <f t="shared" si="16"/>
        <v>  -1,271,272,566 </v>
      </c>
      <c r="AC31" s="66" t="str">
        <f t="shared" si="17"/>
        <v>  2,308,591,750 </v>
      </c>
      <c r="AD31" s="64" t="str">
        <f t="shared" si="18"/>
        <v>  -1,385,155,050 </v>
      </c>
      <c r="AE31" s="67" t="str">
        <f t="shared" ref="AE31:AE39" si="54">AE30*(1+3%)</f>
        <v>  30,900,001 </v>
      </c>
    </row>
    <row r="32" ht="14.25" customHeight="1">
      <c r="A32" s="56">
        <v>2035.0</v>
      </c>
      <c r="B32" s="57">
        <v>13.0</v>
      </c>
      <c r="C32" s="56">
        <v>0.0</v>
      </c>
      <c r="D32" s="56">
        <v>0.0</v>
      </c>
      <c r="E32" s="58" t="str">
        <f t="shared" si="19"/>
        <v>  93,551,768 </v>
      </c>
      <c r="F32" s="59" t="str">
        <f t="shared" si="20"/>
        <v>  95,165,073 </v>
      </c>
      <c r="G32" s="58" t="str">
        <f t="shared" si="21"/>
        <v>  93,551,768 </v>
      </c>
      <c r="H32" s="59" t="str">
        <f t="shared" si="22"/>
        <v>  120,801,874 </v>
      </c>
      <c r="I32" s="60" t="str">
        <f t="shared" si="31"/>
        <v>  12,590,851 </v>
      </c>
      <c r="J32" s="59" t="str">
        <f t="shared" si="5"/>
        <v>  108,211,024 </v>
      </c>
      <c r="K32" s="61" t="str">
        <f t="shared" ref="K32:L32" si="52">K31*(1+$C$12)</f>
        <v>121.36</v>
      </c>
      <c r="L32" s="61" t="str">
        <f t="shared" si="52"/>
        <v>60.68</v>
      </c>
      <c r="M32" s="62" t="str">
        <f t="shared" si="7"/>
        <v>  22,901,778,423 </v>
      </c>
      <c r="N32" s="62" t="str">
        <f t="shared" si="8"/>
        <v>  25,248,955,788 </v>
      </c>
      <c r="O32" s="63" t="str">
        <f t="shared" ref="O32:P32" si="53">O31*(1+$C$12)</f>
        <v>  43.69 </v>
      </c>
      <c r="P32" s="63" t="str">
        <f t="shared" si="53"/>
        <v>  58.25 </v>
      </c>
      <c r="Q32" s="63" t="str">
        <f t="shared" si="10"/>
        <v>  34.95 </v>
      </c>
      <c r="R32" s="64" t="str">
        <f t="shared" si="11"/>
        <v>  -9,630,493,922 </v>
      </c>
      <c r="S32" s="64" t="str">
        <f t="shared" si="12"/>
        <v>  -10,830,481,413 </v>
      </c>
      <c r="T32" s="65" t="str">
        <f t="shared" si="25"/>
        <v>  -728,131,466 </v>
      </c>
      <c r="U32" s="64" t="str">
        <f t="shared" si="26"/>
        <v>  -754,259,657 </v>
      </c>
      <c r="V32" s="64" t="str">
        <f t="shared" si="27"/>
        <v>  -1,518,999,334 </v>
      </c>
      <c r="W32" s="64" t="str">
        <f t="shared" si="28"/>
        <v>  -942,824,571 </v>
      </c>
      <c r="X32" s="64" t="str">
        <f t="shared" si="29"/>
        <v>  -3,076,393,811 </v>
      </c>
      <c r="Y32" s="66" t="str">
        <f t="shared" si="13"/>
        <v>  22,901,778,423 </v>
      </c>
      <c r="Z32" s="66" t="str">
        <f t="shared" si="14"/>
        <v>  50,497,911,576 </v>
      </c>
      <c r="AA32" s="66" t="str">
        <f t="shared" si="15"/>
        <v>  2,290,177,842 </v>
      </c>
      <c r="AB32" s="64" t="str">
        <f t="shared" si="16"/>
        <v>  -1,374,106,705 </v>
      </c>
      <c r="AC32" s="66" t="str">
        <f t="shared" si="17"/>
        <v>  2,524,895,579 </v>
      </c>
      <c r="AD32" s="64" t="str">
        <f t="shared" si="18"/>
        <v>  -1,514,937,347 </v>
      </c>
      <c r="AE32" s="67" t="str">
        <f t="shared" si="54"/>
        <v>  31,827,001 </v>
      </c>
    </row>
    <row r="33" ht="14.25" customHeight="1">
      <c r="A33" s="56">
        <v>2036.0</v>
      </c>
      <c r="B33" s="57">
        <v>14.0</v>
      </c>
      <c r="C33" s="56">
        <v>0.0</v>
      </c>
      <c r="D33" s="56">
        <v>0.0</v>
      </c>
      <c r="E33" s="58" t="str">
        <f t="shared" si="19"/>
        <v>  98,229,356 </v>
      </c>
      <c r="F33" s="59" t="str">
        <f t="shared" si="20"/>
        <v>  102,778,279 </v>
      </c>
      <c r="G33" s="58" t="str">
        <f t="shared" si="21"/>
        <v>  98,229,356 </v>
      </c>
      <c r="H33" s="59" t="str">
        <f t="shared" si="22"/>
        <v>  132,882,062 </v>
      </c>
      <c r="I33" s="60" t="str">
        <f t="shared" si="31"/>
        <v>  13,598,119 </v>
      </c>
      <c r="J33" s="59" t="str">
        <f t="shared" si="5"/>
        <v>  119,283,943 </v>
      </c>
      <c r="K33" s="61" t="str">
        <f t="shared" ref="K33:L33" si="55">K32*(1+$C$12)</f>
        <v>123.18</v>
      </c>
      <c r="L33" s="61" t="str">
        <f t="shared" si="55"/>
        <v>61.59</v>
      </c>
      <c r="M33" s="62" t="str">
        <f t="shared" si="7"/>
        <v>  24,759,230,728 </v>
      </c>
      <c r="N33" s="62" t="str">
        <f t="shared" si="8"/>
        <v>  27,629,803,358 </v>
      </c>
      <c r="O33" s="63" t="str">
        <f t="shared" ref="O33:P33" si="56">O32*(1+$C$12)</f>
        <v>  44.34 </v>
      </c>
      <c r="P33" s="63" t="str">
        <f t="shared" si="56"/>
        <v>  59.12 </v>
      </c>
      <c r="Q33" s="63" t="str">
        <f t="shared" si="10"/>
        <v>  35.47 </v>
      </c>
      <c r="R33" s="64" t="str">
        <f t="shared" si="11"/>
        <v>  -10,432,495,876 </v>
      </c>
      <c r="S33" s="64" t="str">
        <f t="shared" si="12"/>
        <v>  -11,890,768,629 </v>
      </c>
      <c r="T33" s="65" t="str">
        <f t="shared" si="25"/>
        <v>  -739,053,438 </v>
      </c>
      <c r="U33" s="64" t="str">
        <f t="shared" si="26"/>
        <v>  -791,972,640 </v>
      </c>
      <c r="V33" s="64" t="str">
        <f t="shared" si="27"/>
        <v>  -1,670,899,268 </v>
      </c>
      <c r="W33" s="64" t="str">
        <f t="shared" si="28"/>
        <v>  -989,965,800 </v>
      </c>
      <c r="X33" s="64" t="str">
        <f t="shared" si="29"/>
        <v>  -3,537,852,882 </v>
      </c>
      <c r="Y33" s="66" t="str">
        <f t="shared" si="13"/>
        <v>  24,759,230,728 </v>
      </c>
      <c r="Z33" s="66" t="str">
        <f t="shared" si="14"/>
        <v>  55,259,606,715 </v>
      </c>
      <c r="AA33" s="66" t="str">
        <f t="shared" si="15"/>
        <v>  2,475,923,073 </v>
      </c>
      <c r="AB33" s="64" t="str">
        <f t="shared" si="16"/>
        <v>  -1,485,553,844 </v>
      </c>
      <c r="AC33" s="66" t="str">
        <f t="shared" si="17"/>
        <v>  2,762,980,336 </v>
      </c>
      <c r="AD33" s="64" t="str">
        <f t="shared" si="18"/>
        <v>  -1,657,788,201 </v>
      </c>
      <c r="AE33" s="67" t="str">
        <f t="shared" si="54"/>
        <v>  32,781,811 </v>
      </c>
    </row>
    <row r="34" ht="14.25" customHeight="1">
      <c r="A34" s="56">
        <v>2037.0</v>
      </c>
      <c r="B34" s="57">
        <v>15.0</v>
      </c>
      <c r="C34" s="56">
        <v>0.0</v>
      </c>
      <c r="D34" s="56">
        <v>0.0</v>
      </c>
      <c r="E34" s="58" t="str">
        <f t="shared" si="19"/>
        <v>  103,140,824 </v>
      </c>
      <c r="F34" s="59" t="str">
        <f t="shared" si="20"/>
        <v>  111,000,542 </v>
      </c>
      <c r="G34" s="58" t="str">
        <f t="shared" si="21"/>
        <v>  103,140,824 </v>
      </c>
      <c r="H34" s="59" t="str">
        <f t="shared" si="22"/>
        <v>  146,170,268 </v>
      </c>
      <c r="I34" s="60" t="str">
        <f t="shared" si="31"/>
        <v>  14,685,968 </v>
      </c>
      <c r="J34" s="59" t="str">
        <f t="shared" si="5"/>
        <v>  131,484,300 </v>
      </c>
      <c r="K34" s="61" t="str">
        <f t="shared" ref="K34:L34" si="57">K33*(1+$C$12)</f>
        <v>125.02</v>
      </c>
      <c r="L34" s="61" t="str">
        <f t="shared" si="57"/>
        <v>62.51</v>
      </c>
      <c r="M34" s="62" t="str">
        <f t="shared" si="7"/>
        <v>  26,772,640,250 </v>
      </c>
      <c r="N34" s="62" t="str">
        <f t="shared" si="8"/>
        <v>  30,251,628,796 </v>
      </c>
      <c r="O34" s="63" t="str">
        <f t="shared" ref="O34:P34" si="58">O33*(1+$C$12)</f>
        <v>  45.01 </v>
      </c>
      <c r="P34" s="63" t="str">
        <f t="shared" si="58"/>
        <v>  60.01 </v>
      </c>
      <c r="Q34" s="63" t="str">
        <f t="shared" si="10"/>
        <v>  36.01 </v>
      </c>
      <c r="R34" s="64" t="str">
        <f t="shared" si="11"/>
        <v>  -11,303,467,729 </v>
      </c>
      <c r="S34" s="64" t="str">
        <f t="shared" si="12"/>
        <v>  -13,061,514,399 </v>
      </c>
      <c r="T34" s="65" t="str">
        <f t="shared" si="25"/>
        <v>  -750,139,240 </v>
      </c>
      <c r="U34" s="64" t="str">
        <f t="shared" si="26"/>
        <v>  -831,571,272 </v>
      </c>
      <c r="V34" s="64" t="str">
        <f t="shared" si="27"/>
        <v>  -1,837,989,195 </v>
      </c>
      <c r="W34" s="64" t="str">
        <f t="shared" si="28"/>
        <v>  -1,039,464,090 </v>
      </c>
      <c r="X34" s="64" t="str">
        <f t="shared" si="29"/>
        <v>  -4,068,530,815 </v>
      </c>
      <c r="Y34" s="66" t="str">
        <f t="shared" si="13"/>
        <v>  26,772,640,250 </v>
      </c>
      <c r="Z34" s="66" t="str">
        <f t="shared" si="14"/>
        <v>  60,503,257,592 </v>
      </c>
      <c r="AA34" s="66" t="str">
        <f t="shared" si="15"/>
        <v>  2,677,264,025 </v>
      </c>
      <c r="AB34" s="64" t="str">
        <f t="shared" si="16"/>
        <v>  -1,606,358,415 </v>
      </c>
      <c r="AC34" s="66" t="str">
        <f t="shared" si="17"/>
        <v>  3,025,162,880 </v>
      </c>
      <c r="AD34" s="64" t="str">
        <f t="shared" si="18"/>
        <v>  -1,815,097,728 </v>
      </c>
      <c r="AE34" s="67" t="str">
        <f t="shared" si="54"/>
        <v>  33,765,265 </v>
      </c>
    </row>
    <row r="35" ht="14.25" customHeight="1">
      <c r="A35" s="56">
        <v>2038.0</v>
      </c>
      <c r="B35" s="57">
        <v>16.0</v>
      </c>
      <c r="C35" s="56">
        <v>0.0</v>
      </c>
      <c r="D35" s="56">
        <v>0.0</v>
      </c>
      <c r="E35" s="58" t="str">
        <f t="shared" si="19"/>
        <v>  108,297,866 </v>
      </c>
      <c r="F35" s="59" t="str">
        <f t="shared" si="20"/>
        <v>  119,880,585 </v>
      </c>
      <c r="G35" s="58" t="str">
        <f t="shared" si="21"/>
        <v>  108,297,866 </v>
      </c>
      <c r="H35" s="59" t="str">
        <f t="shared" si="22"/>
        <v>  160,787,295 </v>
      </c>
      <c r="I35" s="60" t="str">
        <f t="shared" si="31"/>
        <v>  15,860,846 </v>
      </c>
      <c r="J35" s="59" t="str">
        <f t="shared" si="5"/>
        <v>  144,926,449 </v>
      </c>
      <c r="K35" s="61" t="str">
        <f t="shared" ref="K35:L35" si="59">K34*(1+$C$12)</f>
        <v>126.90</v>
      </c>
      <c r="L35" s="61" t="str">
        <f t="shared" si="59"/>
        <v>63.45</v>
      </c>
      <c r="M35" s="62" t="str">
        <f t="shared" si="7"/>
        <v>  28,955,515,596 </v>
      </c>
      <c r="N35" s="62" t="str">
        <f t="shared" si="8"/>
        <v>  33,140,158,755 </v>
      </c>
      <c r="O35" s="63" t="str">
        <f t="shared" ref="O35:P35" si="60">O34*(1+$C$12)</f>
        <v>  45.68 </v>
      </c>
      <c r="P35" s="63" t="str">
        <f t="shared" si="60"/>
        <v>  60.91 </v>
      </c>
      <c r="Q35" s="63" t="str">
        <f t="shared" si="10"/>
        <v>  36.55 </v>
      </c>
      <c r="R35" s="64" t="str">
        <f t="shared" si="11"/>
        <v>  -12,249,506,372 </v>
      </c>
      <c r="S35" s="64" t="str">
        <f t="shared" si="12"/>
        <v>  -14,354,745,570 </v>
      </c>
      <c r="T35" s="65" t="str">
        <f t="shared" si="25"/>
        <v>  -761,391,329 </v>
      </c>
      <c r="U35" s="64" t="str">
        <f t="shared" si="26"/>
        <v>  -873,149,835 </v>
      </c>
      <c r="V35" s="64" t="str">
        <f t="shared" si="27"/>
        <v>  -2,021,788,114 </v>
      </c>
      <c r="W35" s="64" t="str">
        <f t="shared" si="28"/>
        <v>  -1,091,437,294 </v>
      </c>
      <c r="X35" s="64" t="str">
        <f t="shared" si="29"/>
        <v>  -4,678,810,437 </v>
      </c>
      <c r="Y35" s="66" t="str">
        <f t="shared" si="13"/>
        <v>  28,955,515,596 </v>
      </c>
      <c r="Z35" s="66" t="str">
        <f t="shared" si="14"/>
        <v>  66,280,317,510 </v>
      </c>
      <c r="AA35" s="66" t="str">
        <f t="shared" si="15"/>
        <v>  2,895,551,560 </v>
      </c>
      <c r="AB35" s="64" t="str">
        <f t="shared" si="16"/>
        <v>  -1,737,330,936 </v>
      </c>
      <c r="AC35" s="66" t="str">
        <f t="shared" si="17"/>
        <v>  3,314,015,875 </v>
      </c>
      <c r="AD35" s="64" t="str">
        <f t="shared" si="18"/>
        <v>  -1,988,409,525 </v>
      </c>
      <c r="AE35" s="67" t="str">
        <f t="shared" si="54"/>
        <v>  34,778,223 </v>
      </c>
    </row>
    <row r="36" ht="14.25" customHeight="1">
      <c r="A36" s="56">
        <v>2039.0</v>
      </c>
      <c r="B36" s="57">
        <v>17.0</v>
      </c>
      <c r="C36" s="56">
        <v>0.0</v>
      </c>
      <c r="D36" s="56">
        <v>0.0</v>
      </c>
      <c r="E36" s="58" t="str">
        <f t="shared" si="19"/>
        <v>  113,712,759 </v>
      </c>
      <c r="F36" s="59" t="str">
        <f t="shared" si="20"/>
        <v>  129,471,032 </v>
      </c>
      <c r="G36" s="58" t="str">
        <f t="shared" si="21"/>
        <v>  113,712,759 </v>
      </c>
      <c r="H36" s="59" t="str">
        <f t="shared" si="22"/>
        <v>  176,866,024 </v>
      </c>
      <c r="I36" s="60" t="str">
        <f t="shared" si="31"/>
        <v>  17,129,713 </v>
      </c>
      <c r="J36" s="59" t="str">
        <f t="shared" si="5"/>
        <v>  159,736,311 </v>
      </c>
      <c r="K36" s="61" t="str">
        <f t="shared" ref="K36:L36" si="61">K35*(1+$C$12)</f>
        <v>128.80</v>
      </c>
      <c r="L36" s="61" t="str">
        <f t="shared" si="61"/>
        <v>64.40</v>
      </c>
      <c r="M36" s="62" t="str">
        <f t="shared" si="7"/>
        <v>  31,322,566,639 </v>
      </c>
      <c r="N36" s="62" t="str">
        <f t="shared" si="8"/>
        <v>  36,323,967,079 </v>
      </c>
      <c r="O36" s="63" t="str">
        <f t="shared" ref="O36:P36" si="62">O35*(1+$C$12)</f>
        <v>  46.37 </v>
      </c>
      <c r="P36" s="63" t="str">
        <f t="shared" si="62"/>
        <v>  61.82 </v>
      </c>
      <c r="Q36" s="63" t="str">
        <f t="shared" si="10"/>
        <v>  37.09 </v>
      </c>
      <c r="R36" s="64" t="str">
        <f t="shared" si="11"/>
        <v>  -13,277,259,844 </v>
      </c>
      <c r="S36" s="64" t="str">
        <f t="shared" si="12"/>
        <v>  -15,783,836,466 </v>
      </c>
      <c r="T36" s="65" t="str">
        <f t="shared" si="25"/>
        <v>  -772,812,199 </v>
      </c>
      <c r="U36" s="64" t="str">
        <f t="shared" si="26"/>
        <v>  -916,807,327 </v>
      </c>
      <c r="V36" s="64" t="str">
        <f t="shared" si="27"/>
        <v>  -2,223,966,925 </v>
      </c>
      <c r="W36" s="64" t="str">
        <f t="shared" si="28"/>
        <v>  -1,146,009,159 </v>
      </c>
      <c r="X36" s="64" t="str">
        <f t="shared" si="29"/>
        <v>  -5,380,632,002 </v>
      </c>
      <c r="Y36" s="66" t="str">
        <f t="shared" si="13"/>
        <v>  31,322,566,639 </v>
      </c>
      <c r="Z36" s="66" t="str">
        <f t="shared" si="14"/>
        <v>  72,647,934,157 </v>
      </c>
      <c r="AA36" s="66" t="str">
        <f t="shared" si="15"/>
        <v>  3,132,256,664 </v>
      </c>
      <c r="AB36" s="64" t="str">
        <f t="shared" si="16"/>
        <v>  -1,879,353,998 </v>
      </c>
      <c r="AC36" s="66" t="str">
        <f t="shared" si="17"/>
        <v>  3,632,396,708 </v>
      </c>
      <c r="AD36" s="64" t="str">
        <f t="shared" si="18"/>
        <v>  -2,179,438,025 </v>
      </c>
      <c r="AE36" s="67" t="str">
        <f t="shared" si="54"/>
        <v>  35,821,570 </v>
      </c>
    </row>
    <row r="37" ht="14.25" customHeight="1">
      <c r="A37" s="56">
        <v>2040.0</v>
      </c>
      <c r="B37" s="57">
        <v>18.0</v>
      </c>
      <c r="C37" s="56">
        <v>0.0</v>
      </c>
      <c r="D37" s="56">
        <v>0.0</v>
      </c>
      <c r="E37" s="58" t="str">
        <f t="shared" si="19"/>
        <v>  119,398,397 </v>
      </c>
      <c r="F37" s="59" t="str">
        <f t="shared" si="20"/>
        <v>  139,828,714 </v>
      </c>
      <c r="G37" s="58" t="str">
        <f t="shared" si="21"/>
        <v>  119,398,397 </v>
      </c>
      <c r="H37" s="59" t="str">
        <f t="shared" si="22"/>
        <v>  194,552,627 </v>
      </c>
      <c r="I37" s="60" t="str">
        <f t="shared" si="31"/>
        <v>  18,500,090 </v>
      </c>
      <c r="J37" s="59" t="str">
        <f t="shared" si="5"/>
        <v>  176,052,536 </v>
      </c>
      <c r="K37" s="61" t="str">
        <f t="shared" ref="K37:L37" si="63">K36*(1+$C$12)</f>
        <v>130.73</v>
      </c>
      <c r="L37" s="61" t="str">
        <f t="shared" si="63"/>
        <v>65.37</v>
      </c>
      <c r="M37" s="62" t="str">
        <f t="shared" si="7"/>
        <v>  33,889,813,618 </v>
      </c>
      <c r="N37" s="62" t="str">
        <f t="shared" si="8"/>
        <v>  39,834,797,062 </v>
      </c>
      <c r="O37" s="63" t="str">
        <f t="shared" ref="O37:P37" si="64">O36*(1+$C$12)</f>
        <v>  47.06 </v>
      </c>
      <c r="P37" s="63" t="str">
        <f t="shared" si="64"/>
        <v>  62.75 </v>
      </c>
      <c r="Q37" s="63" t="str">
        <f t="shared" si="10"/>
        <v>  37.65 </v>
      </c>
      <c r="R37" s="64" t="str">
        <f t="shared" si="11"/>
        <v>  -14,393,978,026 </v>
      </c>
      <c r="S37" s="64" t="str">
        <f t="shared" si="12"/>
        <v>  -17,363,662,494 </v>
      </c>
      <c r="T37" s="65" t="str">
        <f t="shared" si="25"/>
        <v>  -784,404,381 </v>
      </c>
      <c r="U37" s="64" t="str">
        <f t="shared" si="26"/>
        <v>  -962,647,693 </v>
      </c>
      <c r="V37" s="64" t="str">
        <f t="shared" si="27"/>
        <v>  -2,446,363,618 </v>
      </c>
      <c r="W37" s="64" t="str">
        <f t="shared" si="28"/>
        <v>  -1,203,309,617 </v>
      </c>
      <c r="X37" s="64" t="str">
        <f t="shared" si="29"/>
        <v>  -6,187,726,803 </v>
      </c>
      <c r="Y37" s="66" t="str">
        <f t="shared" si="13"/>
        <v>  33,889,813,618 </v>
      </c>
      <c r="Z37" s="66" t="str">
        <f t="shared" si="14"/>
        <v>  79,669,594,123 </v>
      </c>
      <c r="AA37" s="66" t="str">
        <f t="shared" si="15"/>
        <v>  3,388,981,362 </v>
      </c>
      <c r="AB37" s="64" t="str">
        <f t="shared" si="16"/>
        <v>  -2,033,388,817 </v>
      </c>
      <c r="AC37" s="66" t="str">
        <f t="shared" si="17"/>
        <v>  3,983,479,706 </v>
      </c>
      <c r="AD37" s="64" t="str">
        <f t="shared" si="18"/>
        <v>  -2,390,087,824 </v>
      </c>
      <c r="AE37" s="67" t="str">
        <f t="shared" si="54"/>
        <v>  36,896,217 </v>
      </c>
    </row>
    <row r="38" ht="14.25" customHeight="1">
      <c r="A38" s="56">
        <v>2041.0</v>
      </c>
      <c r="B38" s="57">
        <v>19.0</v>
      </c>
      <c r="C38" s="56">
        <v>0.0</v>
      </c>
      <c r="D38" s="56">
        <v>0.0</v>
      </c>
      <c r="E38" s="58" t="str">
        <f t="shared" si="19"/>
        <v>  125,368,317 </v>
      </c>
      <c r="F38" s="59" t="str">
        <f t="shared" si="20"/>
        <v>  151,015,011 </v>
      </c>
      <c r="G38" s="58" t="str">
        <f t="shared" si="21"/>
        <v>  125,368,317 </v>
      </c>
      <c r="H38" s="59" t="str">
        <f t="shared" si="22"/>
        <v>  214,007,889 </v>
      </c>
      <c r="I38" s="60" t="str">
        <f t="shared" si="31"/>
        <v>  19,980,097 </v>
      </c>
      <c r="J38" s="59" t="str">
        <f t="shared" si="5"/>
        <v>  194,027,792 </v>
      </c>
      <c r="K38" s="61" t="str">
        <f t="shared" ref="K38:L38" si="65">K37*(1+$C$12)</f>
        <v>132.70</v>
      </c>
      <c r="L38" s="61" t="str">
        <f t="shared" si="65"/>
        <v>66.35</v>
      </c>
      <c r="M38" s="62" t="str">
        <f t="shared" si="7"/>
        <v>  36,674,706,314 </v>
      </c>
      <c r="N38" s="62" t="str">
        <f t="shared" si="8"/>
        <v>  43,707,920,670 </v>
      </c>
      <c r="O38" s="63" t="str">
        <f t="shared" ref="O38:P38" si="66">O37*(1+$C$12)</f>
        <v>  47.77 </v>
      </c>
      <c r="P38" s="63" t="str">
        <f t="shared" si="66"/>
        <v>  63.69 </v>
      </c>
      <c r="Q38" s="63" t="str">
        <f t="shared" si="10"/>
        <v>  38.22 </v>
      </c>
      <c r="R38" s="64" t="str">
        <f t="shared" si="11"/>
        <v>  -15,607,568,057 </v>
      </c>
      <c r="S38" s="64" t="str">
        <f t="shared" si="12"/>
        <v>  -19,110,771,454 </v>
      </c>
      <c r="T38" s="65" t="str">
        <f t="shared" si="25"/>
        <v>  -796,170,447 </v>
      </c>
      <c r="U38" s="64" t="str">
        <f t="shared" si="26"/>
        <v>  -1,010,780,078 </v>
      </c>
      <c r="V38" s="64" t="str">
        <f t="shared" si="27"/>
        <v>  -2,690,999,980 </v>
      </c>
      <c r="W38" s="64" t="str">
        <f t="shared" si="28"/>
        <v>  -1,263,475,098 </v>
      </c>
      <c r="X38" s="64" t="str">
        <f t="shared" si="29"/>
        <v>  -7,115,885,823 </v>
      </c>
      <c r="Y38" s="66" t="str">
        <f t="shared" si="13"/>
        <v>  36,674,706,314 </v>
      </c>
      <c r="Z38" s="66" t="str">
        <f t="shared" si="14"/>
        <v>  87,415,841,340 </v>
      </c>
      <c r="AA38" s="66" t="str">
        <f t="shared" si="15"/>
        <v>  3,667,470,631 </v>
      </c>
      <c r="AB38" s="64" t="str">
        <f t="shared" si="16"/>
        <v>  -2,200,482,379 </v>
      </c>
      <c r="AC38" s="66" t="str">
        <f t="shared" si="17"/>
        <v>  4,370,792,067 </v>
      </c>
      <c r="AD38" s="64" t="str">
        <f t="shared" si="18"/>
        <v>  -2,622,475,240 </v>
      </c>
      <c r="AE38" s="67" t="str">
        <f t="shared" si="54"/>
        <v>  38,003,104 </v>
      </c>
    </row>
    <row r="39" ht="14.25" customHeight="1">
      <c r="A39" s="56">
        <v>2042.0</v>
      </c>
      <c r="B39" s="57">
        <v>20.0</v>
      </c>
      <c r="C39" s="56">
        <v>0.0</v>
      </c>
      <c r="D39" s="56">
        <v>0.0</v>
      </c>
      <c r="E39" s="58" t="str">
        <f t="shared" si="19"/>
        <v>  131,636,732 </v>
      </c>
      <c r="F39" s="59" t="str">
        <f t="shared" si="20"/>
        <v>  163,096,212 </v>
      </c>
      <c r="G39" s="58" t="str">
        <f t="shared" si="21"/>
        <v>  131,636,732 </v>
      </c>
      <c r="H39" s="59" t="str">
        <f t="shared" si="22"/>
        <v>  235,408,678 </v>
      </c>
      <c r="I39" s="60" t="str">
        <f t="shared" si="31"/>
        <v>  21,578,505 </v>
      </c>
      <c r="J39" s="59" t="str">
        <f t="shared" si="5"/>
        <v>  213,830,173 </v>
      </c>
      <c r="K39" s="61" t="str">
        <f t="shared" ref="K39:L39" si="67">K38*(1+$C$12)</f>
        <v>134.69</v>
      </c>
      <c r="L39" s="61" t="str">
        <f t="shared" si="67"/>
        <v>67.34</v>
      </c>
      <c r="M39" s="62" t="str">
        <f t="shared" si="7"/>
        <v>  39,696,254,226 </v>
      </c>
      <c r="N39" s="62" t="str">
        <f t="shared" si="8"/>
        <v>  47,982,538,998 </v>
      </c>
      <c r="O39" s="63" t="str">
        <f t="shared" ref="O39:P39" si="68">O38*(1+$C$12)</f>
        <v>  48.49 </v>
      </c>
      <c r="P39" s="63" t="str">
        <f t="shared" si="68"/>
        <v>  64.65 </v>
      </c>
      <c r="Q39" s="63" t="str">
        <f t="shared" si="10"/>
        <v>  38.79 </v>
      </c>
      <c r="R39" s="64" t="str">
        <f t="shared" si="11"/>
        <v>  -16,926,654,924 </v>
      </c>
      <c r="S39" s="64" t="str">
        <f t="shared" si="12"/>
        <v>  -21,043,574,580 </v>
      </c>
      <c r="T39" s="69" t="str">
        <f t="shared" si="25"/>
        <v>  -808,113,004 </v>
      </c>
      <c r="U39" s="64" t="str">
        <f t="shared" si="26"/>
        <v>  -1,061,319,082 </v>
      </c>
      <c r="V39" s="64" t="str">
        <f t="shared" si="27"/>
        <v>  -2,960,099,978 </v>
      </c>
      <c r="W39" s="64" t="str">
        <f t="shared" si="28"/>
        <v>  -1,326,648,853 </v>
      </c>
      <c r="X39" s="64" t="str">
        <f t="shared" si="29"/>
        <v>  -8,183,268,696 </v>
      </c>
      <c r="Y39" s="66" t="str">
        <f t="shared" si="13"/>
        <v>  39,696,254,226 </v>
      </c>
      <c r="Z39" s="66" t="str">
        <f t="shared" si="14"/>
        <v>  95,965,077,997 </v>
      </c>
      <c r="AA39" s="62" t="str">
        <f t="shared" si="15"/>
        <v>  3,969,625,423 </v>
      </c>
      <c r="AB39" s="64" t="str">
        <f t="shared" si="16"/>
        <v>  -2,381,775,254 </v>
      </c>
      <c r="AC39" s="62" t="str">
        <f t="shared" si="17"/>
        <v>  4,798,253,900 </v>
      </c>
      <c r="AD39" s="64" t="str">
        <f t="shared" si="18"/>
        <v>  -2,878,952,340 </v>
      </c>
      <c r="AE39" s="67" t="str">
        <f t="shared" si="54"/>
        <v>  39,143,197 </v>
      </c>
    </row>
    <row r="40" ht="14.25" customHeight="1">
      <c r="B40" s="3"/>
    </row>
    <row r="41" ht="14.25" customHeight="1">
      <c r="B41" s="3"/>
    </row>
    <row r="42" ht="14.25" customHeight="1">
      <c r="B42" s="3"/>
    </row>
    <row r="43" ht="14.25" customHeight="1">
      <c r="B43" s="3"/>
    </row>
    <row r="44" ht="14.25" customHeight="1">
      <c r="B44" s="3"/>
    </row>
    <row r="45" ht="14.25" customHeight="1">
      <c r="B45" s="3"/>
    </row>
    <row r="46" ht="14.25" customHeight="1">
      <c r="B46" s="3"/>
    </row>
    <row r="47" ht="14.25" customHeight="1">
      <c r="B47" s="3"/>
    </row>
    <row r="48" ht="14.25" customHeight="1">
      <c r="B48" s="3"/>
    </row>
    <row r="49" ht="14.25" customHeight="1">
      <c r="B49" s="3"/>
    </row>
    <row r="50" ht="14.25" customHeight="1">
      <c r="B50" s="3"/>
    </row>
    <row r="51" ht="14.25" customHeight="1">
      <c r="B51" s="3"/>
    </row>
    <row r="52" ht="14.25" customHeight="1">
      <c r="B52" s="3"/>
    </row>
    <row r="53" ht="14.25" customHeight="1">
      <c r="B53" s="3"/>
    </row>
    <row r="54" ht="14.25" customHeight="1">
      <c r="B54" s="3"/>
    </row>
    <row r="55" ht="14.25" customHeight="1">
      <c r="B55" s="3"/>
    </row>
    <row r="56" ht="14.25" customHeight="1">
      <c r="B56" s="3"/>
    </row>
    <row r="57" ht="14.25" customHeight="1">
      <c r="B57" s="3"/>
    </row>
    <row r="58" ht="14.25" customHeight="1">
      <c r="B58" s="3"/>
    </row>
    <row r="59" ht="14.25" customHeight="1">
      <c r="B59" s="3"/>
    </row>
    <row r="60" ht="14.25" customHeight="1">
      <c r="B60" s="3"/>
    </row>
    <row r="61" ht="14.25" customHeight="1">
      <c r="B61" s="3"/>
    </row>
    <row r="62" ht="14.25" customHeight="1">
      <c r="B62" s="3"/>
    </row>
    <row r="63" ht="14.25" customHeight="1">
      <c r="B63" s="3"/>
    </row>
    <row r="64" ht="14.25" customHeight="1">
      <c r="B64" s="3"/>
    </row>
    <row r="65" ht="14.25" customHeight="1">
      <c r="B65" s="3"/>
    </row>
    <row r="66" ht="14.25" customHeight="1">
      <c r="B66" s="3"/>
    </row>
    <row r="67" ht="14.25" customHeight="1">
      <c r="B67" s="3"/>
    </row>
    <row r="68" ht="14.25" customHeight="1">
      <c r="B68" s="3"/>
    </row>
    <row r="69" ht="14.25" customHeight="1">
      <c r="B69" s="3"/>
    </row>
    <row r="70" ht="14.25" customHeight="1">
      <c r="B70" s="3"/>
    </row>
    <row r="71" ht="14.25" customHeight="1">
      <c r="B71" s="3"/>
    </row>
    <row r="72" ht="14.25" customHeight="1">
      <c r="B72" s="3"/>
    </row>
    <row r="73" ht="14.25" customHeight="1">
      <c r="B73" s="3"/>
    </row>
    <row r="74" ht="14.25" customHeight="1">
      <c r="B74" s="3"/>
    </row>
    <row r="75" ht="14.25" customHeight="1">
      <c r="B75" s="3"/>
    </row>
    <row r="76" ht="14.25" customHeight="1">
      <c r="B76" s="3"/>
    </row>
    <row r="77" ht="14.25" customHeight="1">
      <c r="B77" s="3"/>
    </row>
    <row r="78" ht="14.25" customHeight="1">
      <c r="B78" s="3"/>
    </row>
    <row r="79" ht="14.25" customHeight="1">
      <c r="B79" s="3"/>
    </row>
    <row r="80" ht="14.25" customHeight="1">
      <c r="B80" s="3"/>
    </row>
    <row r="81" ht="14.25" customHeight="1">
      <c r="B81" s="3"/>
    </row>
    <row r="82" ht="14.25" customHeight="1">
      <c r="B82" s="3"/>
    </row>
    <row r="83" ht="14.25" customHeight="1">
      <c r="B83" s="3"/>
    </row>
    <row r="84" ht="14.25" customHeight="1">
      <c r="B84" s="3"/>
    </row>
    <row r="85" ht="14.25" customHeight="1">
      <c r="B85" s="3"/>
    </row>
    <row r="86" ht="14.25" customHeight="1">
      <c r="B86" s="3"/>
    </row>
    <row r="87" ht="14.25" customHeight="1">
      <c r="B87" s="3"/>
    </row>
    <row r="88" ht="14.25" customHeight="1">
      <c r="B88" s="3"/>
    </row>
    <row r="89" ht="14.25" customHeight="1">
      <c r="B89" s="3"/>
    </row>
    <row r="90" ht="14.25" customHeight="1">
      <c r="B90" s="3"/>
    </row>
    <row r="91" ht="14.25" customHeight="1">
      <c r="B91" s="3"/>
    </row>
    <row r="92" ht="14.25" customHeight="1">
      <c r="B92" s="3"/>
    </row>
    <row r="93" ht="14.25" customHeight="1">
      <c r="B93" s="3"/>
    </row>
    <row r="94" ht="14.25" customHeight="1">
      <c r="B94" s="3"/>
    </row>
    <row r="95" ht="14.25" customHeight="1">
      <c r="B95" s="3"/>
    </row>
    <row r="96" ht="14.25" customHeight="1">
      <c r="B96" s="3"/>
    </row>
    <row r="97" ht="14.25" customHeight="1">
      <c r="B97" s="3"/>
    </row>
    <row r="98" ht="14.25" customHeight="1">
      <c r="B98" s="3"/>
    </row>
    <row r="99" ht="14.25" customHeight="1">
      <c r="B99" s="3"/>
    </row>
    <row r="100" ht="14.25" customHeight="1">
      <c r="B100" s="3"/>
    </row>
  </sheetData>
  <mergeCells count="21">
    <mergeCell ref="AA17:AB17"/>
    <mergeCell ref="AC17:AD17"/>
    <mergeCell ref="E17:F17"/>
    <mergeCell ref="G17:J17"/>
    <mergeCell ref="AE16:AE17"/>
    <mergeCell ref="Y17:Z17"/>
    <mergeCell ref="T16:T17"/>
    <mergeCell ref="U17:V17"/>
    <mergeCell ref="U16:V16"/>
    <mergeCell ref="W17:X17"/>
    <mergeCell ref="W16:X16"/>
    <mergeCell ref="O17:P17"/>
    <mergeCell ref="K16:L17"/>
    <mergeCell ref="M16:N17"/>
    <mergeCell ref="Y16:Z16"/>
    <mergeCell ref="AA16:AD16"/>
    <mergeCell ref="A1:B1"/>
    <mergeCell ref="E16:J16"/>
    <mergeCell ref="A16:D17"/>
    <mergeCell ref="O16:Q16"/>
    <mergeCell ref="R16:S17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14.71"/>
    <col customWidth="1" min="3" max="3" width="18.14"/>
    <col customWidth="1" min="4" max="4" width="17.0"/>
    <col customWidth="1" min="5" max="5" width="16.43"/>
    <col customWidth="1" min="6" max="6" width="16.71"/>
    <col customWidth="1" min="7" max="7" width="16.86"/>
    <col customWidth="1" min="8" max="8" width="16.71"/>
    <col customWidth="1" min="9" max="9" width="17.71"/>
    <col customWidth="1" min="10" max="10" width="16.71"/>
    <col customWidth="1" min="11" max="11" width="17.43"/>
    <col customWidth="1" min="12" max="12" width="15.0"/>
    <col customWidth="1" min="13" max="13" width="16.14"/>
    <col customWidth="1" min="14" max="14" width="15.57"/>
    <col customWidth="1" min="15" max="15" width="15.71"/>
    <col customWidth="1" min="16" max="16" width="15.57"/>
    <col customWidth="1" min="17" max="17" width="16.0"/>
    <col customWidth="1" min="18" max="18" width="14.43"/>
    <col customWidth="1" min="19" max="19" width="16.43"/>
    <col customWidth="1" min="20" max="20" width="15.57"/>
  </cols>
  <sheetData>
    <row r="1" ht="14.25" customHeight="1">
      <c r="A1" s="70" t="s">
        <v>37</v>
      </c>
      <c r="C1" s="56" t="s">
        <v>38</v>
      </c>
      <c r="D1" s="71">
        <v>0.11</v>
      </c>
    </row>
    <row r="2" ht="14.25" customHeight="1"/>
    <row r="3" ht="14.25" customHeight="1">
      <c r="A3" s="72" t="s">
        <v>26</v>
      </c>
      <c r="B3" s="73" t="s">
        <v>25</v>
      </c>
      <c r="C3" s="73" t="s">
        <v>27</v>
      </c>
      <c r="D3" s="73" t="s">
        <v>39</v>
      </c>
      <c r="E3" s="73" t="str">
        <f>'Q1)Cashflows'!D18</f>
        <v>Introductory Costs</v>
      </c>
      <c r="F3" s="73" t="s">
        <v>39</v>
      </c>
      <c r="G3" s="73" t="s">
        <v>16</v>
      </c>
      <c r="H3" s="73" t="s">
        <v>39</v>
      </c>
      <c r="I3" s="73" t="s">
        <v>18</v>
      </c>
      <c r="J3" s="73" t="s">
        <v>39</v>
      </c>
      <c r="K3" s="73" t="s">
        <v>40</v>
      </c>
      <c r="L3" s="73" t="s">
        <v>39</v>
      </c>
      <c r="M3" s="73" t="s">
        <v>22</v>
      </c>
      <c r="N3" s="73" t="s">
        <v>39</v>
      </c>
      <c r="O3" s="73" t="s">
        <v>23</v>
      </c>
      <c r="P3" s="73" t="s">
        <v>39</v>
      </c>
      <c r="Q3" s="73" t="s">
        <v>34</v>
      </c>
      <c r="R3" s="73" t="s">
        <v>39</v>
      </c>
      <c r="S3" s="73" t="s">
        <v>35</v>
      </c>
      <c r="T3" s="74" t="s">
        <v>39</v>
      </c>
    </row>
    <row r="4" ht="14.25" customHeight="1">
      <c r="A4" s="46">
        <v>0.0</v>
      </c>
      <c r="B4" s="46">
        <v>2022.0</v>
      </c>
      <c r="C4" s="48" t="str">
        <f>'Q1)Cashflows'!C19</f>
        <v>  -1,500,000,000 </v>
      </c>
      <c r="D4" s="48" t="str">
        <f t="shared" ref="D4:D14" si="1">C4*(1+$D$1)^-A4</f>
        <v>  -1,500,000,000 </v>
      </c>
      <c r="E4" s="48" t="str">
        <f>'Q1)Cashflows'!D19</f>
        <v>  -1,000,000,000 </v>
      </c>
      <c r="F4" s="48" t="str">
        <f t="shared" ref="F4:F14" si="2">E4*(1+$D$1)^-A4</f>
        <v>  -1,000,000,000 </v>
      </c>
      <c r="G4" s="52" t="str">
        <f>'Q1)Cashflows'!N19</f>
        <v>  8,460,450,000 </v>
      </c>
      <c r="H4" s="52" t="str">
        <f t="shared" ref="H4:H14" si="3">G4*(1+$D$1)^-A4</f>
        <v>  8,460,450,000 </v>
      </c>
      <c r="I4" s="48" t="str">
        <f>'Q1)Cashflows'!S19</f>
        <v>  -3,465,666,000 </v>
      </c>
      <c r="J4" s="48" t="str">
        <f t="shared" ref="J4:J14" si="4">I4*(1+$D$1)^-A4</f>
        <v>  -3,465,666,000 </v>
      </c>
      <c r="K4" s="53">
        <v>0.0</v>
      </c>
      <c r="L4" s="46" t="str">
        <f t="shared" ref="L4:L14" si="5">K4*(1+$D$1)^-A4</f>
        <v>0</v>
      </c>
      <c r="M4" s="48" t="str">
        <f>'Q1)Cashflows'!V19</f>
        <v>  -440,000,000 </v>
      </c>
      <c r="N4" s="48" t="str">
        <f t="shared" ref="N4:N14" si="6">M4*(1+$D$1)^-A4</f>
        <v>  -440,000,000 </v>
      </c>
      <c r="O4" s="48" t="str">
        <f>'Q1)Cashflows'!X19</f>
        <v>  -500,000,000 </v>
      </c>
      <c r="P4" s="48" t="str">
        <f t="shared" ref="P4:P14" si="7">O4*(1+$D$1)^-A4</f>
        <v>  -500,000,000 </v>
      </c>
      <c r="Q4" s="53">
        <v>0.0</v>
      </c>
      <c r="R4" s="52" t="str">
        <f t="shared" ref="R4:R14" si="8">Q4*(1+$D$1)^-A4</f>
        <v>  -   </v>
      </c>
      <c r="S4" s="48" t="str">
        <f>'Q1)Cashflows'!AD19</f>
        <v>  -507,627,000 </v>
      </c>
      <c r="T4" s="48" t="str">
        <f t="shared" ref="T4:T14" si="9">S4*(1+$D$1)^-A4</f>
        <v>  -507,627,000 </v>
      </c>
    </row>
    <row r="5" ht="14.25" customHeight="1">
      <c r="A5" s="56">
        <v>1.0</v>
      </c>
      <c r="B5" s="56">
        <v>2023.0</v>
      </c>
      <c r="C5" s="56" t="str">
        <f>'Q1)Cashflows'!C20</f>
        <v>0</v>
      </c>
      <c r="D5" s="75" t="str">
        <f t="shared" si="1"/>
        <v>0</v>
      </c>
      <c r="E5" s="67" t="str">
        <f>'Q1)Cashflows'!D20</f>
        <v>  -   </v>
      </c>
      <c r="F5" s="67" t="str">
        <f t="shared" si="2"/>
        <v>  -   </v>
      </c>
      <c r="G5" s="62" t="str">
        <f>'Q1)Cashflows'!N20</f>
        <v>  8,940,558,988 </v>
      </c>
      <c r="H5" s="62" t="str">
        <f t="shared" si="3"/>
        <v>  8,054,557,646 </v>
      </c>
      <c r="I5" s="64" t="str">
        <f>'Q1)Cashflows'!S20</f>
        <v>  -3,681,334,052 </v>
      </c>
      <c r="J5" s="64" t="str">
        <f t="shared" si="4"/>
        <v>  -3,316,517,164 </v>
      </c>
      <c r="K5" s="67">
        <v>0.0</v>
      </c>
      <c r="L5" s="56" t="str">
        <f t="shared" si="5"/>
        <v>0</v>
      </c>
      <c r="M5" s="64" t="str">
        <f>'Q1)Cashflows'!V20</f>
        <v>  -484,000,000 </v>
      </c>
      <c r="N5" s="64" t="str">
        <f t="shared" si="6"/>
        <v>  -436,036,036 </v>
      </c>
      <c r="O5" s="64" t="str">
        <f>'Q1)Cashflows'!X20</f>
        <v>  -575,000,000 </v>
      </c>
      <c r="P5" s="64" t="str">
        <f t="shared" si="7"/>
        <v>  -518,018,018 </v>
      </c>
      <c r="Q5" s="67">
        <v>0.0</v>
      </c>
      <c r="R5" s="62" t="str">
        <f t="shared" si="8"/>
        <v>  -   </v>
      </c>
      <c r="S5" s="64" t="str">
        <f>'Q1)Cashflows'!AD20</f>
        <v>  -536,433,539 </v>
      </c>
      <c r="T5" s="64" t="str">
        <f t="shared" si="9"/>
        <v>  -483,273,459 </v>
      </c>
    </row>
    <row r="6" ht="14.25" customHeight="1">
      <c r="A6" s="56">
        <v>2.0</v>
      </c>
      <c r="B6" s="56">
        <v>2024.0</v>
      </c>
      <c r="C6" s="56" t="str">
        <f>'Q1)Cashflows'!C21</f>
        <v>0</v>
      </c>
      <c r="D6" s="75" t="str">
        <f t="shared" si="1"/>
        <v>0</v>
      </c>
      <c r="E6" s="67" t="str">
        <f>'Q1)Cashflows'!D21</f>
        <v>  -   </v>
      </c>
      <c r="F6" s="67" t="str">
        <f t="shared" si="2"/>
        <v>  -   </v>
      </c>
      <c r="G6" s="62" t="str">
        <f>'Q1)Cashflows'!N21</f>
        <v>  9,718,947,036 </v>
      </c>
      <c r="H6" s="62" t="str">
        <f t="shared" si="3"/>
        <v>  7,888,115,442 </v>
      </c>
      <c r="I6" s="64" t="str">
        <f>'Q1)Cashflows'!S21</f>
        <v>  -4,015,585,749 </v>
      </c>
      <c r="J6" s="64" t="str">
        <f t="shared" si="4"/>
        <v>  -3,259,139,477 </v>
      </c>
      <c r="K6" s="67">
        <v>0.0</v>
      </c>
      <c r="L6" s="56" t="str">
        <f t="shared" si="5"/>
        <v>0</v>
      </c>
      <c r="M6" s="64" t="str">
        <f>'Q1)Cashflows'!V21</f>
        <v>  -532,400,000 </v>
      </c>
      <c r="N6" s="64" t="str">
        <f t="shared" si="6"/>
        <v>  -432,107,783 </v>
      </c>
      <c r="O6" s="64" t="str">
        <f>'Q1)Cashflows'!X21</f>
        <v>  -661,250,000 </v>
      </c>
      <c r="P6" s="64" t="str">
        <f t="shared" si="7"/>
        <v>  -536,685,334 </v>
      </c>
      <c r="Q6" s="67">
        <v>0.0</v>
      </c>
      <c r="R6" s="62" t="str">
        <f t="shared" si="8"/>
        <v>  -   </v>
      </c>
      <c r="S6" s="64" t="str">
        <f>'Q1)Cashflows'!AD21</f>
        <v>  -583,136,822 </v>
      </c>
      <c r="T6" s="64" t="str">
        <f t="shared" si="9"/>
        <v>  -473,286,927 </v>
      </c>
    </row>
    <row r="7" ht="14.25" customHeight="1">
      <c r="A7" s="56">
        <v>3.0</v>
      </c>
      <c r="B7" s="56">
        <v>2025.0</v>
      </c>
      <c r="C7" s="56" t="str">
        <f>'Q1)Cashflows'!C22</f>
        <v>0</v>
      </c>
      <c r="D7" s="75" t="str">
        <f t="shared" si="1"/>
        <v>0</v>
      </c>
      <c r="E7" s="67" t="str">
        <f>'Q1)Cashflows'!D22</f>
        <v>  -   </v>
      </c>
      <c r="F7" s="67" t="str">
        <f t="shared" si="2"/>
        <v>  -   </v>
      </c>
      <c r="G7" s="62" t="str">
        <f>'Q1)Cashflows'!N22</f>
        <v>  10,570,869,594 </v>
      </c>
      <c r="H7" s="62" t="str">
        <f t="shared" si="3"/>
        <v>  7,729,328,740 </v>
      </c>
      <c r="I7" s="64" t="str">
        <f>'Q1)Cashflows'!S22</f>
        <v>  -4,382,616,491 </v>
      </c>
      <c r="J7" s="64" t="str">
        <f t="shared" si="4"/>
        <v>  -3,204,531,406 </v>
      </c>
      <c r="K7" s="67">
        <v>0.0</v>
      </c>
      <c r="L7" s="56" t="str">
        <f t="shared" si="5"/>
        <v>0</v>
      </c>
      <c r="M7" s="64" t="str">
        <f>'Q1)Cashflows'!V22</f>
        <v>  -585,640,000 </v>
      </c>
      <c r="N7" s="64" t="str">
        <f t="shared" si="6"/>
        <v>  -428,214,921 </v>
      </c>
      <c r="O7" s="64" t="str">
        <f>'Q1)Cashflows'!X22</f>
        <v>  -760,437,500 </v>
      </c>
      <c r="P7" s="64" t="str">
        <f t="shared" si="7"/>
        <v>  -556,025,346 </v>
      </c>
      <c r="Q7" s="67">
        <v>0.0</v>
      </c>
      <c r="R7" s="62" t="str">
        <f t="shared" si="8"/>
        <v>  -   </v>
      </c>
      <c r="S7" s="64" t="str">
        <f>'Q1)Cashflows'!AD22</f>
        <v>  -634,252,176 </v>
      </c>
      <c r="T7" s="64" t="str">
        <f t="shared" si="9"/>
        <v>  -463,759,724 </v>
      </c>
    </row>
    <row r="8" ht="14.25" customHeight="1">
      <c r="A8" s="56">
        <v>4.0</v>
      </c>
      <c r="B8" s="56">
        <v>2026.0</v>
      </c>
      <c r="C8" s="56" t="str">
        <f>'Q1)Cashflows'!C23</f>
        <v>0</v>
      </c>
      <c r="D8" s="75" t="str">
        <f t="shared" si="1"/>
        <v>0</v>
      </c>
      <c r="E8" s="67" t="str">
        <f>'Q1)Cashflows'!D23</f>
        <v>  -   </v>
      </c>
      <c r="F8" s="67" t="str">
        <f t="shared" si="2"/>
        <v>  -   </v>
      </c>
      <c r="G8" s="62" t="str">
        <f>'Q1)Cashflows'!N23</f>
        <v>  11,503,781,059 </v>
      </c>
      <c r="H8" s="62" t="str">
        <f t="shared" si="3"/>
        <v>  7,577,896,904 </v>
      </c>
      <c r="I8" s="64" t="str">
        <f>'Q1)Cashflows'!S23</f>
        <v>  -4,785,845,726 </v>
      </c>
      <c r="J8" s="64" t="str">
        <f t="shared" si="4"/>
        <v>  -3,152,584,817 </v>
      </c>
      <c r="K8" s="64" t="str">
        <f>'Q1)Cashflows'!T23</f>
        <v>  -636,818,130 </v>
      </c>
      <c r="L8" s="64" t="str">
        <f t="shared" si="5"/>
        <v>  -419,491,827 </v>
      </c>
      <c r="M8" s="64" t="str">
        <f>'Q1)Cashflows'!V23</f>
        <v>  -644,204,000 </v>
      </c>
      <c r="N8" s="64" t="str">
        <f t="shared" si="6"/>
        <v>  -424,357,128 </v>
      </c>
      <c r="O8" s="64" t="str">
        <f>'Q1)Cashflows'!X23</f>
        <v>  -874,503,125 </v>
      </c>
      <c r="P8" s="64" t="str">
        <f t="shared" si="7"/>
        <v>  -576,062,295 </v>
      </c>
      <c r="Q8" s="67">
        <v>0.0</v>
      </c>
      <c r="R8" s="62" t="str">
        <f t="shared" si="8"/>
        <v>  -   </v>
      </c>
      <c r="S8" s="64" t="str">
        <f>'Q1)Cashflows'!AD23</f>
        <v>  -690,226,864 </v>
      </c>
      <c r="T8" s="64" t="str">
        <f t="shared" si="9"/>
        <v>  -454,673,814 </v>
      </c>
    </row>
    <row r="9" ht="14.25" customHeight="1">
      <c r="A9" s="56">
        <v>5.0</v>
      </c>
      <c r="B9" s="56">
        <v>2027.0</v>
      </c>
      <c r="C9" s="56" t="str">
        <f>'Q1)Cashflows'!C24</f>
        <v>0</v>
      </c>
      <c r="D9" s="75" t="str">
        <f t="shared" si="1"/>
        <v>0</v>
      </c>
      <c r="E9" s="67" t="str">
        <f>'Q1)Cashflows'!D24</f>
        <v>  -   </v>
      </c>
      <c r="F9" s="67" t="str">
        <f t="shared" si="2"/>
        <v>  -   </v>
      </c>
      <c r="G9" s="62" t="str">
        <f>'Q1)Cashflows'!N24</f>
        <v>  12,525,932,581 </v>
      </c>
      <c r="H9" s="62" t="str">
        <f t="shared" si="3"/>
        <v>  7,433,531,326 </v>
      </c>
      <c r="I9" s="64" t="str">
        <f>'Q1)Cashflows'!S24</f>
        <v>  -5,229,065,571 </v>
      </c>
      <c r="J9" s="64" t="str">
        <f t="shared" si="4"/>
        <v>  -3,103,195,908 </v>
      </c>
      <c r="K9" s="67">
        <v>0.0</v>
      </c>
      <c r="L9" s="56" t="str">
        <f t="shared" si="5"/>
        <v>0</v>
      </c>
      <c r="M9" s="64" t="str">
        <f>'Q1)Cashflows'!V24</f>
        <v>  -708,624,400 </v>
      </c>
      <c r="N9" s="64" t="str">
        <f t="shared" si="6"/>
        <v>  -420,534,091 </v>
      </c>
      <c r="O9" s="64" t="str">
        <f>'Q1)Cashflows'!X24</f>
        <v>  -1,005,678,594 </v>
      </c>
      <c r="P9" s="64" t="str">
        <f t="shared" si="7"/>
        <v>  -596,821,297 </v>
      </c>
      <c r="Q9" s="67">
        <v>0.0</v>
      </c>
      <c r="R9" s="62" t="str">
        <f t="shared" si="8"/>
        <v>  -   </v>
      </c>
      <c r="S9" s="64" t="str">
        <f>'Q1)Cashflows'!AD24</f>
        <v>  -751,555,955 </v>
      </c>
      <c r="T9" s="64" t="str">
        <f t="shared" si="9"/>
        <v>  -446,011,880 </v>
      </c>
    </row>
    <row r="10" ht="14.25" customHeight="1">
      <c r="A10" s="56">
        <v>6.0</v>
      </c>
      <c r="B10" s="56">
        <v>2028.0</v>
      </c>
      <c r="C10" s="56" t="str">
        <f>'Q1)Cashflows'!C25</f>
        <v>0</v>
      </c>
      <c r="D10" s="75" t="str">
        <f t="shared" si="1"/>
        <v>0</v>
      </c>
      <c r="E10" s="67" t="str">
        <f>'Q1)Cashflows'!D25</f>
        <v>  -   </v>
      </c>
      <c r="F10" s="67" t="str">
        <f t="shared" si="2"/>
        <v>  -   </v>
      </c>
      <c r="G10" s="62" t="str">
        <f>'Q1)Cashflows'!N25</f>
        <v>  13,646,460,307 </v>
      </c>
      <c r="H10" s="62" t="str">
        <f t="shared" si="3"/>
        <v>  7,295,954,948 </v>
      </c>
      <c r="I10" s="64" t="str">
        <f>'Q1)Cashflows'!S25</f>
        <v>  -5,716,482,593 </v>
      </c>
      <c r="J10" s="64" t="str">
        <f t="shared" si="4"/>
        <v>  -3,056,265,033 </v>
      </c>
      <c r="K10" s="67">
        <v>0.0</v>
      </c>
      <c r="L10" s="56" t="str">
        <f t="shared" si="5"/>
        <v>0</v>
      </c>
      <c r="M10" s="64" t="str">
        <f>'Q1)Cashflows'!V25</f>
        <v>  -779,486,840 </v>
      </c>
      <c r="N10" s="64" t="str">
        <f t="shared" si="6"/>
        <v>  -416,745,496 </v>
      </c>
      <c r="O10" s="64" t="str">
        <f>'Q1)Cashflows'!X25</f>
        <v>  -1,156,530,383 </v>
      </c>
      <c r="P10" s="64" t="str">
        <f t="shared" si="7"/>
        <v>  -618,328,371 </v>
      </c>
      <c r="Q10" s="67">
        <v>0.0</v>
      </c>
      <c r="R10" s="62" t="str">
        <f t="shared" si="8"/>
        <v>  -   </v>
      </c>
      <c r="S10" s="64" t="str">
        <f>'Q1)Cashflows'!AD25</f>
        <v>  -818,787,618 </v>
      </c>
      <c r="T10" s="64" t="str">
        <f t="shared" si="9"/>
        <v>  -437,757,297 </v>
      </c>
    </row>
    <row r="11" ht="14.25" customHeight="1">
      <c r="A11" s="56">
        <v>7.0</v>
      </c>
      <c r="B11" s="56">
        <v>2029.0</v>
      </c>
      <c r="C11" s="56" t="str">
        <f>'Q1)Cashflows'!C26</f>
        <v>0</v>
      </c>
      <c r="D11" s="75" t="str">
        <f t="shared" si="1"/>
        <v>0</v>
      </c>
      <c r="E11" s="67" t="str">
        <f>'Q1)Cashflows'!D26</f>
        <v>  -   </v>
      </c>
      <c r="F11" s="67" t="str">
        <f t="shared" si="2"/>
        <v>  -   </v>
      </c>
      <c r="G11" s="62" t="str">
        <f>'Q1)Cashflows'!N26</f>
        <v>  14,875,483,622 </v>
      </c>
      <c r="H11" s="62" t="str">
        <f t="shared" si="3"/>
        <v>  7,164,901,803 </v>
      </c>
      <c r="I11" s="64" t="str">
        <f>'Q1)Cashflows'!S26</f>
        <v>  -6,252,764,351 </v>
      </c>
      <c r="J11" s="64" t="str">
        <f t="shared" si="4"/>
        <v>  -3,011,696,541 </v>
      </c>
      <c r="K11" s="67">
        <v>0.0</v>
      </c>
      <c r="L11" s="56" t="str">
        <f t="shared" si="5"/>
        <v>0</v>
      </c>
      <c r="M11" s="64" t="str">
        <f>'Q1)Cashflows'!V26</f>
        <v>  -857,435,524 </v>
      </c>
      <c r="N11" s="64" t="str">
        <f t="shared" si="6"/>
        <v>  -412,991,032 </v>
      </c>
      <c r="O11" s="64" t="str">
        <f>'Q1)Cashflows'!X26</f>
        <v>  -1,330,009,940 </v>
      </c>
      <c r="P11" s="64" t="str">
        <f t="shared" si="7"/>
        <v>  -640,610,474 </v>
      </c>
      <c r="Q11" s="67">
        <v>0.0</v>
      </c>
      <c r="R11" s="62" t="str">
        <f t="shared" si="8"/>
        <v>  -   </v>
      </c>
      <c r="S11" s="64" t="str">
        <f>'Q1)Cashflows'!AD26</f>
        <v>  -892,529,017 </v>
      </c>
      <c r="T11" s="64" t="str">
        <f t="shared" si="9"/>
        <v>  -429,894,108 </v>
      </c>
    </row>
    <row r="12" ht="14.25" customHeight="1">
      <c r="A12" s="56">
        <v>8.0</v>
      </c>
      <c r="B12" s="56">
        <v>2030.0</v>
      </c>
      <c r="C12" s="56" t="str">
        <f>'Q1)Cashflows'!C27</f>
        <v>0</v>
      </c>
      <c r="D12" s="75" t="str">
        <f t="shared" si="1"/>
        <v>0</v>
      </c>
      <c r="E12" s="67" t="str">
        <f>'Q1)Cashflows'!D27</f>
        <v>  -   </v>
      </c>
      <c r="F12" s="67" t="str">
        <f t="shared" si="2"/>
        <v>  -   </v>
      </c>
      <c r="G12" s="62" t="str">
        <f>'Q1)Cashflows'!N27</f>
        <v>  16,224,214,535 </v>
      </c>
      <c r="H12" s="62" t="str">
        <f t="shared" si="3"/>
        <v>  7,040,116,568 </v>
      </c>
      <c r="I12" s="64" t="str">
        <f>'Q1)Cashflows'!S27</f>
        <v>  -6,843,091,255 </v>
      </c>
      <c r="J12" s="64" t="str">
        <f t="shared" si="4"/>
        <v>  -2,969,398,612 </v>
      </c>
      <c r="K12" s="67">
        <v>0.0</v>
      </c>
      <c r="L12" s="56" t="str">
        <f t="shared" si="5"/>
        <v>0</v>
      </c>
      <c r="M12" s="64" t="str">
        <f>'Q1)Cashflows'!V27</f>
        <v>  -943,179,076 </v>
      </c>
      <c r="N12" s="64" t="str">
        <f t="shared" si="6"/>
        <v>  -409,270,392 </v>
      </c>
      <c r="O12" s="64" t="str">
        <f>'Q1)Cashflows'!X27</f>
        <v>  -1,529,511,431 </v>
      </c>
      <c r="P12" s="64" t="str">
        <f t="shared" si="7"/>
        <v>  -663,695,536 </v>
      </c>
      <c r="Q12" s="67">
        <v>0.0</v>
      </c>
      <c r="R12" s="62" t="str">
        <f t="shared" si="8"/>
        <v>  -   </v>
      </c>
      <c r="S12" s="64" t="str">
        <f>'Q1)Cashflows'!AD27</f>
        <v>  -973,452,872 </v>
      </c>
      <c r="T12" s="64" t="str">
        <f t="shared" si="9"/>
        <v>  -422,406,994 </v>
      </c>
    </row>
    <row r="13" ht="14.25" customHeight="1">
      <c r="A13" s="56">
        <v>9.0</v>
      </c>
      <c r="B13" s="56">
        <v>2031.0</v>
      </c>
      <c r="C13" s="56" t="str">
        <f>'Q1)Cashflows'!C28</f>
        <v>0</v>
      </c>
      <c r="D13" s="75" t="str">
        <f t="shared" si="1"/>
        <v>0</v>
      </c>
      <c r="E13" s="67" t="str">
        <f>'Q1)Cashflows'!D28</f>
        <v>  -   </v>
      </c>
      <c r="F13" s="67" t="str">
        <f t="shared" si="2"/>
        <v>  -   </v>
      </c>
      <c r="G13" s="62" t="str">
        <f>'Q1)Cashflows'!N28</f>
        <v>  17,705,079,473 </v>
      </c>
      <c r="H13" s="62" t="str">
        <f t="shared" si="3"/>
        <v>  6,921,354,146 </v>
      </c>
      <c r="I13" s="64" t="str">
        <f>'Q1)Cashflows'!S28</f>
        <v>  -7,493,214,355 </v>
      </c>
      <c r="J13" s="64" t="str">
        <f t="shared" si="4"/>
        <v>  -2,929,283,109 </v>
      </c>
      <c r="K13" s="67">
        <v>0.0</v>
      </c>
      <c r="L13" s="56" t="str">
        <f t="shared" si="5"/>
        <v>0</v>
      </c>
      <c r="M13" s="64" t="str">
        <f>'Q1)Cashflows'!V28</f>
        <v>  -1,037,496,984 </v>
      </c>
      <c r="N13" s="64" t="str">
        <f t="shared" si="6"/>
        <v>  -405,583,271 </v>
      </c>
      <c r="O13" s="64" t="str">
        <f>'Q1)Cashflows'!X28</f>
        <v>  -1,758,938,146 </v>
      </c>
      <c r="P13" s="64" t="str">
        <f t="shared" si="7"/>
        <v>  -687,612,493 </v>
      </c>
      <c r="Q13" s="67">
        <v>0.0</v>
      </c>
      <c r="R13" s="62" t="str">
        <f t="shared" si="8"/>
        <v>  -   </v>
      </c>
      <c r="S13" s="64" t="str">
        <f>'Q1)Cashflows'!AD28</f>
        <v>  -1,062,304,768 </v>
      </c>
      <c r="T13" s="64" t="str">
        <f t="shared" si="9"/>
        <v>  -415,281,249 </v>
      </c>
    </row>
    <row r="14" ht="14.25" customHeight="1">
      <c r="A14" s="56">
        <v>10.0</v>
      </c>
      <c r="B14" s="56">
        <v>2032.0</v>
      </c>
      <c r="C14" s="56" t="str">
        <f>'Q1)Cashflows'!C29</f>
        <v>0</v>
      </c>
      <c r="D14" s="75" t="str">
        <f t="shared" si="1"/>
        <v>0</v>
      </c>
      <c r="E14" s="62" t="str">
        <f>'Q1)Cashflows'!D29</f>
        <v>  200,000,000 </v>
      </c>
      <c r="F14" s="62" t="str">
        <f t="shared" si="2"/>
        <v>  70,436,896 </v>
      </c>
      <c r="G14" s="62" t="str">
        <f>'Q1)Cashflows'!N29</f>
        <v>  19,331,854,936 </v>
      </c>
      <c r="H14" s="62" t="str">
        <f t="shared" si="3"/>
        <v>  6,808,379,254 </v>
      </c>
      <c r="I14" s="64" t="str">
        <f>'Q1)Cashflows'!S29</f>
        <v>  -8,209,519,730 </v>
      </c>
      <c r="J14" s="64" t="str">
        <f t="shared" si="4"/>
        <v>  -2,891,265,427 </v>
      </c>
      <c r="K14" s="62">
        <v>6.96324495E8</v>
      </c>
      <c r="L14" s="62" t="str">
        <f t="shared" si="5"/>
        <v>  245,234,679 </v>
      </c>
      <c r="M14" s="64" t="str">
        <f>'Q1)Cashflows'!V29</f>
        <v>  -1,141,246,682 </v>
      </c>
      <c r="N14" s="64" t="str">
        <f t="shared" si="6"/>
        <v>  -401,929,368 </v>
      </c>
      <c r="O14" s="64" t="str">
        <f>'Q1)Cashflows'!X29</f>
        <v>  -2,022,778,868 </v>
      </c>
      <c r="P14" s="64" t="str">
        <f t="shared" si="7"/>
        <v>  -712,391,321 </v>
      </c>
      <c r="Q14" s="62" t="str">
        <f>'Q1)Cashflows'!AC29</f>
        <v>  1,933,185,494 </v>
      </c>
      <c r="R14" s="62" t="str">
        <f t="shared" si="8"/>
        <v>  680,837,925 </v>
      </c>
      <c r="S14" s="64" t="str">
        <f>'Q1)Cashflows'!AD29</f>
        <v>  -1,159,911,296 </v>
      </c>
      <c r="T14" s="64" t="str">
        <f t="shared" si="9"/>
        <v>  -408,502,755 </v>
      </c>
    </row>
    <row r="15" ht="14.25" customHeight="1">
      <c r="A15" s="56"/>
      <c r="B15" s="56"/>
      <c r="C15" s="67"/>
      <c r="D15" s="67" t="str">
        <f>SUM(D4:D14)</f>
        <v>  -1,500,000,000 </v>
      </c>
      <c r="E15" s="67"/>
      <c r="F15" s="67" t="str">
        <f>SUM(F4:F14)</f>
        <v>  -929,563,104 </v>
      </c>
      <c r="G15" s="67"/>
      <c r="H15" s="67" t="str">
        <f>SUM(H4:H14)</f>
        <v>  82,374,586,777 </v>
      </c>
      <c r="I15" s="67"/>
      <c r="J15" s="67" t="str">
        <f>SUM(J4:J14)</f>
        <v>  -34,359,543,493 </v>
      </c>
      <c r="K15" s="67"/>
      <c r="L15" s="67" t="str">
        <f>SUM(L4:L14)</f>
        <v>  -174,257,148 </v>
      </c>
      <c r="M15" s="67"/>
      <c r="N15" s="67" t="str">
        <f>SUM(N4:N14)</f>
        <v>  -4,627,769,519 </v>
      </c>
      <c r="O15" s="67"/>
      <c r="P15" s="67" t="str">
        <f>SUM(P4:P14)</f>
        <v>  -6,606,250,486 </v>
      </c>
      <c r="Q15" s="67"/>
      <c r="R15" s="67" t="str">
        <f>SUM(R4:R14)</f>
        <v>  680,837,925 </v>
      </c>
      <c r="S15" s="67"/>
      <c r="T15" s="67" t="str">
        <f>SUM(T4:T14)</f>
        <v>  -4,942,475,207 </v>
      </c>
    </row>
    <row r="16" ht="14.25" customHeight="1"/>
    <row r="17" ht="14.25" customHeight="1">
      <c r="A17" s="56" t="s">
        <v>41</v>
      </c>
      <c r="B17" s="67" t="str">
        <f>SUM(D15:T15)</f>
        <v>  29,915,565,746 </v>
      </c>
    </row>
    <row r="18" ht="14.25" customHeight="1">
      <c r="A18" s="56" t="s">
        <v>42</v>
      </c>
      <c r="B18" s="76">
        <v>0.93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8.71"/>
    <col customWidth="1" min="3" max="3" width="16.71"/>
    <col customWidth="1" min="4" max="4" width="19.14"/>
    <col customWidth="1" min="5" max="5" width="18.29"/>
    <col customWidth="1" min="6" max="6" width="15.29"/>
    <col customWidth="1" min="7" max="7" width="17.29"/>
    <col customWidth="1" min="8" max="8" width="16.43"/>
    <col customWidth="1" min="9" max="9" width="16.71"/>
    <col customWidth="1" min="10" max="10" width="17.29"/>
    <col customWidth="1" min="11" max="11" width="15.29"/>
    <col customWidth="1" min="12" max="12" width="14.71"/>
    <col customWidth="1" min="13" max="13" width="15.43"/>
    <col customWidth="1" min="14" max="14" width="16.14"/>
    <col customWidth="1" min="15" max="15" width="14.71"/>
    <col customWidth="1" min="16" max="16" width="17.43"/>
    <col customWidth="1" min="17" max="17" width="14.71"/>
    <col customWidth="1" min="18" max="18" width="13.43"/>
    <col customWidth="1" min="19" max="19" width="17.14"/>
    <col customWidth="1" min="20" max="20" width="14.71"/>
  </cols>
  <sheetData>
    <row r="1" ht="14.25" customHeight="1">
      <c r="C1" s="56" t="s">
        <v>38</v>
      </c>
      <c r="D1" s="71">
        <v>0.11</v>
      </c>
    </row>
    <row r="2" ht="14.25" customHeight="1"/>
    <row r="3" ht="14.25" customHeight="1">
      <c r="A3" s="72" t="s">
        <v>26</v>
      </c>
      <c r="B3" s="73" t="s">
        <v>25</v>
      </c>
      <c r="C3" s="73" t="s">
        <v>27</v>
      </c>
      <c r="D3" s="73" t="s">
        <v>39</v>
      </c>
      <c r="E3" s="73" t="str">
        <f>'Q1)Cashflows'!D18</f>
        <v>Introductory Costs</v>
      </c>
      <c r="F3" s="73" t="s">
        <v>39</v>
      </c>
      <c r="G3" s="73" t="s">
        <v>16</v>
      </c>
      <c r="H3" s="73" t="s">
        <v>39</v>
      </c>
      <c r="I3" s="73" t="s">
        <v>18</v>
      </c>
      <c r="J3" s="73" t="s">
        <v>39</v>
      </c>
      <c r="K3" s="73" t="s">
        <v>40</v>
      </c>
      <c r="L3" s="73" t="s">
        <v>39</v>
      </c>
      <c r="M3" s="73" t="s">
        <v>22</v>
      </c>
      <c r="N3" s="73" t="s">
        <v>39</v>
      </c>
      <c r="O3" s="73" t="s">
        <v>23</v>
      </c>
      <c r="P3" s="73" t="s">
        <v>39</v>
      </c>
      <c r="Q3" s="73" t="s">
        <v>34</v>
      </c>
      <c r="R3" s="73" t="s">
        <v>39</v>
      </c>
      <c r="S3" s="73" t="s">
        <v>35</v>
      </c>
      <c r="T3" s="74" t="s">
        <v>39</v>
      </c>
    </row>
    <row r="4" ht="14.25" customHeight="1">
      <c r="A4" s="46">
        <v>0.0</v>
      </c>
      <c r="B4" s="46">
        <v>2022.0</v>
      </c>
      <c r="C4" s="48" t="str">
        <f>'Q1)Cashflows'!C19</f>
        <v>  -1,500,000,000 </v>
      </c>
      <c r="D4" s="48" t="str">
        <f t="shared" ref="D4:D24" si="1">C4*(1+$D$1)^-A4</f>
        <v>  -1,500,000,000 </v>
      </c>
      <c r="E4" s="48" t="str">
        <f>'Q1)Cashflows'!D19</f>
        <v>  -1,000,000,000 </v>
      </c>
      <c r="F4" s="48" t="str">
        <f t="shared" ref="F4:F24" si="2">E4*(1+$D$1)^-A4</f>
        <v>  -1,000,000,000 </v>
      </c>
      <c r="G4" s="52" t="str">
        <f>'Q1)Cashflows'!N19</f>
        <v>  8,460,450,000 </v>
      </c>
      <c r="H4" s="52" t="str">
        <f t="shared" ref="H4:H24" si="3">G4*(1+$D$1)^-A4</f>
        <v>  8,460,450,000 </v>
      </c>
      <c r="I4" s="48" t="str">
        <f>'Q1)Cashflows'!S19</f>
        <v>  -3,465,666,000 </v>
      </c>
      <c r="J4" s="48" t="str">
        <f t="shared" ref="J4:J24" si="4">I4*(1+$D$1)^-A4</f>
        <v>  -3,465,666,000 </v>
      </c>
      <c r="K4" s="53">
        <v>0.0</v>
      </c>
      <c r="L4" s="53" t="str">
        <f t="shared" ref="L4:L24" si="5">K4*(1+$D$1)^-A4</f>
        <v>  -   </v>
      </c>
      <c r="M4" s="48" t="str">
        <f>'Q1)Cashflows'!V19</f>
        <v>  -440,000,000 </v>
      </c>
      <c r="N4" s="48" t="str">
        <f t="shared" ref="N4:N24" si="6">M4*(1+$D$1)^-A4</f>
        <v>  -440,000,000 </v>
      </c>
      <c r="O4" s="48" t="str">
        <f>'Q1)Cashflows'!X19</f>
        <v>  -500,000,000 </v>
      </c>
      <c r="P4" s="48" t="str">
        <f t="shared" ref="P4:P24" si="7">O4*(1+$D$1)^-A4</f>
        <v>  -500,000,000 </v>
      </c>
      <c r="Q4" s="53">
        <v>0.0</v>
      </c>
      <c r="R4" s="52" t="str">
        <f t="shared" ref="R4:R24" si="8">Q4*(1+$D$1)^-A4</f>
        <v>  -   </v>
      </c>
      <c r="S4" s="48" t="str">
        <f>'Q1)Cashflows'!AD19</f>
        <v>  -507,627,000 </v>
      </c>
      <c r="T4" s="48" t="str">
        <f t="shared" ref="T4:T24" si="9">S4*(1+$D$1)^-A4</f>
        <v>  -507,627,000 </v>
      </c>
    </row>
    <row r="5" ht="14.25" customHeight="1">
      <c r="A5" s="56">
        <v>1.0</v>
      </c>
      <c r="B5" s="56">
        <v>2023.0</v>
      </c>
      <c r="C5" s="56" t="str">
        <f>'Q1)Cashflows'!C20</f>
        <v>0</v>
      </c>
      <c r="D5" s="75" t="str">
        <f t="shared" si="1"/>
        <v>0</v>
      </c>
      <c r="E5" s="67" t="str">
        <f>'Q1)Cashflows'!D20</f>
        <v>  -   </v>
      </c>
      <c r="F5" s="67" t="str">
        <f t="shared" si="2"/>
        <v>  -   </v>
      </c>
      <c r="G5" s="62" t="str">
        <f>'Q1)Cashflows'!N20</f>
        <v>  8,940,558,988 </v>
      </c>
      <c r="H5" s="62" t="str">
        <f t="shared" si="3"/>
        <v>  8,054,557,646 </v>
      </c>
      <c r="I5" s="64" t="str">
        <f>'Q1)Cashflows'!S20</f>
        <v>  -3,681,334,052 </v>
      </c>
      <c r="J5" s="64" t="str">
        <f t="shared" si="4"/>
        <v>  -3,316,517,164 </v>
      </c>
      <c r="K5" s="67">
        <v>0.0</v>
      </c>
      <c r="L5" s="67" t="str">
        <f t="shared" si="5"/>
        <v>  -   </v>
      </c>
      <c r="M5" s="64" t="str">
        <f>'Q1)Cashflows'!V20</f>
        <v>  -484,000,000 </v>
      </c>
      <c r="N5" s="64" t="str">
        <f t="shared" si="6"/>
        <v>  -436,036,036 </v>
      </c>
      <c r="O5" s="64" t="str">
        <f>'Q1)Cashflows'!X20</f>
        <v>  -575,000,000 </v>
      </c>
      <c r="P5" s="64" t="str">
        <f t="shared" si="7"/>
        <v>  -518,018,018 </v>
      </c>
      <c r="Q5" s="67">
        <v>0.0</v>
      </c>
      <c r="R5" s="62" t="str">
        <f t="shared" si="8"/>
        <v>  -   </v>
      </c>
      <c r="S5" s="64" t="str">
        <f>'Q1)Cashflows'!AD20</f>
        <v>  -536,433,539 </v>
      </c>
      <c r="T5" s="64" t="str">
        <f t="shared" si="9"/>
        <v>  -483,273,459 </v>
      </c>
    </row>
    <row r="6" ht="14.25" customHeight="1">
      <c r="A6" s="56">
        <v>2.0</v>
      </c>
      <c r="B6" s="56">
        <v>2024.0</v>
      </c>
      <c r="C6" s="56" t="str">
        <f>'Q1)Cashflows'!C21</f>
        <v>0</v>
      </c>
      <c r="D6" s="75" t="str">
        <f t="shared" si="1"/>
        <v>0</v>
      </c>
      <c r="E6" s="67" t="str">
        <f>'Q1)Cashflows'!D21</f>
        <v>  -   </v>
      </c>
      <c r="F6" s="67" t="str">
        <f t="shared" si="2"/>
        <v>  -   </v>
      </c>
      <c r="G6" s="62" t="str">
        <f>'Q1)Cashflows'!N21</f>
        <v>  9,718,947,036 </v>
      </c>
      <c r="H6" s="62" t="str">
        <f t="shared" si="3"/>
        <v>  7,888,115,442 </v>
      </c>
      <c r="I6" s="64" t="str">
        <f>'Q1)Cashflows'!S21</f>
        <v>  -4,015,585,749 </v>
      </c>
      <c r="J6" s="64" t="str">
        <f t="shared" si="4"/>
        <v>  -3,259,139,477 </v>
      </c>
      <c r="K6" s="67">
        <v>0.0</v>
      </c>
      <c r="L6" s="67" t="str">
        <f t="shared" si="5"/>
        <v>  -   </v>
      </c>
      <c r="M6" s="64" t="str">
        <f>'Q1)Cashflows'!V21</f>
        <v>  -532,400,000 </v>
      </c>
      <c r="N6" s="64" t="str">
        <f t="shared" si="6"/>
        <v>  -432,107,783 </v>
      </c>
      <c r="O6" s="64" t="str">
        <f>'Q1)Cashflows'!X21</f>
        <v>  -661,250,000 </v>
      </c>
      <c r="P6" s="64" t="str">
        <f t="shared" si="7"/>
        <v>  -536,685,334 </v>
      </c>
      <c r="Q6" s="67">
        <v>0.0</v>
      </c>
      <c r="R6" s="62" t="str">
        <f t="shared" si="8"/>
        <v>  -   </v>
      </c>
      <c r="S6" s="64" t="str">
        <f>'Q1)Cashflows'!AD21</f>
        <v>  -583,136,822 </v>
      </c>
      <c r="T6" s="64" t="str">
        <f t="shared" si="9"/>
        <v>  -473,286,927 </v>
      </c>
    </row>
    <row r="7" ht="14.25" customHeight="1">
      <c r="A7" s="56">
        <v>3.0</v>
      </c>
      <c r="B7" s="56">
        <v>2025.0</v>
      </c>
      <c r="C7" s="56" t="str">
        <f>'Q1)Cashflows'!C22</f>
        <v>0</v>
      </c>
      <c r="D7" s="75" t="str">
        <f t="shared" si="1"/>
        <v>0</v>
      </c>
      <c r="E7" s="67" t="str">
        <f>'Q1)Cashflows'!D22</f>
        <v>  -   </v>
      </c>
      <c r="F7" s="67" t="str">
        <f t="shared" si="2"/>
        <v>  -   </v>
      </c>
      <c r="G7" s="62" t="str">
        <f>'Q1)Cashflows'!N22</f>
        <v>  10,570,869,594 </v>
      </c>
      <c r="H7" s="62" t="str">
        <f t="shared" si="3"/>
        <v>  7,729,328,740 </v>
      </c>
      <c r="I7" s="64" t="str">
        <f>'Q1)Cashflows'!S22</f>
        <v>  -4,382,616,491 </v>
      </c>
      <c r="J7" s="64" t="str">
        <f t="shared" si="4"/>
        <v>  -3,204,531,406 </v>
      </c>
      <c r="K7" s="67">
        <v>0.0</v>
      </c>
      <c r="L7" s="67" t="str">
        <f t="shared" si="5"/>
        <v>  -   </v>
      </c>
      <c r="M7" s="64" t="str">
        <f>'Q1)Cashflows'!V22</f>
        <v>  -585,640,000 </v>
      </c>
      <c r="N7" s="64" t="str">
        <f t="shared" si="6"/>
        <v>  -428,214,921 </v>
      </c>
      <c r="O7" s="64" t="str">
        <f>'Q1)Cashflows'!X22</f>
        <v>  -760,437,500 </v>
      </c>
      <c r="P7" s="64" t="str">
        <f t="shared" si="7"/>
        <v>  -556,025,346 </v>
      </c>
      <c r="Q7" s="67">
        <v>0.0</v>
      </c>
      <c r="R7" s="62" t="str">
        <f t="shared" si="8"/>
        <v>  -   </v>
      </c>
      <c r="S7" s="64" t="str">
        <f>'Q1)Cashflows'!AD22</f>
        <v>  -634,252,176 </v>
      </c>
      <c r="T7" s="64" t="str">
        <f t="shared" si="9"/>
        <v>  -463,759,724 </v>
      </c>
    </row>
    <row r="8" ht="14.25" customHeight="1">
      <c r="A8" s="56">
        <v>4.0</v>
      </c>
      <c r="B8" s="56">
        <v>2026.0</v>
      </c>
      <c r="C8" s="56" t="str">
        <f>'Q1)Cashflows'!C23</f>
        <v>0</v>
      </c>
      <c r="D8" s="75" t="str">
        <f t="shared" si="1"/>
        <v>0</v>
      </c>
      <c r="E8" s="67" t="str">
        <f>'Q1)Cashflows'!D23</f>
        <v>  -   </v>
      </c>
      <c r="F8" s="67" t="str">
        <f t="shared" si="2"/>
        <v>  -   </v>
      </c>
      <c r="G8" s="62" t="str">
        <f>'Q1)Cashflows'!N23</f>
        <v>  11,503,781,059 </v>
      </c>
      <c r="H8" s="62" t="str">
        <f t="shared" si="3"/>
        <v>  7,577,896,904 </v>
      </c>
      <c r="I8" s="64" t="str">
        <f>'Q1)Cashflows'!S23</f>
        <v>  -4,785,845,726 </v>
      </c>
      <c r="J8" s="64" t="str">
        <f t="shared" si="4"/>
        <v>  -3,152,584,817 </v>
      </c>
      <c r="K8" s="64" t="str">
        <f>'Q1)Cashflows'!T23</f>
        <v>  -636,818,130 </v>
      </c>
      <c r="L8" s="64" t="str">
        <f t="shared" si="5"/>
        <v>  -419,491,827 </v>
      </c>
      <c r="M8" s="64" t="str">
        <f>'Q1)Cashflows'!V23</f>
        <v>  -644,204,000 </v>
      </c>
      <c r="N8" s="64" t="str">
        <f t="shared" si="6"/>
        <v>  -424,357,128 </v>
      </c>
      <c r="O8" s="64" t="str">
        <f>'Q1)Cashflows'!X23</f>
        <v>  -874,503,125 </v>
      </c>
      <c r="P8" s="64" t="str">
        <f t="shared" si="7"/>
        <v>  -576,062,295 </v>
      </c>
      <c r="Q8" s="67">
        <v>0.0</v>
      </c>
      <c r="R8" s="62" t="str">
        <f t="shared" si="8"/>
        <v>  -   </v>
      </c>
      <c r="S8" s="64" t="str">
        <f>'Q1)Cashflows'!AD23</f>
        <v>  -690,226,864 </v>
      </c>
      <c r="T8" s="64" t="str">
        <f t="shared" si="9"/>
        <v>  -454,673,814 </v>
      </c>
    </row>
    <row r="9" ht="14.25" customHeight="1">
      <c r="A9" s="56">
        <v>5.0</v>
      </c>
      <c r="B9" s="56">
        <v>2027.0</v>
      </c>
      <c r="C9" s="56" t="str">
        <f>'Q1)Cashflows'!C24</f>
        <v>0</v>
      </c>
      <c r="D9" s="75" t="str">
        <f t="shared" si="1"/>
        <v>0</v>
      </c>
      <c r="E9" s="67" t="str">
        <f>'Q1)Cashflows'!D24</f>
        <v>  -   </v>
      </c>
      <c r="F9" s="67" t="str">
        <f t="shared" si="2"/>
        <v>  -   </v>
      </c>
      <c r="G9" s="62" t="str">
        <f>'Q1)Cashflows'!N24</f>
        <v>  12,525,932,581 </v>
      </c>
      <c r="H9" s="62" t="str">
        <f t="shared" si="3"/>
        <v>  7,433,531,326 </v>
      </c>
      <c r="I9" s="64" t="str">
        <f>'Q1)Cashflows'!S24</f>
        <v>  -5,229,065,571 </v>
      </c>
      <c r="J9" s="64" t="str">
        <f t="shared" si="4"/>
        <v>  -3,103,195,908 </v>
      </c>
      <c r="K9" s="67">
        <v>0.0</v>
      </c>
      <c r="L9" s="67" t="str">
        <f t="shared" si="5"/>
        <v>  -   </v>
      </c>
      <c r="M9" s="64" t="str">
        <f>'Q1)Cashflows'!V24</f>
        <v>  -708,624,400 </v>
      </c>
      <c r="N9" s="64" t="str">
        <f t="shared" si="6"/>
        <v>  -420,534,091 </v>
      </c>
      <c r="O9" s="64" t="str">
        <f>'Q1)Cashflows'!X24</f>
        <v>  -1,005,678,594 </v>
      </c>
      <c r="P9" s="64" t="str">
        <f t="shared" si="7"/>
        <v>  -596,821,297 </v>
      </c>
      <c r="Q9" s="67">
        <v>0.0</v>
      </c>
      <c r="R9" s="62" t="str">
        <f t="shared" si="8"/>
        <v>  -   </v>
      </c>
      <c r="S9" s="64" t="str">
        <f>'Q1)Cashflows'!AD24</f>
        <v>  -751,555,955 </v>
      </c>
      <c r="T9" s="64" t="str">
        <f t="shared" si="9"/>
        <v>  -446,011,880 </v>
      </c>
    </row>
    <row r="10" ht="14.25" customHeight="1">
      <c r="A10" s="56">
        <v>6.0</v>
      </c>
      <c r="B10" s="56">
        <v>2028.0</v>
      </c>
      <c r="C10" s="56" t="str">
        <f>'Q1)Cashflows'!C25</f>
        <v>0</v>
      </c>
      <c r="D10" s="75" t="str">
        <f t="shared" si="1"/>
        <v>0</v>
      </c>
      <c r="E10" s="67" t="str">
        <f>'Q1)Cashflows'!D25</f>
        <v>  -   </v>
      </c>
      <c r="F10" s="67" t="str">
        <f t="shared" si="2"/>
        <v>  -   </v>
      </c>
      <c r="G10" s="62" t="str">
        <f>'Q1)Cashflows'!N25</f>
        <v>  13,646,460,307 </v>
      </c>
      <c r="H10" s="62" t="str">
        <f t="shared" si="3"/>
        <v>  7,295,954,948 </v>
      </c>
      <c r="I10" s="64" t="str">
        <f>'Q1)Cashflows'!S25</f>
        <v>  -5,716,482,593 </v>
      </c>
      <c r="J10" s="64" t="str">
        <f t="shared" si="4"/>
        <v>  -3,056,265,033 </v>
      </c>
      <c r="K10" s="67">
        <v>0.0</v>
      </c>
      <c r="L10" s="67" t="str">
        <f t="shared" si="5"/>
        <v>  -   </v>
      </c>
      <c r="M10" s="64" t="str">
        <f>'Q1)Cashflows'!V25</f>
        <v>  -779,486,840 </v>
      </c>
      <c r="N10" s="64" t="str">
        <f t="shared" si="6"/>
        <v>  -416,745,496 </v>
      </c>
      <c r="O10" s="64" t="str">
        <f>'Q1)Cashflows'!X25</f>
        <v>  -1,156,530,383 </v>
      </c>
      <c r="P10" s="64" t="str">
        <f t="shared" si="7"/>
        <v>  -618,328,371 </v>
      </c>
      <c r="Q10" s="67">
        <v>0.0</v>
      </c>
      <c r="R10" s="62" t="str">
        <f t="shared" si="8"/>
        <v>  -   </v>
      </c>
      <c r="S10" s="64" t="str">
        <f>'Q1)Cashflows'!AD25</f>
        <v>  -818,787,618 </v>
      </c>
      <c r="T10" s="64" t="str">
        <f t="shared" si="9"/>
        <v>  -437,757,297 </v>
      </c>
    </row>
    <row r="11" ht="14.25" customHeight="1">
      <c r="A11" s="56">
        <v>7.0</v>
      </c>
      <c r="B11" s="56">
        <v>2029.0</v>
      </c>
      <c r="C11" s="56" t="str">
        <f>'Q1)Cashflows'!C26</f>
        <v>0</v>
      </c>
      <c r="D11" s="75" t="str">
        <f t="shared" si="1"/>
        <v>0</v>
      </c>
      <c r="E11" s="67" t="str">
        <f>'Q1)Cashflows'!D26</f>
        <v>  -   </v>
      </c>
      <c r="F11" s="67" t="str">
        <f t="shared" si="2"/>
        <v>  -   </v>
      </c>
      <c r="G11" s="62" t="str">
        <f>'Q1)Cashflows'!N26</f>
        <v>  14,875,483,622 </v>
      </c>
      <c r="H11" s="62" t="str">
        <f t="shared" si="3"/>
        <v>  7,164,901,803 </v>
      </c>
      <c r="I11" s="64" t="str">
        <f>'Q1)Cashflows'!S26</f>
        <v>  -6,252,764,351 </v>
      </c>
      <c r="J11" s="64" t="str">
        <f t="shared" si="4"/>
        <v>  -3,011,696,541 </v>
      </c>
      <c r="K11" s="67">
        <v>0.0</v>
      </c>
      <c r="L11" s="67" t="str">
        <f t="shared" si="5"/>
        <v>  -   </v>
      </c>
      <c r="M11" s="64" t="str">
        <f>'Q1)Cashflows'!V26</f>
        <v>  -857,435,524 </v>
      </c>
      <c r="N11" s="64" t="str">
        <f t="shared" si="6"/>
        <v>  -412,991,032 </v>
      </c>
      <c r="O11" s="64" t="str">
        <f>'Q1)Cashflows'!X26</f>
        <v>  -1,330,009,940 </v>
      </c>
      <c r="P11" s="64" t="str">
        <f t="shared" si="7"/>
        <v>  -640,610,474 </v>
      </c>
      <c r="Q11" s="67">
        <v>0.0</v>
      </c>
      <c r="R11" s="62" t="str">
        <f t="shared" si="8"/>
        <v>  -   </v>
      </c>
      <c r="S11" s="64" t="str">
        <f>'Q1)Cashflows'!AD26</f>
        <v>  -892,529,017 </v>
      </c>
      <c r="T11" s="64" t="str">
        <f t="shared" si="9"/>
        <v>  -429,894,108 </v>
      </c>
    </row>
    <row r="12" ht="14.25" customHeight="1">
      <c r="A12" s="56">
        <v>8.0</v>
      </c>
      <c r="B12" s="56">
        <v>2030.0</v>
      </c>
      <c r="C12" s="56" t="str">
        <f>'Q1)Cashflows'!C27</f>
        <v>0</v>
      </c>
      <c r="D12" s="75" t="str">
        <f t="shared" si="1"/>
        <v>0</v>
      </c>
      <c r="E12" s="67" t="str">
        <f>'Q1)Cashflows'!D27</f>
        <v>  -   </v>
      </c>
      <c r="F12" s="67" t="str">
        <f t="shared" si="2"/>
        <v>  -   </v>
      </c>
      <c r="G12" s="62" t="str">
        <f>'Q1)Cashflows'!N27</f>
        <v>  16,224,214,535 </v>
      </c>
      <c r="H12" s="62" t="str">
        <f t="shared" si="3"/>
        <v>  7,040,116,568 </v>
      </c>
      <c r="I12" s="64" t="str">
        <f>'Q1)Cashflows'!S27</f>
        <v>  -6,843,091,255 </v>
      </c>
      <c r="J12" s="64" t="str">
        <f t="shared" si="4"/>
        <v>  -2,969,398,612 </v>
      </c>
      <c r="K12" s="67">
        <v>0.0</v>
      </c>
      <c r="L12" s="67" t="str">
        <f t="shared" si="5"/>
        <v>  -   </v>
      </c>
      <c r="M12" s="64" t="str">
        <f>'Q1)Cashflows'!V27</f>
        <v>  -943,179,076 </v>
      </c>
      <c r="N12" s="64" t="str">
        <f t="shared" si="6"/>
        <v>  -409,270,392 </v>
      </c>
      <c r="O12" s="64" t="str">
        <f>'Q1)Cashflows'!X27</f>
        <v>  -1,529,511,431 </v>
      </c>
      <c r="P12" s="64" t="str">
        <f t="shared" si="7"/>
        <v>  -663,695,536 </v>
      </c>
      <c r="Q12" s="67">
        <v>0.0</v>
      </c>
      <c r="R12" s="62" t="str">
        <f t="shared" si="8"/>
        <v>  -   </v>
      </c>
      <c r="S12" s="64" t="str">
        <f>'Q1)Cashflows'!AD27</f>
        <v>  -973,452,872 </v>
      </c>
      <c r="T12" s="64" t="str">
        <f t="shared" si="9"/>
        <v>  -422,406,994 </v>
      </c>
    </row>
    <row r="13" ht="14.25" customHeight="1">
      <c r="A13" s="56">
        <v>9.0</v>
      </c>
      <c r="B13" s="56">
        <v>2031.0</v>
      </c>
      <c r="C13" s="56" t="str">
        <f>'Q1)Cashflows'!C28</f>
        <v>0</v>
      </c>
      <c r="D13" s="75" t="str">
        <f t="shared" si="1"/>
        <v>0</v>
      </c>
      <c r="E13" s="67" t="str">
        <f>'Q1)Cashflows'!D28</f>
        <v>  -   </v>
      </c>
      <c r="F13" s="67" t="str">
        <f t="shared" si="2"/>
        <v>  -   </v>
      </c>
      <c r="G13" s="62" t="str">
        <f>'Q1)Cashflows'!N28</f>
        <v>  17,705,079,473 </v>
      </c>
      <c r="H13" s="62" t="str">
        <f t="shared" si="3"/>
        <v>  6,921,354,146 </v>
      </c>
      <c r="I13" s="64" t="str">
        <f>'Q1)Cashflows'!S28</f>
        <v>  -7,493,214,355 </v>
      </c>
      <c r="J13" s="64" t="str">
        <f t="shared" si="4"/>
        <v>  -2,929,283,109 </v>
      </c>
      <c r="K13" s="67">
        <v>0.0</v>
      </c>
      <c r="L13" s="67" t="str">
        <f t="shared" si="5"/>
        <v>  -   </v>
      </c>
      <c r="M13" s="64" t="str">
        <f>'Q1)Cashflows'!V28</f>
        <v>  -1,037,496,984 </v>
      </c>
      <c r="N13" s="64" t="str">
        <f t="shared" si="6"/>
        <v>  -405,583,271 </v>
      </c>
      <c r="O13" s="64" t="str">
        <f>'Q1)Cashflows'!X28</f>
        <v>  -1,758,938,146 </v>
      </c>
      <c r="P13" s="64" t="str">
        <f t="shared" si="7"/>
        <v>  -687,612,493 </v>
      </c>
      <c r="Q13" s="67">
        <v>0.0</v>
      </c>
      <c r="R13" s="62" t="str">
        <f t="shared" si="8"/>
        <v>  -   </v>
      </c>
      <c r="S13" s="64" t="str">
        <f>'Q1)Cashflows'!AD28</f>
        <v>  -1,062,304,768 </v>
      </c>
      <c r="T13" s="64" t="str">
        <f t="shared" si="9"/>
        <v>  -415,281,249 </v>
      </c>
    </row>
    <row r="14" ht="14.25" customHeight="1">
      <c r="A14" s="56">
        <v>10.0</v>
      </c>
      <c r="B14" s="56">
        <v>2032.0</v>
      </c>
      <c r="C14" s="56" t="str">
        <f>'Q1)Cashflows'!C29</f>
        <v>0</v>
      </c>
      <c r="D14" s="75" t="str">
        <f t="shared" si="1"/>
        <v>0</v>
      </c>
      <c r="E14" s="62"/>
      <c r="F14" s="62" t="str">
        <f t="shared" si="2"/>
        <v>  -   </v>
      </c>
      <c r="G14" s="62" t="str">
        <f>'Q1)Cashflows'!N29</f>
        <v>  19,331,854,936 </v>
      </c>
      <c r="H14" s="62" t="str">
        <f t="shared" si="3"/>
        <v>  6,808,379,254 </v>
      </c>
      <c r="I14" s="64" t="str">
        <f>'Q1)Cashflows'!S29</f>
        <v>  -8,209,519,730 </v>
      </c>
      <c r="J14" s="64" t="str">
        <f t="shared" si="4"/>
        <v>  -2,891,265,427 </v>
      </c>
      <c r="K14" s="67">
        <v>0.0</v>
      </c>
      <c r="L14" s="67" t="str">
        <f t="shared" si="5"/>
        <v>  -   </v>
      </c>
      <c r="M14" s="64" t="str">
        <f>'Q1)Cashflows'!V29</f>
        <v>  -1,141,246,682 </v>
      </c>
      <c r="N14" s="64" t="str">
        <f t="shared" si="6"/>
        <v>  -401,929,368 </v>
      </c>
      <c r="O14" s="64" t="str">
        <f>'Q1)Cashflows'!X29</f>
        <v>  -2,022,778,868 </v>
      </c>
      <c r="P14" s="64" t="str">
        <f t="shared" si="7"/>
        <v>  -712,391,321 </v>
      </c>
      <c r="Q14" s="67">
        <v>0.0</v>
      </c>
      <c r="R14" s="62" t="str">
        <f t="shared" si="8"/>
        <v>  -   </v>
      </c>
      <c r="S14" s="64" t="str">
        <f>'Q1)Cashflows'!AD29</f>
        <v>  -1,159,911,296 </v>
      </c>
      <c r="T14" s="64" t="str">
        <f t="shared" si="9"/>
        <v>  -408,502,755 </v>
      </c>
    </row>
    <row r="15" ht="14.25" customHeight="1">
      <c r="A15" s="56">
        <v>11.0</v>
      </c>
      <c r="B15" s="56">
        <v>2033.0</v>
      </c>
      <c r="C15" s="56" t="str">
        <f>'Q1)Cashflows'!C30</f>
        <v>0</v>
      </c>
      <c r="D15" s="75" t="str">
        <f t="shared" si="1"/>
        <v>0</v>
      </c>
      <c r="E15" s="62" t="str">
        <f>'Q1)Cashflows'!D30</f>
        <v>  -   </v>
      </c>
      <c r="F15" s="62" t="str">
        <f t="shared" si="2"/>
        <v>  -   </v>
      </c>
      <c r="G15" s="62" t="str">
        <f>'Q1)Cashflows'!N30</f>
        <v>  21,119,818,576 </v>
      </c>
      <c r="H15" s="62" t="str">
        <f t="shared" si="3"/>
        <v>  6,700,966,033 </v>
      </c>
      <c r="I15" s="64" t="str">
        <f>'Q1)Cashflows'!S30</f>
        <v>  -8,999,100,261 </v>
      </c>
      <c r="J15" s="64" t="str">
        <f t="shared" si="4"/>
        <v>  -2,855,264,356 </v>
      </c>
      <c r="K15" s="67">
        <v>0.0</v>
      </c>
      <c r="L15" s="67" t="str">
        <f t="shared" si="5"/>
        <v>  -   </v>
      </c>
      <c r="M15" s="64" t="str">
        <f>'Q1)Cashflows'!V30</f>
        <v>  -1,255,371,351 </v>
      </c>
      <c r="N15" s="64" t="str">
        <f t="shared" si="6"/>
        <v>  -398,308,383 </v>
      </c>
      <c r="O15" s="64" t="str">
        <f>'Q1)Cashflows'!X30</f>
        <v>  -2,326,195,698 </v>
      </c>
      <c r="P15" s="64" t="str">
        <f t="shared" si="7"/>
        <v>  -738,063,081 </v>
      </c>
      <c r="Q15" s="67">
        <v>0.0</v>
      </c>
      <c r="R15" s="62" t="str">
        <f t="shared" si="8"/>
        <v>  -   </v>
      </c>
      <c r="S15" s="64" t="str">
        <f>'Q1)Cashflows'!AD30</f>
        <v>  -1,267,189,115 </v>
      </c>
      <c r="T15" s="64" t="str">
        <f t="shared" si="9"/>
        <v>  -402,057,962 </v>
      </c>
    </row>
    <row r="16" ht="14.25" customHeight="1">
      <c r="A16" s="56">
        <v>12.0</v>
      </c>
      <c r="B16" s="56">
        <v>2034.0</v>
      </c>
      <c r="C16" s="56" t="str">
        <f>'Q1)Cashflows'!C31</f>
        <v>0</v>
      </c>
      <c r="D16" s="75" t="str">
        <f t="shared" si="1"/>
        <v>0</v>
      </c>
      <c r="E16" s="62" t="str">
        <f>'Q1)Cashflows'!D31</f>
        <v>  -   </v>
      </c>
      <c r="F16" s="62" t="str">
        <f t="shared" si="2"/>
        <v>  -   </v>
      </c>
      <c r="G16" s="62" t="str">
        <f>'Q1)Cashflows'!N31</f>
        <v>  23,085,917,505 </v>
      </c>
      <c r="H16" s="62" t="str">
        <f t="shared" si="3"/>
        <v>  6,598,897,673 </v>
      </c>
      <c r="I16" s="64" t="str">
        <f>'Q1)Cashflows'!S31</f>
        <v>  -9,869,835,614 </v>
      </c>
      <c r="J16" s="64" t="str">
        <f t="shared" si="4"/>
        <v>  -2,821,201,941 </v>
      </c>
      <c r="K16" s="67">
        <v>0.0</v>
      </c>
      <c r="L16" s="67" t="str">
        <f t="shared" si="5"/>
        <v>  -   </v>
      </c>
      <c r="M16" s="64" t="str">
        <f>'Q1)Cashflows'!V31</f>
        <v>  -1,380,908,486 </v>
      </c>
      <c r="N16" s="64" t="str">
        <f t="shared" si="6"/>
        <v>  -394,720,019 </v>
      </c>
      <c r="O16" s="64" t="str">
        <f>'Q1)Cashflows'!X31</f>
        <v>  -2,675,125,053 </v>
      </c>
      <c r="P16" s="64" t="str">
        <f t="shared" si="7"/>
        <v>  -764,659,948 </v>
      </c>
      <c r="Q16" s="67">
        <v>0.0</v>
      </c>
      <c r="R16" s="62" t="str">
        <f t="shared" si="8"/>
        <v>  -   </v>
      </c>
      <c r="S16" s="64" t="str">
        <f>'Q1)Cashflows'!AD31</f>
        <v>  -1,385,155,050 </v>
      </c>
      <c r="T16" s="64" t="str">
        <f t="shared" si="9"/>
        <v>  -395,933,860 </v>
      </c>
    </row>
    <row r="17" ht="14.25" customHeight="1">
      <c r="A17" s="56">
        <v>13.0</v>
      </c>
      <c r="B17" s="56">
        <v>2035.0</v>
      </c>
      <c r="C17" s="56" t="str">
        <f>'Q1)Cashflows'!C32</f>
        <v>0</v>
      </c>
      <c r="D17" s="75" t="str">
        <f t="shared" si="1"/>
        <v>0</v>
      </c>
      <c r="E17" s="62" t="str">
        <f>'Q1)Cashflows'!D32</f>
        <v>  -   </v>
      </c>
      <c r="F17" s="62" t="str">
        <f t="shared" si="2"/>
        <v>  -   </v>
      </c>
      <c r="G17" s="62" t="str">
        <f>'Q1)Cashflows'!N32</f>
        <v>  25,248,955,788 </v>
      </c>
      <c r="H17" s="62" t="str">
        <f t="shared" si="3"/>
        <v>  6,501,966,052 </v>
      </c>
      <c r="I17" s="64" t="str">
        <f>'Q1)Cashflows'!S32</f>
        <v>  -10,830,481,413 </v>
      </c>
      <c r="J17" s="64" t="str">
        <f t="shared" si="4"/>
        <v>  -2,789,003,358 </v>
      </c>
      <c r="K17" s="67">
        <v>0.0</v>
      </c>
      <c r="L17" s="67" t="str">
        <f t="shared" si="5"/>
        <v>  -   </v>
      </c>
      <c r="M17" s="64" t="str">
        <f>'Q1)Cashflows'!V32</f>
        <v>  -1,518,999,334 </v>
      </c>
      <c r="N17" s="64" t="str">
        <f t="shared" si="6"/>
        <v>  -391,163,983 </v>
      </c>
      <c r="O17" s="64" t="str">
        <f>'Q1)Cashflows'!X32</f>
        <v>  -3,076,393,811 </v>
      </c>
      <c r="P17" s="64" t="str">
        <f t="shared" si="7"/>
        <v>  -792,215,262 </v>
      </c>
      <c r="Q17" s="67">
        <v>0.0</v>
      </c>
      <c r="R17" s="62" t="str">
        <f t="shared" si="8"/>
        <v>  -   </v>
      </c>
      <c r="S17" s="64" t="str">
        <f>'Q1)Cashflows'!AD32</f>
        <v>  -1,514,937,347 </v>
      </c>
      <c r="T17" s="64" t="str">
        <f t="shared" si="9"/>
        <v>  -390,117,963 </v>
      </c>
    </row>
    <row r="18" ht="14.25" customHeight="1">
      <c r="A18" s="56">
        <v>14.0</v>
      </c>
      <c r="B18" s="56">
        <v>2036.0</v>
      </c>
      <c r="C18" s="56" t="str">
        <f>'Q1)Cashflows'!C33</f>
        <v>0</v>
      </c>
      <c r="D18" s="75" t="str">
        <f t="shared" si="1"/>
        <v>0</v>
      </c>
      <c r="E18" s="62" t="str">
        <f>'Q1)Cashflows'!D33</f>
        <v>  -   </v>
      </c>
      <c r="F18" s="62" t="str">
        <f t="shared" si="2"/>
        <v>  -   </v>
      </c>
      <c r="G18" s="62" t="str">
        <f>'Q1)Cashflows'!N33</f>
        <v>  27,629,803,358 </v>
      </c>
      <c r="H18" s="62" t="str">
        <f t="shared" si="3"/>
        <v>  6,409,971,389 </v>
      </c>
      <c r="I18" s="64" t="str">
        <f>'Q1)Cashflows'!S33</f>
        <v>  -11,890,768,629 </v>
      </c>
      <c r="J18" s="64" t="str">
        <f t="shared" si="4"/>
        <v>  -2,758,596,785 </v>
      </c>
      <c r="K18" s="67">
        <v>0.0</v>
      </c>
      <c r="L18" s="67" t="str">
        <f t="shared" si="5"/>
        <v>  -   </v>
      </c>
      <c r="M18" s="64" t="str">
        <f>'Q1)Cashflows'!V33</f>
        <v>  -1,670,899,268 </v>
      </c>
      <c r="N18" s="64" t="str">
        <f t="shared" si="6"/>
        <v>  -387,639,983 </v>
      </c>
      <c r="O18" s="64" t="str">
        <f>'Q1)Cashflows'!X33</f>
        <v>  -3,537,852,882 </v>
      </c>
      <c r="P18" s="64" t="str">
        <f t="shared" si="7"/>
        <v>  -820,763,560 </v>
      </c>
      <c r="Q18" s="67">
        <v>0.0</v>
      </c>
      <c r="R18" s="62" t="str">
        <f t="shared" si="8"/>
        <v>  -   </v>
      </c>
      <c r="S18" s="64" t="str">
        <f>'Q1)Cashflows'!AD33</f>
        <v>  -1,657,788,201 </v>
      </c>
      <c r="T18" s="64" t="str">
        <f t="shared" si="9"/>
        <v>  -384,598,283 </v>
      </c>
    </row>
    <row r="19" ht="14.25" customHeight="1">
      <c r="A19" s="56">
        <v>15.0</v>
      </c>
      <c r="B19" s="56">
        <v>2037.0</v>
      </c>
      <c r="C19" s="56" t="str">
        <f>'Q1)Cashflows'!C34</f>
        <v>0</v>
      </c>
      <c r="D19" s="75" t="str">
        <f t="shared" si="1"/>
        <v>0</v>
      </c>
      <c r="E19" s="62" t="str">
        <f>'Q1)Cashflows'!D34</f>
        <v>  -   </v>
      </c>
      <c r="F19" s="62" t="str">
        <f t="shared" si="2"/>
        <v>  -   </v>
      </c>
      <c r="G19" s="62" t="str">
        <f>'Q1)Cashflows'!N34</f>
        <v>  30,251,628,796 </v>
      </c>
      <c r="H19" s="62" t="str">
        <f t="shared" si="3"/>
        <v>  6,322,721,912 </v>
      </c>
      <c r="I19" s="64" t="str">
        <f>'Q1)Cashflows'!S34</f>
        <v>  -13,061,514,399 </v>
      </c>
      <c r="J19" s="64" t="str">
        <f t="shared" si="4"/>
        <v>  -2,729,913,283 </v>
      </c>
      <c r="K19" s="67">
        <v>0.0</v>
      </c>
      <c r="L19" s="67" t="str">
        <f t="shared" si="5"/>
        <v>  -   </v>
      </c>
      <c r="M19" s="64" t="str">
        <f>'Q1)Cashflows'!V34</f>
        <v>  -1,837,989,195 </v>
      </c>
      <c r="N19" s="64" t="str">
        <f t="shared" si="6"/>
        <v>  -384,147,731 </v>
      </c>
      <c r="O19" s="64" t="str">
        <f>'Q1)Cashflows'!X34</f>
        <v>  -4,068,530,815 </v>
      </c>
      <c r="P19" s="64" t="str">
        <f t="shared" si="7"/>
        <v>  -850,340,625 </v>
      </c>
      <c r="Q19" s="67">
        <v>0.0</v>
      </c>
      <c r="R19" s="62" t="str">
        <f t="shared" si="8"/>
        <v>  -   </v>
      </c>
      <c r="S19" s="64" t="str">
        <f>'Q1)Cashflows'!AD34</f>
        <v>  -1,815,097,728 </v>
      </c>
      <c r="T19" s="64" t="str">
        <f t="shared" si="9"/>
        <v>  -379,363,315 </v>
      </c>
    </row>
    <row r="20" ht="14.25" customHeight="1">
      <c r="A20" s="56">
        <v>16.0</v>
      </c>
      <c r="B20" s="56">
        <v>2038.0</v>
      </c>
      <c r="C20" s="56" t="str">
        <f>'Q1)Cashflows'!C35</f>
        <v>0</v>
      </c>
      <c r="D20" s="75" t="str">
        <f t="shared" si="1"/>
        <v>0</v>
      </c>
      <c r="E20" s="62" t="str">
        <f>'Q1)Cashflows'!D35</f>
        <v>  -   </v>
      </c>
      <c r="F20" s="62" t="str">
        <f t="shared" si="2"/>
        <v>  -   </v>
      </c>
      <c r="G20" s="62" t="str">
        <f>'Q1)Cashflows'!N35</f>
        <v>  33,140,158,755 </v>
      </c>
      <c r="H20" s="62" t="str">
        <f t="shared" si="3"/>
        <v>  6,240,033,539 </v>
      </c>
      <c r="I20" s="64" t="str">
        <f>'Q1)Cashflows'!S35</f>
        <v>  -14,354,745,570 </v>
      </c>
      <c r="J20" s="64" t="str">
        <f t="shared" si="4"/>
        <v>  -2,702,886,684 </v>
      </c>
      <c r="K20" s="67">
        <v>0.0</v>
      </c>
      <c r="L20" s="67" t="str">
        <f t="shared" si="5"/>
        <v>  -   </v>
      </c>
      <c r="M20" s="64" t="str">
        <f>'Q1)Cashflows'!V35</f>
        <v>  -2,021,788,114 </v>
      </c>
      <c r="N20" s="64" t="str">
        <f t="shared" si="6"/>
        <v>  -380,686,940 </v>
      </c>
      <c r="O20" s="64" t="str">
        <f>'Q1)Cashflows'!X35</f>
        <v>  -4,678,810,437 </v>
      </c>
      <c r="P20" s="64" t="str">
        <f t="shared" si="7"/>
        <v>  -880,983,530 </v>
      </c>
      <c r="Q20" s="67">
        <v>0.0</v>
      </c>
      <c r="R20" s="62" t="str">
        <f t="shared" si="8"/>
        <v>  -   </v>
      </c>
      <c r="S20" s="64" t="str">
        <f>'Q1)Cashflows'!AD35</f>
        <v>  -1,988,409,525 </v>
      </c>
      <c r="T20" s="64" t="str">
        <f t="shared" si="9"/>
        <v>  -374,402,012 </v>
      </c>
    </row>
    <row r="21" ht="14.25" customHeight="1">
      <c r="A21" s="56">
        <v>17.0</v>
      </c>
      <c r="B21" s="56">
        <v>2039.0</v>
      </c>
      <c r="C21" s="56" t="str">
        <f>'Q1)Cashflows'!C36</f>
        <v>0</v>
      </c>
      <c r="D21" s="75" t="str">
        <f t="shared" si="1"/>
        <v>0</v>
      </c>
      <c r="E21" s="62" t="str">
        <f>'Q1)Cashflows'!D36</f>
        <v>  -   </v>
      </c>
      <c r="F21" s="62" t="str">
        <f t="shared" si="2"/>
        <v>  -   </v>
      </c>
      <c r="G21" s="62" t="str">
        <f>'Q1)Cashflows'!N36</f>
        <v>  36,323,967,079 </v>
      </c>
      <c r="H21" s="62" t="str">
        <f t="shared" si="3"/>
        <v>  6,161,729,573 </v>
      </c>
      <c r="I21" s="64" t="str">
        <f>'Q1)Cashflows'!S36</f>
        <v>  -15,783,836,466 </v>
      </c>
      <c r="J21" s="64" t="str">
        <f t="shared" si="4"/>
        <v>  -2,677,453,476 </v>
      </c>
      <c r="K21" s="67">
        <v>0.0</v>
      </c>
      <c r="L21" s="67" t="str">
        <f t="shared" si="5"/>
        <v>  -   </v>
      </c>
      <c r="M21" s="64" t="str">
        <f>'Q1)Cashflows'!V36</f>
        <v>  -2,223,966,925 </v>
      </c>
      <c r="N21" s="64" t="str">
        <f t="shared" si="6"/>
        <v>  -377,257,328 </v>
      </c>
      <c r="O21" s="64" t="str">
        <f>'Q1)Cashflows'!X36</f>
        <v>  -5,380,632,002 </v>
      </c>
      <c r="P21" s="64" t="str">
        <f t="shared" si="7"/>
        <v>  -912,730,684 </v>
      </c>
      <c r="Q21" s="67">
        <v>0.0</v>
      </c>
      <c r="R21" s="62" t="str">
        <f t="shared" si="8"/>
        <v>  -   </v>
      </c>
      <c r="S21" s="64" t="str">
        <f>'Q1)Cashflows'!AD36</f>
        <v>  -2,179,438,025 </v>
      </c>
      <c r="T21" s="64" t="str">
        <f t="shared" si="9"/>
        <v>  -369,703,774 </v>
      </c>
    </row>
    <row r="22" ht="14.25" customHeight="1">
      <c r="A22" s="56">
        <v>18.0</v>
      </c>
      <c r="B22" s="56">
        <v>2040.0</v>
      </c>
      <c r="C22" s="56" t="str">
        <f>'Q1)Cashflows'!C37</f>
        <v>0</v>
      </c>
      <c r="D22" s="75" t="str">
        <f t="shared" si="1"/>
        <v>0</v>
      </c>
      <c r="E22" s="62" t="str">
        <f>'Q1)Cashflows'!D37</f>
        <v>  -   </v>
      </c>
      <c r="F22" s="62" t="str">
        <f t="shared" si="2"/>
        <v>  -   </v>
      </c>
      <c r="G22" s="62" t="str">
        <f>'Q1)Cashflows'!N37</f>
        <v>  39,834,797,062 </v>
      </c>
      <c r="H22" s="62" t="str">
        <f t="shared" si="3"/>
        <v>  6,087,640,404 </v>
      </c>
      <c r="I22" s="64" t="str">
        <f>'Q1)Cashflows'!S37</f>
        <v>  -17,363,662,494 </v>
      </c>
      <c r="J22" s="64" t="str">
        <f t="shared" si="4"/>
        <v>  -2,653,552,702 </v>
      </c>
      <c r="K22" s="67">
        <v>0.0</v>
      </c>
      <c r="L22" s="67" t="str">
        <f t="shared" si="5"/>
        <v>  -   </v>
      </c>
      <c r="M22" s="64" t="str">
        <f>'Q1)Cashflows'!V37</f>
        <v>  -2,446,363,618 </v>
      </c>
      <c r="N22" s="64" t="str">
        <f t="shared" si="6"/>
        <v>  -373,858,614 </v>
      </c>
      <c r="O22" s="64" t="str">
        <f>'Q1)Cashflows'!X37</f>
        <v>  -6,187,726,803 </v>
      </c>
      <c r="P22" s="64" t="str">
        <f t="shared" si="7"/>
        <v>  -945,621,880 </v>
      </c>
      <c r="Q22" s="67">
        <v>0.0</v>
      </c>
      <c r="R22" s="62" t="str">
        <f t="shared" si="8"/>
        <v>  -   </v>
      </c>
      <c r="S22" s="64" t="str">
        <f>'Q1)Cashflows'!AD37</f>
        <v>  -2,390,087,824 </v>
      </c>
      <c r="T22" s="64" t="str">
        <f t="shared" si="9"/>
        <v>  -365,258,424 </v>
      </c>
    </row>
    <row r="23" ht="14.25" customHeight="1">
      <c r="A23" s="56">
        <v>19.0</v>
      </c>
      <c r="B23" s="56">
        <v>2041.0</v>
      </c>
      <c r="C23" s="56" t="str">
        <f>'Q1)Cashflows'!C38</f>
        <v>0</v>
      </c>
      <c r="D23" s="75" t="str">
        <f t="shared" si="1"/>
        <v>0</v>
      </c>
      <c r="E23" s="62" t="str">
        <f>'Q1)Cashflows'!D38</f>
        <v>  -   </v>
      </c>
      <c r="F23" s="62" t="str">
        <f t="shared" si="2"/>
        <v>  -   </v>
      </c>
      <c r="G23" s="62" t="str">
        <f>'Q1)Cashflows'!N38</f>
        <v>  43,707,920,670 </v>
      </c>
      <c r="H23" s="62" t="str">
        <f t="shared" si="3"/>
        <v>  6,017,603,230 </v>
      </c>
      <c r="I23" s="64" t="str">
        <f>'Q1)Cashflows'!S38</f>
        <v>  -19,110,771,454 </v>
      </c>
      <c r="J23" s="64" t="str">
        <f t="shared" si="4"/>
        <v>  -2,631,125,852 </v>
      </c>
      <c r="K23" s="67">
        <v>0.0</v>
      </c>
      <c r="L23" s="67" t="str">
        <f t="shared" si="5"/>
        <v>  -   </v>
      </c>
      <c r="M23" s="64" t="str">
        <f>'Q1)Cashflows'!V38</f>
        <v>  -2,690,999,980 </v>
      </c>
      <c r="N23" s="64" t="str">
        <f t="shared" si="6"/>
        <v>  -370,490,518 </v>
      </c>
      <c r="O23" s="64" t="str">
        <f>'Q1)Cashflows'!X38</f>
        <v>  -7,115,885,823 </v>
      </c>
      <c r="P23" s="64" t="str">
        <f t="shared" si="7"/>
        <v>  -979,698,344 </v>
      </c>
      <c r="Q23" s="67">
        <v>0.0</v>
      </c>
      <c r="R23" s="62" t="str">
        <f t="shared" si="8"/>
        <v>  -   </v>
      </c>
      <c r="S23" s="64" t="str">
        <f>'Q1)Cashflows'!AD38</f>
        <v>  -2,622,475,240 </v>
      </c>
      <c r="T23" s="64" t="str">
        <f t="shared" si="9"/>
        <v>  -361,056,194 </v>
      </c>
    </row>
    <row r="24" ht="14.25" customHeight="1">
      <c r="A24" s="56">
        <v>20.0</v>
      </c>
      <c r="B24" s="56">
        <v>2042.0</v>
      </c>
      <c r="C24" s="56" t="str">
        <f>'Q1)Cashflows'!C39</f>
        <v>0</v>
      </c>
      <c r="D24" s="75" t="str">
        <f t="shared" si="1"/>
        <v>0</v>
      </c>
      <c r="E24" s="62">
        <v>2.0E8</v>
      </c>
      <c r="F24" s="62" t="str">
        <f t="shared" si="2"/>
        <v>  24,806,781 </v>
      </c>
      <c r="G24" s="62" t="str">
        <f>'Q1)Cashflows'!N39</f>
        <v>  47,982,538,998 </v>
      </c>
      <c r="H24" s="62" t="str">
        <f t="shared" si="3"/>
        <v>  5,951,461,784 </v>
      </c>
      <c r="I24" s="64" t="str">
        <f>'Q1)Cashflows'!S39</f>
        <v>  -21,043,574,580 </v>
      </c>
      <c r="J24" s="64" t="str">
        <f t="shared" si="4"/>
        <v>  -2,610,116,774 </v>
      </c>
      <c r="K24" s="64" t="str">
        <f>'Q1)Cashflows'!T39</f>
        <v>  -808,113,004 </v>
      </c>
      <c r="L24" s="64" t="str">
        <f t="shared" si="5"/>
        <v>  -100,233,413 </v>
      </c>
      <c r="M24" s="64" t="str">
        <f>'Q1)Cashflows'!V39</f>
        <v>  -2,960,099,978 </v>
      </c>
      <c r="N24" s="64" t="str">
        <f t="shared" si="6"/>
        <v>  -367,152,766 </v>
      </c>
      <c r="O24" s="64" t="str">
        <f>'Q1)Cashflows'!X39</f>
        <v>  -8,183,268,696 </v>
      </c>
      <c r="P24" s="64" t="str">
        <f t="shared" si="7"/>
        <v>  -1,015,002,789 </v>
      </c>
      <c r="Q24" s="62" t="str">
        <f>'Q1)Cashflows'!AC39</f>
        <v>  4,798,253,900 </v>
      </c>
      <c r="R24" s="62" t="str">
        <f t="shared" si="8"/>
        <v>  595,146,178 </v>
      </c>
      <c r="S24" s="64" t="str">
        <f>'Q1)Cashflows'!AD39</f>
        <v>  -2,878,952,340 </v>
      </c>
      <c r="T24" s="64" t="str">
        <f t="shared" si="9"/>
        <v>  -357,087,707 </v>
      </c>
    </row>
    <row r="25" ht="14.25" customHeight="1">
      <c r="C25" s="77"/>
      <c r="D25" s="77" t="str">
        <f>SUM(D4:D24)</f>
        <v>  -1,500,000,000 </v>
      </c>
      <c r="E25" s="77"/>
      <c r="F25" s="77" t="str">
        <f>SUM(F4:F24)</f>
        <v>  -975,193,219 </v>
      </c>
      <c r="G25" s="77"/>
      <c r="H25" s="77" t="str">
        <f>SUM(H4:H24)</f>
        <v>  145,367,578,367 </v>
      </c>
      <c r="I25" s="77"/>
      <c r="J25" s="77" t="str">
        <f>SUM(J4:J24)</f>
        <v>  -61,588,658,704 </v>
      </c>
      <c r="K25" s="77"/>
      <c r="L25" s="77" t="str">
        <f>SUM(L4:L24)</f>
        <v>  -519,725,241 </v>
      </c>
      <c r="M25" s="77"/>
      <c r="N25" s="77" t="str">
        <f>SUM(N4:N24)</f>
        <v>  -8,453,195,783 </v>
      </c>
      <c r="O25" s="77"/>
      <c r="P25" s="77" t="str">
        <f>SUM(P4:P24)</f>
        <v>  -15,306,330,189 </v>
      </c>
      <c r="Q25" s="77"/>
      <c r="R25" s="77" t="str">
        <f>SUM(R4:R24)</f>
        <v>  595,146,178 </v>
      </c>
      <c r="S25" s="77"/>
      <c r="T25" s="77" t="str">
        <f>SUM(T4:T24)</f>
        <v>  -8,722,054,702 </v>
      </c>
    </row>
    <row r="26" ht="14.25" customHeight="1"/>
    <row r="27" ht="14.25" customHeight="1">
      <c r="C27" s="56" t="s">
        <v>41</v>
      </c>
      <c r="D27" s="67" t="str">
        <f>SUM(D25:T25)</f>
        <v>  48,897,566,709 </v>
      </c>
    </row>
    <row r="28" ht="14.25" customHeight="1">
      <c r="C28" s="56" t="s">
        <v>42</v>
      </c>
      <c r="D28" s="76">
        <v>0.96</v>
      </c>
    </row>
    <row r="29" ht="14.25" customHeight="1">
      <c r="A29" t="s">
        <v>43</v>
      </c>
    </row>
    <row r="30" ht="14.25" customHeight="1">
      <c r="A30" s="78" t="s">
        <v>44</v>
      </c>
    </row>
    <row r="31" ht="14.25" customHeight="1">
      <c r="A31" t="s">
        <v>45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30:G30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Q1)Cashflows</vt:lpstr>
      <vt:lpstr>Q2)</vt:lpstr>
      <vt:lpstr>Q3)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Tirth Parmar</dc:creator>
  <cp:lastModifiedBy>Tirth Parmar</cp:lastModifiedBy>
  <dcterms:modified xsi:type="dcterms:W3CDTF">2022-02-20T14:26:51Z</dcterms:modified>
</cp:coreProperties>
</file>