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Life tables" sheetId="1" r:id="rId1"/>
    <sheet name="Parameters" sheetId="2" r:id="rId2"/>
    <sheet name="Term 30" sheetId="4" r:id="rId3"/>
    <sheet name="Term 40" sheetId="5" r:id="rId4"/>
    <sheet name="Term 50" sheetId="6" r:id="rId5"/>
    <sheet name="Graphs" sheetId="7" r:id="rId6"/>
  </sheets>
  <definedNames>
    <definedName name="age">Parameters!$F$4</definedName>
    <definedName name="d_12" localSheetId="2">'Term 30'!$B$5</definedName>
    <definedName name="d_12" localSheetId="3">'Term 40'!$B$5</definedName>
    <definedName name="d_12" localSheetId="4">'Term 50'!$B$5</definedName>
    <definedName name="d_12">#REF!</definedName>
    <definedName name="inifixed">Parameters!$B$6</definedName>
    <definedName name="inivari">Parameters!$B$7</definedName>
    <definedName name="int">Parameters!$J$4</definedName>
    <definedName name="monthly_conv">Parameters!$J$11</definedName>
    <definedName name="p" localSheetId="3">'Term 40'!$K$3</definedName>
    <definedName name="p" localSheetId="4">'Term 50'!$K$3</definedName>
    <definedName name="p">'Term 30'!$K$3</definedName>
    <definedName name="ppt_30">Parameters!$J$6</definedName>
    <definedName name="ppt_40">Parameters!$J$7</definedName>
    <definedName name="ppt_50">Parameters!$J$8</definedName>
    <definedName name="renewfix">Parameters!$B$10</definedName>
    <definedName name="renewvari">Parameters!$B$11</definedName>
    <definedName name="sumassured">Parameters!$B$13</definedName>
    <definedName name="term30">Parameters!$F$6</definedName>
    <definedName name="term40">Parameters!$F$7</definedName>
    <definedName name="term50">Parameters!$F$8</definedName>
    <definedName name="v" localSheetId="2">'Term 30'!$B$4</definedName>
    <definedName name="v" localSheetId="3">'Term 40'!$B$4</definedName>
    <definedName name="v" localSheetId="4">'Term 50'!$B$4</definedName>
    <definedName name="v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9" i="4" l="1"/>
  <c r="M49" i="5"/>
  <c r="M59" i="6"/>
  <c r="E54" i="7"/>
  <c r="D44" i="7"/>
  <c r="C34" i="7"/>
  <c r="K60" i="5"/>
  <c r="K59" i="5"/>
  <c r="H59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9" i="6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9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J59" i="6"/>
  <c r="I59" i="6"/>
  <c r="G59" i="6"/>
  <c r="C59" i="6"/>
  <c r="C58" i="6"/>
  <c r="C57" i="6"/>
  <c r="Q50" i="6" s="1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10" i="6"/>
  <c r="I9" i="6"/>
  <c r="C9" i="6"/>
  <c r="K4" i="6"/>
  <c r="J9" i="6" s="1"/>
  <c r="B4" i="6"/>
  <c r="B3" i="6"/>
  <c r="J49" i="5"/>
  <c r="I49" i="5"/>
  <c r="H49" i="5"/>
  <c r="G49" i="5"/>
  <c r="C13" i="5"/>
  <c r="C12" i="5"/>
  <c r="C11" i="5"/>
  <c r="C10" i="5"/>
  <c r="I9" i="5"/>
  <c r="C9" i="5"/>
  <c r="K4" i="5"/>
  <c r="J9" i="5" s="1"/>
  <c r="B4" i="5"/>
  <c r="B3" i="5"/>
  <c r="M58" i="6" l="1"/>
  <c r="E53" i="7" s="1"/>
  <c r="K59" i="6"/>
  <c r="L59" i="6" s="1"/>
  <c r="K9" i="5"/>
  <c r="F58" i="6"/>
  <c r="G58" i="6" s="1"/>
  <c r="K9" i="6"/>
  <c r="E58" i="6"/>
  <c r="F48" i="5"/>
  <c r="F47" i="5" s="1"/>
  <c r="F46" i="5" s="1"/>
  <c r="F45" i="5" s="1"/>
  <c r="F44" i="5" s="1"/>
  <c r="F43" i="5" s="1"/>
  <c r="F42" i="5" s="1"/>
  <c r="F41" i="5" s="1"/>
  <c r="F40" i="5" s="1"/>
  <c r="F39" i="5" s="1"/>
  <c r="F38" i="5" s="1"/>
  <c r="F37" i="5" s="1"/>
  <c r="F36" i="5" s="1"/>
  <c r="F35" i="5" s="1"/>
  <c r="F34" i="5" s="1"/>
  <c r="F33" i="5" s="1"/>
  <c r="F32" i="5" s="1"/>
  <c r="F31" i="5" s="1"/>
  <c r="F30" i="5" s="1"/>
  <c r="F29" i="5" s="1"/>
  <c r="F28" i="5" s="1"/>
  <c r="F27" i="5" s="1"/>
  <c r="F26" i="5" s="1"/>
  <c r="F25" i="5" s="1"/>
  <c r="F24" i="5" s="1"/>
  <c r="K49" i="5"/>
  <c r="L49" i="5" s="1"/>
  <c r="M48" i="5"/>
  <c r="E48" i="5"/>
  <c r="E47" i="5" s="1"/>
  <c r="E46" i="5" s="1"/>
  <c r="E45" i="5" s="1"/>
  <c r="E44" i="5" s="1"/>
  <c r="E43" i="5" s="1"/>
  <c r="E42" i="5" s="1"/>
  <c r="E41" i="5" s="1"/>
  <c r="E40" i="5" s="1"/>
  <c r="E39" i="5" s="1"/>
  <c r="E38" i="5" s="1"/>
  <c r="E37" i="5" s="1"/>
  <c r="E36" i="5" s="1"/>
  <c r="E35" i="5" s="1"/>
  <c r="E34" i="5" s="1"/>
  <c r="E33" i="5" s="1"/>
  <c r="E32" i="5" s="1"/>
  <c r="E31" i="5" s="1"/>
  <c r="E30" i="5" s="1"/>
  <c r="E29" i="5" s="1"/>
  <c r="E28" i="5" s="1"/>
  <c r="E27" i="5" s="1"/>
  <c r="E26" i="5" s="1"/>
  <c r="E25" i="5" s="1"/>
  <c r="E24" i="5" s="1"/>
  <c r="J39" i="4"/>
  <c r="I39" i="4"/>
  <c r="I9" i="4"/>
  <c r="H39" i="4"/>
  <c r="G39" i="4"/>
  <c r="K4" i="4"/>
  <c r="J9" i="4" s="1"/>
  <c r="J11" i="2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M38" i="4" s="1"/>
  <c r="C33" i="7" s="1"/>
  <c r="C39" i="4"/>
  <c r="C9" i="4"/>
  <c r="B4" i="4"/>
  <c r="B3" i="4"/>
  <c r="M47" i="5" l="1"/>
  <c r="D43" i="7"/>
  <c r="M57" i="6"/>
  <c r="E52" i="7" s="1"/>
  <c r="N58" i="6"/>
  <c r="F57" i="6"/>
  <c r="F56" i="6" s="1"/>
  <c r="F23" i="5"/>
  <c r="G24" i="5"/>
  <c r="J58" i="6"/>
  <c r="I58" i="6"/>
  <c r="H58" i="6"/>
  <c r="E57" i="6"/>
  <c r="E23" i="5"/>
  <c r="J24" i="5"/>
  <c r="I24" i="5"/>
  <c r="H24" i="5"/>
  <c r="K9" i="4"/>
  <c r="G48" i="5"/>
  <c r="J48" i="5"/>
  <c r="I48" i="5"/>
  <c r="H48" i="5"/>
  <c r="N48" i="5"/>
  <c r="G47" i="5"/>
  <c r="M37" i="4"/>
  <c r="N38" i="4"/>
  <c r="K39" i="4"/>
  <c r="L39" i="4" s="1"/>
  <c r="F38" i="4"/>
  <c r="F37" i="4" s="1"/>
  <c r="E38" i="4"/>
  <c r="N37" i="4" l="1"/>
  <c r="C32" i="7"/>
  <c r="M46" i="5"/>
  <c r="D42" i="7"/>
  <c r="M56" i="6"/>
  <c r="N57" i="6"/>
  <c r="G57" i="6"/>
  <c r="F55" i="6"/>
  <c r="G56" i="6"/>
  <c r="E56" i="6"/>
  <c r="J57" i="6"/>
  <c r="I57" i="6"/>
  <c r="H57" i="6"/>
  <c r="K58" i="6"/>
  <c r="L58" i="6" s="1"/>
  <c r="K24" i="5"/>
  <c r="L24" i="5" s="1"/>
  <c r="E22" i="5"/>
  <c r="I23" i="5"/>
  <c r="J23" i="5"/>
  <c r="H23" i="5"/>
  <c r="F22" i="5"/>
  <c r="G23" i="5"/>
  <c r="J47" i="5"/>
  <c r="H47" i="5"/>
  <c r="I47" i="5"/>
  <c r="K48" i="5"/>
  <c r="L48" i="5" s="1"/>
  <c r="G46" i="5"/>
  <c r="N47" i="5"/>
  <c r="G38" i="4"/>
  <c r="M36" i="4"/>
  <c r="C31" i="7" s="1"/>
  <c r="E37" i="4"/>
  <c r="I38" i="4"/>
  <c r="H38" i="4"/>
  <c r="J38" i="4"/>
  <c r="F36" i="4"/>
  <c r="G37" i="4"/>
  <c r="N56" i="6" l="1"/>
  <c r="E51" i="7"/>
  <c r="M45" i="5"/>
  <c r="D41" i="7"/>
  <c r="M55" i="6"/>
  <c r="F21" i="5"/>
  <c r="G22" i="5"/>
  <c r="K23" i="5"/>
  <c r="L23" i="5" s="1"/>
  <c r="K57" i="6"/>
  <c r="L57" i="6" s="1"/>
  <c r="E55" i="6"/>
  <c r="J56" i="6"/>
  <c r="I56" i="6"/>
  <c r="H56" i="6"/>
  <c r="E21" i="5"/>
  <c r="H22" i="5"/>
  <c r="J22" i="5"/>
  <c r="I22" i="5"/>
  <c r="F54" i="6"/>
  <c r="G55" i="6"/>
  <c r="K47" i="5"/>
  <c r="L47" i="5" s="1"/>
  <c r="N46" i="5"/>
  <c r="J46" i="5"/>
  <c r="I46" i="5"/>
  <c r="H46" i="5"/>
  <c r="K38" i="4"/>
  <c r="L38" i="4" s="1"/>
  <c r="G45" i="5"/>
  <c r="M35" i="4"/>
  <c r="N36" i="4"/>
  <c r="F35" i="4"/>
  <c r="G36" i="4"/>
  <c r="E36" i="4"/>
  <c r="J37" i="4"/>
  <c r="I37" i="4"/>
  <c r="H37" i="4"/>
  <c r="N55" i="6" l="1"/>
  <c r="E50" i="7"/>
  <c r="M44" i="5"/>
  <c r="D40" i="7"/>
  <c r="N35" i="4"/>
  <c r="C30" i="7"/>
  <c r="M54" i="6"/>
  <c r="F53" i="6"/>
  <c r="G54" i="6"/>
  <c r="K56" i="6"/>
  <c r="L56" i="6" s="1"/>
  <c r="E54" i="6"/>
  <c r="I55" i="6"/>
  <c r="J55" i="6"/>
  <c r="H55" i="6"/>
  <c r="K22" i="5"/>
  <c r="L22" i="5" s="1"/>
  <c r="E20" i="5"/>
  <c r="J21" i="5"/>
  <c r="I21" i="5"/>
  <c r="H21" i="5"/>
  <c r="F20" i="5"/>
  <c r="G21" i="5"/>
  <c r="K46" i="5"/>
  <c r="L46" i="5" s="1"/>
  <c r="J45" i="5"/>
  <c r="H45" i="5"/>
  <c r="I45" i="5"/>
  <c r="G44" i="5"/>
  <c r="N45" i="5"/>
  <c r="M34" i="4"/>
  <c r="K37" i="4"/>
  <c r="L37" i="4" s="1"/>
  <c r="E35" i="4"/>
  <c r="I36" i="4"/>
  <c r="H36" i="4"/>
  <c r="J36" i="4"/>
  <c r="F34" i="4"/>
  <c r="G35" i="4"/>
  <c r="N54" i="6" l="1"/>
  <c r="E49" i="7"/>
  <c r="N34" i="4"/>
  <c r="C29" i="7"/>
  <c r="M43" i="5"/>
  <c r="D39" i="7"/>
  <c r="K55" i="6"/>
  <c r="L55" i="6" s="1"/>
  <c r="M53" i="6"/>
  <c r="K36" i="4"/>
  <c r="L36" i="4" s="1"/>
  <c r="E53" i="6"/>
  <c r="J54" i="6"/>
  <c r="I54" i="6"/>
  <c r="H54" i="6"/>
  <c r="K21" i="5"/>
  <c r="L21" i="5" s="1"/>
  <c r="F19" i="5"/>
  <c r="G20" i="5"/>
  <c r="E19" i="5"/>
  <c r="I20" i="5"/>
  <c r="J20" i="5"/>
  <c r="H20" i="5"/>
  <c r="F52" i="6"/>
  <c r="G53" i="6"/>
  <c r="K45" i="5"/>
  <c r="L45" i="5" s="1"/>
  <c r="J44" i="5"/>
  <c r="I44" i="5"/>
  <c r="H44" i="5"/>
  <c r="G43" i="5"/>
  <c r="N44" i="5"/>
  <c r="M33" i="4"/>
  <c r="F33" i="4"/>
  <c r="G34" i="4"/>
  <c r="E34" i="4"/>
  <c r="I35" i="4"/>
  <c r="H35" i="4"/>
  <c r="J35" i="4"/>
  <c r="N33" i="4" l="1"/>
  <c r="C28" i="7"/>
  <c r="M42" i="5"/>
  <c r="D38" i="7"/>
  <c r="N53" i="6"/>
  <c r="E48" i="7"/>
  <c r="M52" i="6"/>
  <c r="E18" i="5"/>
  <c r="I19" i="5"/>
  <c r="H19" i="5"/>
  <c r="J19" i="5"/>
  <c r="F18" i="5"/>
  <c r="G19" i="5"/>
  <c r="F51" i="6"/>
  <c r="G52" i="6"/>
  <c r="K20" i="5"/>
  <c r="L20" i="5" s="1"/>
  <c r="K54" i="6"/>
  <c r="L54" i="6" s="1"/>
  <c r="E52" i="6"/>
  <c r="J53" i="6"/>
  <c r="I53" i="6"/>
  <c r="H53" i="6"/>
  <c r="G42" i="5"/>
  <c r="I43" i="5"/>
  <c r="J43" i="5"/>
  <c r="H43" i="5"/>
  <c r="K44" i="5"/>
  <c r="L44" i="5" s="1"/>
  <c r="K35" i="4"/>
  <c r="L35" i="4" s="1"/>
  <c r="N43" i="5"/>
  <c r="M32" i="4"/>
  <c r="E33" i="4"/>
  <c r="J34" i="4"/>
  <c r="H34" i="4"/>
  <c r="I34" i="4"/>
  <c r="F32" i="4"/>
  <c r="G33" i="4"/>
  <c r="N52" i="6" l="1"/>
  <c r="E47" i="7"/>
  <c r="M41" i="5"/>
  <c r="D37" i="7"/>
  <c r="N32" i="4"/>
  <c r="C27" i="7"/>
  <c r="K19" i="5"/>
  <c r="L19" i="5" s="1"/>
  <c r="M51" i="6"/>
  <c r="F17" i="5"/>
  <c r="G18" i="5"/>
  <c r="K53" i="6"/>
  <c r="L53" i="6" s="1"/>
  <c r="E51" i="6"/>
  <c r="J52" i="6"/>
  <c r="I52" i="6"/>
  <c r="H52" i="6"/>
  <c r="F50" i="6"/>
  <c r="G51" i="6"/>
  <c r="E17" i="5"/>
  <c r="H18" i="5"/>
  <c r="I18" i="5"/>
  <c r="J18" i="5"/>
  <c r="K43" i="5"/>
  <c r="L43" i="5" s="1"/>
  <c r="J42" i="5"/>
  <c r="I42" i="5"/>
  <c r="H42" i="5"/>
  <c r="N42" i="5"/>
  <c r="G41" i="5"/>
  <c r="K34" i="4"/>
  <c r="L34" i="4" s="1"/>
  <c r="M31" i="4"/>
  <c r="F31" i="4"/>
  <c r="G32" i="4"/>
  <c r="E32" i="4"/>
  <c r="J33" i="4"/>
  <c r="I33" i="4"/>
  <c r="H33" i="4"/>
  <c r="N51" i="6" l="1"/>
  <c r="E46" i="7"/>
  <c r="N31" i="4"/>
  <c r="C26" i="7"/>
  <c r="M40" i="5"/>
  <c r="N40" i="5" s="1"/>
  <c r="D36" i="7"/>
  <c r="M50" i="6"/>
  <c r="K18" i="5"/>
  <c r="L18" i="5" s="1"/>
  <c r="K52" i="6"/>
  <c r="L52" i="6" s="1"/>
  <c r="E50" i="6"/>
  <c r="J51" i="6"/>
  <c r="I51" i="6"/>
  <c r="H51" i="6"/>
  <c r="E16" i="5"/>
  <c r="H17" i="5"/>
  <c r="I17" i="5"/>
  <c r="J17" i="5"/>
  <c r="F49" i="6"/>
  <c r="G50" i="6"/>
  <c r="F16" i="5"/>
  <c r="G17" i="5"/>
  <c r="K42" i="5"/>
  <c r="L42" i="5" s="1"/>
  <c r="N41" i="5"/>
  <c r="J41" i="5"/>
  <c r="H41" i="5"/>
  <c r="I41" i="5"/>
  <c r="G40" i="5"/>
  <c r="K33" i="4"/>
  <c r="L33" i="4" s="1"/>
  <c r="M30" i="4"/>
  <c r="C25" i="7" s="1"/>
  <c r="F30" i="4"/>
  <c r="G31" i="4"/>
  <c r="E31" i="4"/>
  <c r="J32" i="4"/>
  <c r="I32" i="4"/>
  <c r="H32" i="4"/>
  <c r="N50" i="6" l="1"/>
  <c r="E45" i="7"/>
  <c r="M39" i="5"/>
  <c r="N39" i="5" s="1"/>
  <c r="D35" i="7"/>
  <c r="M49" i="6"/>
  <c r="E15" i="5"/>
  <c r="I16" i="5"/>
  <c r="H16" i="5"/>
  <c r="J16" i="5"/>
  <c r="F15" i="5"/>
  <c r="G16" i="5"/>
  <c r="F48" i="6"/>
  <c r="G49" i="6"/>
  <c r="K51" i="6"/>
  <c r="L51" i="6" s="1"/>
  <c r="E49" i="6"/>
  <c r="J50" i="6"/>
  <c r="I50" i="6"/>
  <c r="H50" i="6"/>
  <c r="K17" i="5"/>
  <c r="L17" i="5" s="1"/>
  <c r="K41" i="5"/>
  <c r="L41" i="5" s="1"/>
  <c r="J40" i="5"/>
  <c r="I40" i="5"/>
  <c r="H40" i="5"/>
  <c r="G39" i="5"/>
  <c r="M29" i="4"/>
  <c r="K32" i="4"/>
  <c r="L32" i="4" s="1"/>
  <c r="N30" i="4"/>
  <c r="E30" i="4"/>
  <c r="I31" i="4"/>
  <c r="H31" i="4"/>
  <c r="J31" i="4"/>
  <c r="F29" i="4"/>
  <c r="G30" i="4"/>
  <c r="N49" i="6" l="1"/>
  <c r="E44" i="7"/>
  <c r="N29" i="4"/>
  <c r="C24" i="7"/>
  <c r="M38" i="5"/>
  <c r="D34" i="7"/>
  <c r="K16" i="5"/>
  <c r="L16" i="5" s="1"/>
  <c r="M48" i="6"/>
  <c r="F14" i="5"/>
  <c r="F13" i="5" s="1"/>
  <c r="F12" i="5" s="1"/>
  <c r="F11" i="5" s="1"/>
  <c r="F10" i="5" s="1"/>
  <c r="F9" i="5" s="1"/>
  <c r="G15" i="5"/>
  <c r="E48" i="6"/>
  <c r="H49" i="6"/>
  <c r="J49" i="6"/>
  <c r="I49" i="6"/>
  <c r="K50" i="6"/>
  <c r="L50" i="6" s="1"/>
  <c r="E14" i="5"/>
  <c r="E13" i="5" s="1"/>
  <c r="E12" i="5" s="1"/>
  <c r="E11" i="5" s="1"/>
  <c r="E10" i="5" s="1"/>
  <c r="E9" i="5" s="1"/>
  <c r="J15" i="5"/>
  <c r="I15" i="5"/>
  <c r="H15" i="5"/>
  <c r="F47" i="6"/>
  <c r="G48" i="6"/>
  <c r="K40" i="5"/>
  <c r="L40" i="5" s="1"/>
  <c r="G38" i="5"/>
  <c r="J39" i="5"/>
  <c r="H39" i="5"/>
  <c r="I39" i="5"/>
  <c r="K31" i="4"/>
  <c r="L31" i="4" s="1"/>
  <c r="M28" i="4"/>
  <c r="F28" i="4"/>
  <c r="G29" i="4"/>
  <c r="E29" i="4"/>
  <c r="I30" i="4"/>
  <c r="H30" i="4"/>
  <c r="J30" i="4"/>
  <c r="M37" i="5" l="1"/>
  <c r="D33" i="7"/>
  <c r="N28" i="4"/>
  <c r="C23" i="7"/>
  <c r="N48" i="6"/>
  <c r="E43" i="7"/>
  <c r="M47" i="6"/>
  <c r="K49" i="6"/>
  <c r="L49" i="6" s="1"/>
  <c r="F46" i="6"/>
  <c r="G47" i="6"/>
  <c r="E47" i="6"/>
  <c r="J48" i="6"/>
  <c r="I48" i="6"/>
  <c r="H48" i="6"/>
  <c r="K15" i="5"/>
  <c r="L15" i="5" s="1"/>
  <c r="K39" i="5"/>
  <c r="L39" i="5" s="1"/>
  <c r="J38" i="5"/>
  <c r="I38" i="5"/>
  <c r="H38" i="5"/>
  <c r="K30" i="4"/>
  <c r="L30" i="4" s="1"/>
  <c r="G37" i="5"/>
  <c r="N38" i="5"/>
  <c r="M27" i="4"/>
  <c r="E28" i="4"/>
  <c r="J29" i="4"/>
  <c r="I29" i="4"/>
  <c r="H29" i="4"/>
  <c r="F27" i="4"/>
  <c r="G28" i="4"/>
  <c r="N47" i="6" l="1"/>
  <c r="E42" i="7"/>
  <c r="N27" i="4"/>
  <c r="C22" i="7"/>
  <c r="M36" i="5"/>
  <c r="D32" i="7"/>
  <c r="M46" i="6"/>
  <c r="K48" i="6"/>
  <c r="L48" i="6" s="1"/>
  <c r="E46" i="6"/>
  <c r="H47" i="6"/>
  <c r="I47" i="6"/>
  <c r="J47" i="6"/>
  <c r="F45" i="6"/>
  <c r="G46" i="6"/>
  <c r="K38" i="5"/>
  <c r="L38" i="5" s="1"/>
  <c r="G36" i="5"/>
  <c r="J37" i="5"/>
  <c r="H37" i="5"/>
  <c r="I37" i="5"/>
  <c r="N37" i="5"/>
  <c r="M26" i="4"/>
  <c r="F26" i="4"/>
  <c r="G27" i="4"/>
  <c r="K29" i="4"/>
  <c r="L29" i="4" s="1"/>
  <c r="E27" i="4"/>
  <c r="I28" i="4"/>
  <c r="H28" i="4"/>
  <c r="J28" i="4"/>
  <c r="M35" i="5" l="1"/>
  <c r="D31" i="7"/>
  <c r="N46" i="6"/>
  <c r="E41" i="7"/>
  <c r="N26" i="4"/>
  <c r="C21" i="7"/>
  <c r="K47" i="6"/>
  <c r="L47" i="6" s="1"/>
  <c r="M45" i="6"/>
  <c r="F44" i="6"/>
  <c r="G45" i="6"/>
  <c r="E45" i="6"/>
  <c r="J46" i="6"/>
  <c r="I46" i="6"/>
  <c r="H46" i="6"/>
  <c r="K37" i="5"/>
  <c r="L37" i="5" s="1"/>
  <c r="J36" i="5"/>
  <c r="I36" i="5"/>
  <c r="H36" i="5"/>
  <c r="G35" i="5"/>
  <c r="N36" i="5"/>
  <c r="K28" i="4"/>
  <c r="L28" i="4" s="1"/>
  <c r="M25" i="4"/>
  <c r="E26" i="4"/>
  <c r="J27" i="4"/>
  <c r="H27" i="4"/>
  <c r="I27" i="4"/>
  <c r="F25" i="4"/>
  <c r="G26" i="4"/>
  <c r="N25" i="4" l="1"/>
  <c r="C20" i="7"/>
  <c r="N45" i="6"/>
  <c r="E40" i="7"/>
  <c r="M34" i="5"/>
  <c r="D30" i="7"/>
  <c r="M44" i="6"/>
  <c r="E44" i="6"/>
  <c r="J45" i="6"/>
  <c r="I45" i="6"/>
  <c r="H45" i="6"/>
  <c r="K46" i="6"/>
  <c r="L46" i="6" s="1"/>
  <c r="F43" i="6"/>
  <c r="G44" i="6"/>
  <c r="K36" i="5"/>
  <c r="L36" i="5" s="1"/>
  <c r="N35" i="5"/>
  <c r="G34" i="5"/>
  <c r="I35" i="5"/>
  <c r="J35" i="5"/>
  <c r="H35" i="5"/>
  <c r="K27" i="4"/>
  <c r="L27" i="4" s="1"/>
  <c r="M24" i="4"/>
  <c r="F24" i="4"/>
  <c r="G25" i="4"/>
  <c r="E25" i="4"/>
  <c r="J26" i="4"/>
  <c r="H26" i="4"/>
  <c r="I26" i="4"/>
  <c r="N24" i="4" l="1"/>
  <c r="C19" i="7"/>
  <c r="M33" i="5"/>
  <c r="D29" i="7"/>
  <c r="N44" i="6"/>
  <c r="E39" i="7"/>
  <c r="M43" i="6"/>
  <c r="F42" i="6"/>
  <c r="G43" i="6"/>
  <c r="K45" i="6"/>
  <c r="L45" i="6" s="1"/>
  <c r="E43" i="6"/>
  <c r="J44" i="6"/>
  <c r="I44" i="6"/>
  <c r="H44" i="6"/>
  <c r="N34" i="5"/>
  <c r="K35" i="5"/>
  <c r="L35" i="5" s="1"/>
  <c r="J34" i="5"/>
  <c r="I34" i="5"/>
  <c r="H34" i="5"/>
  <c r="G33" i="5"/>
  <c r="M23" i="4"/>
  <c r="E24" i="4"/>
  <c r="I25" i="4"/>
  <c r="H25" i="4"/>
  <c r="J25" i="4"/>
  <c r="K26" i="4"/>
  <c r="L26" i="4" s="1"/>
  <c r="F23" i="4"/>
  <c r="G24" i="4"/>
  <c r="N23" i="4" l="1"/>
  <c r="C18" i="7"/>
  <c r="N43" i="6"/>
  <c r="E38" i="7"/>
  <c r="M32" i="5"/>
  <c r="D28" i="7"/>
  <c r="M42" i="6"/>
  <c r="E42" i="6"/>
  <c r="J43" i="6"/>
  <c r="I43" i="6"/>
  <c r="H43" i="6"/>
  <c r="K44" i="6"/>
  <c r="L44" i="6" s="1"/>
  <c r="F41" i="6"/>
  <c r="G42" i="6"/>
  <c r="N33" i="5"/>
  <c r="K34" i="5"/>
  <c r="L34" i="5" s="1"/>
  <c r="K25" i="4"/>
  <c r="L25" i="4" s="1"/>
  <c r="G32" i="5"/>
  <c r="J33" i="5"/>
  <c r="I33" i="5"/>
  <c r="H33" i="5"/>
  <c r="M22" i="4"/>
  <c r="F22" i="4"/>
  <c r="G23" i="4"/>
  <c r="E23" i="4"/>
  <c r="J24" i="4"/>
  <c r="I24" i="4"/>
  <c r="H24" i="4"/>
  <c r="N22" i="4" l="1"/>
  <c r="C17" i="7"/>
  <c r="M31" i="5"/>
  <c r="D27" i="7"/>
  <c r="N42" i="6"/>
  <c r="E37" i="7"/>
  <c r="M41" i="6"/>
  <c r="F40" i="6"/>
  <c r="G41" i="6"/>
  <c r="K43" i="6"/>
  <c r="L43" i="6" s="1"/>
  <c r="E41" i="6"/>
  <c r="J42" i="6"/>
  <c r="H42" i="6"/>
  <c r="I42" i="6"/>
  <c r="N32" i="5"/>
  <c r="K33" i="5"/>
  <c r="L33" i="5" s="1"/>
  <c r="G31" i="5"/>
  <c r="J32" i="5"/>
  <c r="I32" i="5"/>
  <c r="H32" i="5"/>
  <c r="M21" i="4"/>
  <c r="K24" i="4"/>
  <c r="L24" i="4" s="1"/>
  <c r="E22" i="4"/>
  <c r="H23" i="4"/>
  <c r="I23" i="4"/>
  <c r="J23" i="4"/>
  <c r="F21" i="4"/>
  <c r="G22" i="4"/>
  <c r="N21" i="4" l="1"/>
  <c r="C16" i="7"/>
  <c r="M30" i="5"/>
  <c r="D26" i="7"/>
  <c r="N41" i="6"/>
  <c r="E36" i="7"/>
  <c r="M40" i="6"/>
  <c r="E40" i="6"/>
  <c r="H41" i="6"/>
  <c r="J41" i="6"/>
  <c r="I41" i="6"/>
  <c r="K42" i="6"/>
  <c r="L42" i="6" s="1"/>
  <c r="F39" i="6"/>
  <c r="G40" i="6"/>
  <c r="K32" i="5"/>
  <c r="L32" i="5" s="1"/>
  <c r="N31" i="5"/>
  <c r="K23" i="4"/>
  <c r="L23" i="4" s="1"/>
  <c r="J31" i="5"/>
  <c r="I31" i="5"/>
  <c r="H31" i="5"/>
  <c r="G30" i="5"/>
  <c r="M20" i="4"/>
  <c r="C15" i="7" s="1"/>
  <c r="F20" i="4"/>
  <c r="G21" i="4"/>
  <c r="E21" i="4"/>
  <c r="I22" i="4"/>
  <c r="H22" i="4"/>
  <c r="J22" i="4"/>
  <c r="N40" i="6" l="1"/>
  <c r="E35" i="7"/>
  <c r="M29" i="5"/>
  <c r="D25" i="7"/>
  <c r="M39" i="6"/>
  <c r="F38" i="6"/>
  <c r="G39" i="6"/>
  <c r="K41" i="6"/>
  <c r="L41" i="6" s="1"/>
  <c r="E39" i="6"/>
  <c r="H40" i="6"/>
  <c r="J40" i="6"/>
  <c r="I40" i="6"/>
  <c r="N30" i="5"/>
  <c r="K31" i="5"/>
  <c r="L31" i="5" s="1"/>
  <c r="G29" i="5"/>
  <c r="J30" i="5"/>
  <c r="I30" i="5"/>
  <c r="H30" i="5"/>
  <c r="M19" i="4"/>
  <c r="N20" i="4"/>
  <c r="K22" i="4"/>
  <c r="L22" i="4" s="1"/>
  <c r="E20" i="4"/>
  <c r="I21" i="4"/>
  <c r="H21" i="4"/>
  <c r="J21" i="4"/>
  <c r="F19" i="4"/>
  <c r="G20" i="4"/>
  <c r="N39" i="6" l="1"/>
  <c r="E34" i="7"/>
  <c r="M28" i="5"/>
  <c r="D24" i="7"/>
  <c r="N19" i="4"/>
  <c r="C14" i="7"/>
  <c r="M38" i="6"/>
  <c r="E38" i="6"/>
  <c r="H39" i="6"/>
  <c r="J39" i="6"/>
  <c r="I39" i="6"/>
  <c r="K40" i="6"/>
  <c r="L40" i="6" s="1"/>
  <c r="F37" i="6"/>
  <c r="G38" i="6"/>
  <c r="K30" i="5"/>
  <c r="L30" i="5" s="1"/>
  <c r="N29" i="5"/>
  <c r="J29" i="5"/>
  <c r="I29" i="5"/>
  <c r="H29" i="5"/>
  <c r="G28" i="5"/>
  <c r="K21" i="4"/>
  <c r="L21" i="4" s="1"/>
  <c r="M18" i="4"/>
  <c r="F18" i="4"/>
  <c r="G19" i="4"/>
  <c r="E19" i="4"/>
  <c r="I20" i="4"/>
  <c r="H20" i="4"/>
  <c r="J20" i="4"/>
  <c r="M27" i="5" l="1"/>
  <c r="D23" i="7"/>
  <c r="N38" i="6"/>
  <c r="E33" i="7"/>
  <c r="N18" i="4"/>
  <c r="C13" i="7"/>
  <c r="M37" i="6"/>
  <c r="F36" i="6"/>
  <c r="G37" i="6"/>
  <c r="E37" i="6"/>
  <c r="J38" i="6"/>
  <c r="I38" i="6"/>
  <c r="H38" i="6"/>
  <c r="K39" i="6"/>
  <c r="L39" i="6" s="1"/>
  <c r="N28" i="5"/>
  <c r="K29" i="5"/>
  <c r="L29" i="5" s="1"/>
  <c r="G27" i="5"/>
  <c r="J28" i="5"/>
  <c r="I28" i="5"/>
  <c r="H28" i="5"/>
  <c r="M17" i="4"/>
  <c r="K20" i="4"/>
  <c r="L20" i="4" s="1"/>
  <c r="F17" i="4"/>
  <c r="G18" i="4"/>
  <c r="E18" i="4"/>
  <c r="H19" i="4"/>
  <c r="J19" i="4"/>
  <c r="I19" i="4"/>
  <c r="N37" i="6" l="1"/>
  <c r="E32" i="7"/>
  <c r="N17" i="4"/>
  <c r="C12" i="7"/>
  <c r="M26" i="5"/>
  <c r="D22" i="7"/>
  <c r="M36" i="6"/>
  <c r="K19" i="4"/>
  <c r="L19" i="4" s="1"/>
  <c r="K38" i="6"/>
  <c r="L38" i="6" s="1"/>
  <c r="E36" i="6"/>
  <c r="J37" i="6"/>
  <c r="I37" i="6"/>
  <c r="H37" i="6"/>
  <c r="F35" i="6"/>
  <c r="G36" i="6"/>
  <c r="K28" i="5"/>
  <c r="L28" i="5" s="1"/>
  <c r="J27" i="5"/>
  <c r="I27" i="5"/>
  <c r="H27" i="5"/>
  <c r="N27" i="5"/>
  <c r="G26" i="5"/>
  <c r="M16" i="4"/>
  <c r="E17" i="4"/>
  <c r="J18" i="4"/>
  <c r="I18" i="4"/>
  <c r="H18" i="4"/>
  <c r="F16" i="4"/>
  <c r="G17" i="4"/>
  <c r="N36" i="6" l="1"/>
  <c r="E31" i="7"/>
  <c r="M25" i="5"/>
  <c r="D21" i="7"/>
  <c r="N16" i="4"/>
  <c r="C11" i="7"/>
  <c r="M35" i="6"/>
  <c r="F34" i="6"/>
  <c r="G35" i="6"/>
  <c r="K37" i="6"/>
  <c r="L37" i="6" s="1"/>
  <c r="E35" i="6"/>
  <c r="J36" i="6"/>
  <c r="I36" i="6"/>
  <c r="H36" i="6"/>
  <c r="K27" i="5"/>
  <c r="L27" i="5" s="1"/>
  <c r="N26" i="5"/>
  <c r="G25" i="5"/>
  <c r="J26" i="5"/>
  <c r="I26" i="5"/>
  <c r="H26" i="5"/>
  <c r="K18" i="4"/>
  <c r="L18" i="4" s="1"/>
  <c r="M15" i="4"/>
  <c r="F15" i="4"/>
  <c r="G16" i="4"/>
  <c r="E16" i="4"/>
  <c r="J17" i="4"/>
  <c r="I17" i="4"/>
  <c r="H17" i="4"/>
  <c r="N15" i="4" l="1"/>
  <c r="C10" i="7"/>
  <c r="M24" i="5"/>
  <c r="D20" i="7"/>
  <c r="N35" i="6"/>
  <c r="E30" i="7"/>
  <c r="M34" i="6"/>
  <c r="K36" i="6"/>
  <c r="L36" i="6" s="1"/>
  <c r="E34" i="6"/>
  <c r="J35" i="6"/>
  <c r="I35" i="6"/>
  <c r="H35" i="6"/>
  <c r="F33" i="6"/>
  <c r="G34" i="6"/>
  <c r="K26" i="5"/>
  <c r="L26" i="5" s="1"/>
  <c r="G14" i="5"/>
  <c r="J25" i="5"/>
  <c r="I25" i="5"/>
  <c r="H25" i="5"/>
  <c r="N25" i="5"/>
  <c r="M14" i="4"/>
  <c r="K17" i="4"/>
  <c r="L17" i="4" s="1"/>
  <c r="E15" i="4"/>
  <c r="J16" i="4"/>
  <c r="I16" i="4"/>
  <c r="H16" i="4"/>
  <c r="F14" i="4"/>
  <c r="G15" i="4"/>
  <c r="N34" i="6" l="1"/>
  <c r="E29" i="7"/>
  <c r="M23" i="5"/>
  <c r="D19" i="7"/>
  <c r="N24" i="5"/>
  <c r="N14" i="4"/>
  <c r="C9" i="7"/>
  <c r="M33" i="6"/>
  <c r="F32" i="6"/>
  <c r="G33" i="6"/>
  <c r="K35" i="6"/>
  <c r="L35" i="6" s="1"/>
  <c r="E33" i="6"/>
  <c r="J34" i="6"/>
  <c r="I34" i="6"/>
  <c r="H34" i="6"/>
  <c r="K25" i="5"/>
  <c r="L25" i="5" s="1"/>
  <c r="G13" i="5"/>
  <c r="J14" i="5"/>
  <c r="I14" i="5"/>
  <c r="H14" i="5"/>
  <c r="M13" i="4"/>
  <c r="F13" i="4"/>
  <c r="G14" i="4"/>
  <c r="K16" i="4"/>
  <c r="L16" i="4" s="1"/>
  <c r="E14" i="4"/>
  <c r="I15" i="4"/>
  <c r="H15" i="4"/>
  <c r="J15" i="4"/>
  <c r="N33" i="6" l="1"/>
  <c r="E28" i="7"/>
  <c r="N13" i="4"/>
  <c r="C8" i="7"/>
  <c r="M22" i="5"/>
  <c r="D18" i="7"/>
  <c r="N23" i="5"/>
  <c r="M32" i="6"/>
  <c r="K34" i="6"/>
  <c r="L34" i="6" s="1"/>
  <c r="E32" i="6"/>
  <c r="J33" i="6"/>
  <c r="I33" i="6"/>
  <c r="H33" i="6"/>
  <c r="F31" i="6"/>
  <c r="G32" i="6"/>
  <c r="K14" i="5"/>
  <c r="L14" i="5" s="1"/>
  <c r="G12" i="5"/>
  <c r="I13" i="5"/>
  <c r="J13" i="5"/>
  <c r="H13" i="5"/>
  <c r="K15" i="4"/>
  <c r="L15" i="4" s="1"/>
  <c r="M12" i="4"/>
  <c r="E13" i="4"/>
  <c r="I14" i="4"/>
  <c r="H14" i="4"/>
  <c r="J14" i="4"/>
  <c r="F12" i="4"/>
  <c r="G13" i="4"/>
  <c r="M21" i="5" l="1"/>
  <c r="D17" i="7"/>
  <c r="N22" i="5"/>
  <c r="N12" i="4"/>
  <c r="C7" i="7"/>
  <c r="N32" i="6"/>
  <c r="E27" i="7"/>
  <c r="M31" i="6"/>
  <c r="F30" i="6"/>
  <c r="G31" i="6"/>
  <c r="E31" i="6"/>
  <c r="I32" i="6"/>
  <c r="J32" i="6"/>
  <c r="H32" i="6"/>
  <c r="K33" i="6"/>
  <c r="L33" i="6" s="1"/>
  <c r="J12" i="5"/>
  <c r="I12" i="5"/>
  <c r="H12" i="5"/>
  <c r="K13" i="5"/>
  <c r="L13" i="5" s="1"/>
  <c r="K14" i="4"/>
  <c r="L14" i="4" s="1"/>
  <c r="G11" i="5"/>
  <c r="M11" i="4"/>
  <c r="F11" i="4"/>
  <c r="G12" i="4"/>
  <c r="E12" i="4"/>
  <c r="I13" i="4"/>
  <c r="H13" i="4"/>
  <c r="J13" i="4"/>
  <c r="K13" i="4" s="1"/>
  <c r="L13" i="4" l="1"/>
  <c r="N31" i="6"/>
  <c r="E26" i="7"/>
  <c r="N11" i="4"/>
  <c r="C6" i="7"/>
  <c r="M20" i="5"/>
  <c r="D16" i="7"/>
  <c r="N21" i="5"/>
  <c r="K32" i="6"/>
  <c r="L32" i="6" s="1"/>
  <c r="M30" i="6"/>
  <c r="E30" i="6"/>
  <c r="J31" i="6"/>
  <c r="I31" i="6"/>
  <c r="H31" i="6"/>
  <c r="F29" i="6"/>
  <c r="G30" i="6"/>
  <c r="K12" i="5"/>
  <c r="L12" i="5" s="1"/>
  <c r="J11" i="5"/>
  <c r="I11" i="5"/>
  <c r="H11" i="5"/>
  <c r="G9" i="5"/>
  <c r="G10" i="5"/>
  <c r="M10" i="4"/>
  <c r="E11" i="4"/>
  <c r="I12" i="4"/>
  <c r="H12" i="4"/>
  <c r="J12" i="4"/>
  <c r="F10" i="4"/>
  <c r="G11" i="4"/>
  <c r="N10" i="4" l="1"/>
  <c r="C5" i="7"/>
  <c r="M19" i="5"/>
  <c r="D15" i="7"/>
  <c r="N20" i="5"/>
  <c r="N30" i="6"/>
  <c r="E25" i="7"/>
  <c r="M29" i="6"/>
  <c r="F28" i="6"/>
  <c r="G29" i="6"/>
  <c r="K31" i="6"/>
  <c r="L31" i="6" s="1"/>
  <c r="E29" i="6"/>
  <c r="J30" i="6"/>
  <c r="I30" i="6"/>
  <c r="H30" i="6"/>
  <c r="K12" i="4"/>
  <c r="L12" i="4" s="1"/>
  <c r="K11" i="5"/>
  <c r="L11" i="5" s="1"/>
  <c r="J10" i="5"/>
  <c r="H10" i="5"/>
  <c r="I10" i="5"/>
  <c r="H9" i="5"/>
  <c r="G51" i="5"/>
  <c r="M9" i="4"/>
  <c r="F9" i="4"/>
  <c r="G9" i="4" s="1"/>
  <c r="G10" i="4"/>
  <c r="E10" i="4"/>
  <c r="I11" i="4"/>
  <c r="J11" i="4"/>
  <c r="H11" i="4"/>
  <c r="N29" i="6" l="1"/>
  <c r="E24" i="7"/>
  <c r="M18" i="5"/>
  <c r="D14" i="7"/>
  <c r="N19" i="5"/>
  <c r="N9" i="4"/>
  <c r="C4" i="7"/>
  <c r="M28" i="6"/>
  <c r="K11" i="4"/>
  <c r="L11" i="4" s="1"/>
  <c r="E28" i="6"/>
  <c r="J29" i="6"/>
  <c r="I29" i="6"/>
  <c r="H29" i="6"/>
  <c r="K30" i="6"/>
  <c r="L30" i="6" s="1"/>
  <c r="F27" i="6"/>
  <c r="G28" i="6"/>
  <c r="H51" i="5"/>
  <c r="L9" i="5"/>
  <c r="K10" i="5"/>
  <c r="L10" i="5" s="1"/>
  <c r="E9" i="4"/>
  <c r="H9" i="4" s="1"/>
  <c r="L9" i="4" s="1"/>
  <c r="H10" i="4"/>
  <c r="J10" i="4"/>
  <c r="I10" i="4"/>
  <c r="G41" i="4"/>
  <c r="M17" i="5" l="1"/>
  <c r="D13" i="7"/>
  <c r="N18" i="5"/>
  <c r="N28" i="6"/>
  <c r="E23" i="7"/>
  <c r="K51" i="5"/>
  <c r="M27" i="6"/>
  <c r="F26" i="6"/>
  <c r="G27" i="6"/>
  <c r="K29" i="6"/>
  <c r="L29" i="6" s="1"/>
  <c r="E27" i="6"/>
  <c r="J28" i="6"/>
  <c r="I28" i="6"/>
  <c r="H28" i="6"/>
  <c r="G3" i="5"/>
  <c r="L51" i="5"/>
  <c r="K10" i="4"/>
  <c r="H41" i="4"/>
  <c r="N27" i="6" l="1"/>
  <c r="E22" i="7"/>
  <c r="M16" i="5"/>
  <c r="D12" i="7"/>
  <c r="N17" i="5"/>
  <c r="M26" i="6"/>
  <c r="K28" i="6"/>
  <c r="L28" i="6" s="1"/>
  <c r="E26" i="6"/>
  <c r="J27" i="6"/>
  <c r="I27" i="6"/>
  <c r="H27" i="6"/>
  <c r="F25" i="6"/>
  <c r="G26" i="6"/>
  <c r="K41" i="4"/>
  <c r="L10" i="4"/>
  <c r="M15" i="5" l="1"/>
  <c r="D11" i="7"/>
  <c r="N16" i="5"/>
  <c r="N26" i="6"/>
  <c r="E21" i="7"/>
  <c r="M25" i="6"/>
  <c r="F24" i="6"/>
  <c r="G25" i="6"/>
  <c r="L41" i="4"/>
  <c r="G3" i="4"/>
  <c r="E25" i="6"/>
  <c r="J26" i="6"/>
  <c r="H26" i="6"/>
  <c r="I26" i="6"/>
  <c r="K27" i="6"/>
  <c r="L27" i="6" s="1"/>
  <c r="N25" i="6" l="1"/>
  <c r="E20" i="7"/>
  <c r="M14" i="5"/>
  <c r="D10" i="7"/>
  <c r="N15" i="5"/>
  <c r="M24" i="6"/>
  <c r="K26" i="6"/>
  <c r="L26" i="6" s="1"/>
  <c r="E24" i="6"/>
  <c r="J25" i="6"/>
  <c r="I25" i="6"/>
  <c r="H25" i="6"/>
  <c r="F23" i="6"/>
  <c r="G24" i="6"/>
  <c r="N24" i="6" l="1"/>
  <c r="E19" i="7"/>
  <c r="M13" i="5"/>
  <c r="N13" i="5" s="1"/>
  <c r="D9" i="7"/>
  <c r="N14" i="5"/>
  <c r="M23" i="6"/>
  <c r="F22" i="6"/>
  <c r="G23" i="6"/>
  <c r="E23" i="6"/>
  <c r="J24" i="6"/>
  <c r="I24" i="6"/>
  <c r="H24" i="6"/>
  <c r="K25" i="6"/>
  <c r="L25" i="6" s="1"/>
  <c r="N23" i="6" l="1"/>
  <c r="E18" i="7"/>
  <c r="M12" i="5"/>
  <c r="D8" i="7"/>
  <c r="M22" i="6"/>
  <c r="K24" i="6"/>
  <c r="L24" i="6" s="1"/>
  <c r="E22" i="6"/>
  <c r="I23" i="6"/>
  <c r="J23" i="6"/>
  <c r="H23" i="6"/>
  <c r="F21" i="6"/>
  <c r="G22" i="6"/>
  <c r="N22" i="6" l="1"/>
  <c r="E17" i="7"/>
  <c r="M11" i="5"/>
  <c r="N11" i="5" s="1"/>
  <c r="D7" i="7"/>
  <c r="N12" i="5"/>
  <c r="K23" i="6"/>
  <c r="L23" i="6"/>
  <c r="M21" i="6"/>
  <c r="F20" i="6"/>
  <c r="G21" i="6"/>
  <c r="E21" i="6"/>
  <c r="J22" i="6"/>
  <c r="I22" i="6"/>
  <c r="H22" i="6"/>
  <c r="M10" i="5" l="1"/>
  <c r="N10" i="5" s="1"/>
  <c r="D6" i="7"/>
  <c r="N21" i="6"/>
  <c r="E16" i="7"/>
  <c r="M20" i="6"/>
  <c r="K22" i="6"/>
  <c r="L22" i="6" s="1"/>
  <c r="E20" i="6"/>
  <c r="J21" i="6"/>
  <c r="I21" i="6"/>
  <c r="H21" i="6"/>
  <c r="F19" i="6"/>
  <c r="G20" i="6"/>
  <c r="N20" i="6" l="1"/>
  <c r="E15" i="7"/>
  <c r="D5" i="7"/>
  <c r="M9" i="5"/>
  <c r="D4" i="7" s="1"/>
  <c r="M19" i="6"/>
  <c r="F18" i="6"/>
  <c r="G19" i="6"/>
  <c r="K21" i="6"/>
  <c r="L21" i="6" s="1"/>
  <c r="E19" i="6"/>
  <c r="J20" i="6"/>
  <c r="I20" i="6"/>
  <c r="H20" i="6"/>
  <c r="N9" i="5" l="1"/>
  <c r="N19" i="6"/>
  <c r="E14" i="7"/>
  <c r="M18" i="6"/>
  <c r="K20" i="6"/>
  <c r="L20" i="6" s="1"/>
  <c r="E18" i="6"/>
  <c r="J19" i="6"/>
  <c r="I19" i="6"/>
  <c r="H19" i="6"/>
  <c r="F17" i="6"/>
  <c r="G18" i="6"/>
  <c r="N18" i="6" l="1"/>
  <c r="E13" i="7"/>
  <c r="M17" i="6"/>
  <c r="F16" i="6"/>
  <c r="G17" i="6"/>
  <c r="K19" i="6"/>
  <c r="L19" i="6" s="1"/>
  <c r="E17" i="6"/>
  <c r="J18" i="6"/>
  <c r="H18" i="6"/>
  <c r="I18" i="6"/>
  <c r="N17" i="6" l="1"/>
  <c r="E12" i="7"/>
  <c r="M16" i="6"/>
  <c r="E16" i="6"/>
  <c r="J17" i="6"/>
  <c r="I17" i="6"/>
  <c r="H17" i="6"/>
  <c r="K18" i="6"/>
  <c r="L18" i="6" s="1"/>
  <c r="F15" i="6"/>
  <c r="G16" i="6"/>
  <c r="N16" i="6" l="1"/>
  <c r="E11" i="7"/>
  <c r="M15" i="6"/>
  <c r="F14" i="6"/>
  <c r="G15" i="6"/>
  <c r="K17" i="6"/>
  <c r="L17" i="6" s="1"/>
  <c r="E15" i="6"/>
  <c r="J16" i="6"/>
  <c r="H16" i="6"/>
  <c r="I16" i="6"/>
  <c r="N15" i="6" l="1"/>
  <c r="E10" i="7"/>
  <c r="M14" i="6"/>
  <c r="E14" i="6"/>
  <c r="I15" i="6"/>
  <c r="H15" i="6"/>
  <c r="J15" i="6"/>
  <c r="K16" i="6"/>
  <c r="L16" i="6" s="1"/>
  <c r="F13" i="6"/>
  <c r="G14" i="6"/>
  <c r="N14" i="6" l="1"/>
  <c r="E9" i="7"/>
  <c r="K15" i="6"/>
  <c r="L15" i="6" s="1"/>
  <c r="M13" i="6"/>
  <c r="F12" i="6"/>
  <c r="G13" i="6"/>
  <c r="E13" i="6"/>
  <c r="J14" i="6"/>
  <c r="I14" i="6"/>
  <c r="H14" i="6"/>
  <c r="N13" i="6" l="1"/>
  <c r="E8" i="7"/>
  <c r="M12" i="6"/>
  <c r="K14" i="6"/>
  <c r="L14" i="6" s="1"/>
  <c r="E12" i="6"/>
  <c r="J13" i="6"/>
  <c r="I13" i="6"/>
  <c r="H13" i="6"/>
  <c r="F11" i="6"/>
  <c r="G12" i="6"/>
  <c r="N12" i="6" l="1"/>
  <c r="E7" i="7"/>
  <c r="M11" i="6"/>
  <c r="F10" i="6"/>
  <c r="G11" i="6"/>
  <c r="K13" i="6"/>
  <c r="L13" i="6" s="1"/>
  <c r="E11" i="6"/>
  <c r="J12" i="6"/>
  <c r="I12" i="6"/>
  <c r="H12" i="6"/>
  <c r="N11" i="6" l="1"/>
  <c r="E6" i="7"/>
  <c r="M10" i="6"/>
  <c r="E10" i="6"/>
  <c r="J11" i="6"/>
  <c r="I11" i="6"/>
  <c r="H11" i="6"/>
  <c r="K12" i="6"/>
  <c r="L12" i="6" s="1"/>
  <c r="F9" i="6"/>
  <c r="G9" i="6" s="1"/>
  <c r="G10" i="6"/>
  <c r="N10" i="6" l="1"/>
  <c r="E5" i="7"/>
  <c r="M9" i="6"/>
  <c r="G61" i="6"/>
  <c r="K11" i="6"/>
  <c r="L11" i="6" s="1"/>
  <c r="E9" i="6"/>
  <c r="H9" i="6" s="1"/>
  <c r="J10" i="6"/>
  <c r="H10" i="6"/>
  <c r="I10" i="6"/>
  <c r="N9" i="6" l="1"/>
  <c r="E4" i="7"/>
  <c r="H61" i="6"/>
  <c r="K10" i="6"/>
  <c r="K61" i="6" s="1"/>
  <c r="L9" i="6"/>
  <c r="L10" i="6" l="1"/>
  <c r="G3" i="6" s="1"/>
  <c r="L61" i="6" l="1"/>
</calcChain>
</file>

<file path=xl/sharedStrings.xml><?xml version="1.0" encoding="utf-8"?>
<sst xmlns="http://schemas.openxmlformats.org/spreadsheetml/2006/main" count="97" uniqueCount="49">
  <si>
    <t>IALM 2012-2014</t>
  </si>
  <si>
    <t>-</t>
  </si>
  <si>
    <t>Age</t>
  </si>
  <si>
    <t>qx</t>
  </si>
  <si>
    <t>px</t>
  </si>
  <si>
    <t>Expenses</t>
  </si>
  <si>
    <t>Initial Expenses</t>
  </si>
  <si>
    <t>Fixed</t>
  </si>
  <si>
    <t>Variable</t>
  </si>
  <si>
    <t>Renewal Expenses</t>
  </si>
  <si>
    <t>Sum Assured</t>
  </si>
  <si>
    <t xml:space="preserve">Term </t>
  </si>
  <si>
    <t>years</t>
  </si>
  <si>
    <t>Monthly in advance</t>
  </si>
  <si>
    <t>Parameters</t>
  </si>
  <si>
    <t>assumed</t>
  </si>
  <si>
    <t>of annual premium</t>
  </si>
  <si>
    <t>of monthly premium</t>
  </si>
  <si>
    <t>Premium Payment Term</t>
  </si>
  <si>
    <t>Product</t>
  </si>
  <si>
    <t>Term assurance</t>
  </si>
  <si>
    <t>Interest Rate</t>
  </si>
  <si>
    <t>p.a</t>
  </si>
  <si>
    <t>i</t>
  </si>
  <si>
    <t>v</t>
  </si>
  <si>
    <t>monthly</t>
  </si>
  <si>
    <t>Monthly Premium</t>
  </si>
  <si>
    <t>Annual Premium</t>
  </si>
  <si>
    <t>Policy Duration</t>
  </si>
  <si>
    <t>Current Age</t>
  </si>
  <si>
    <t>Remaining Term</t>
  </si>
  <si>
    <t>Annuity Due factor</t>
  </si>
  <si>
    <t>Term Assurance Factor</t>
  </si>
  <si>
    <t>Monthly conversion</t>
  </si>
  <si>
    <t>EPV of benefits</t>
  </si>
  <si>
    <t>EPV of income</t>
  </si>
  <si>
    <t>EPV of fixed expenses</t>
  </si>
  <si>
    <t>EPV of variable expenses</t>
  </si>
  <si>
    <t>EPV of total expenses</t>
  </si>
  <si>
    <t>Net EPV</t>
  </si>
  <si>
    <t>Sum of EPV</t>
  </si>
  <si>
    <t>Reserves</t>
  </si>
  <si>
    <t>COIIR</t>
  </si>
  <si>
    <t>Calculations for Policy Term 30</t>
  </si>
  <si>
    <t>Calculations for Policy Term 40</t>
  </si>
  <si>
    <t xml:space="preserve"> Calculations for Policy Term 50</t>
  </si>
  <si>
    <t>Term 30</t>
  </si>
  <si>
    <t>Term 40</t>
  </si>
  <si>
    <t>Term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</si>
</sst>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"/>
    <numFmt numFmtId="165" formatCode="0.00000"/>
    <numFmt numFmtId="166" formatCode="0.000000"/>
    <numFmt numFmtId="168" formatCode="#,##0.0000"/>
    <numFmt numFmtId="176" formatCode="&quot;₹&quot;\ 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28"/>
      <color theme="9" tint="-0.249977111117893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7B5A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4" xfId="0" applyFont="1" applyBorder="1"/>
    <xf numFmtId="0" fontId="5" fillId="0" borderId="5" xfId="0" applyFont="1" applyBorder="1"/>
    <xf numFmtId="0" fontId="0" fillId="0" borderId="1" xfId="0" applyBorder="1"/>
    <xf numFmtId="0" fontId="5" fillId="0" borderId="3" xfId="0" applyFont="1" applyBorder="1"/>
    <xf numFmtId="0" fontId="0" fillId="0" borderId="6" xfId="0" applyBorder="1"/>
    <xf numFmtId="0" fontId="5" fillId="0" borderId="7" xfId="0" applyFont="1" applyBorder="1"/>
    <xf numFmtId="0" fontId="5" fillId="0" borderId="10" xfId="0" applyFont="1" applyBorder="1"/>
    <xf numFmtId="0" fontId="5" fillId="0" borderId="12" xfId="0" applyFont="1" applyBorder="1"/>
    <xf numFmtId="0" fontId="0" fillId="0" borderId="5" xfId="0" applyBorder="1"/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2" borderId="4" xfId="0" applyFont="1" applyFill="1" applyBorder="1"/>
    <xf numFmtId="0" fontId="5" fillId="3" borderId="4" xfId="0" applyFont="1" applyFill="1" applyBorder="1"/>
    <xf numFmtId="0" fontId="5" fillId="3" borderId="1" xfId="0" applyFont="1" applyFill="1" applyBorder="1"/>
    <xf numFmtId="0" fontId="5" fillId="2" borderId="6" xfId="0" applyFont="1" applyFill="1" applyBorder="1"/>
    <xf numFmtId="9" fontId="5" fillId="2" borderId="9" xfId="0" applyNumberFormat="1" applyFont="1" applyFill="1" applyBorder="1"/>
    <xf numFmtId="9" fontId="5" fillId="2" borderId="1" xfId="0" applyNumberFormat="1" applyFont="1" applyFill="1" applyBorder="1"/>
    <xf numFmtId="0" fontId="6" fillId="0" borderId="5" xfId="0" applyFont="1" applyBorder="1"/>
    <xf numFmtId="9" fontId="6" fillId="0" borderId="7" xfId="0" applyNumberFormat="1" applyFont="1" applyBorder="1"/>
    <xf numFmtId="0" fontId="5" fillId="3" borderId="8" xfId="0" applyFont="1" applyFill="1" applyBorder="1"/>
    <xf numFmtId="0" fontId="5" fillId="3" borderId="9" xfId="0" applyFont="1" applyFill="1" applyBorder="1"/>
    <xf numFmtId="0" fontId="3" fillId="3" borderId="10" xfId="0" applyFont="1" applyFill="1" applyBorder="1"/>
    <xf numFmtId="0" fontId="3" fillId="4" borderId="10" xfId="0" applyFont="1" applyFill="1" applyBorder="1"/>
    <xf numFmtId="0" fontId="3" fillId="7" borderId="10" xfId="0" applyFont="1" applyFill="1" applyBorder="1"/>
    <xf numFmtId="0" fontId="5" fillId="7" borderId="11" xfId="0" applyFont="1" applyFill="1" applyBorder="1"/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7" borderId="13" xfId="0" applyFont="1" applyFill="1" applyBorder="1" applyAlignment="1">
      <alignment horizontal="center" vertical="center"/>
    </xf>
    <xf numFmtId="0" fontId="5" fillId="7" borderId="8" xfId="0" applyFont="1" applyFill="1" applyBorder="1"/>
    <xf numFmtId="0" fontId="3" fillId="7" borderId="14" xfId="0" applyFont="1" applyFill="1" applyBorder="1" applyAlignment="1">
      <alignment horizontal="center" vertical="center"/>
    </xf>
    <xf numFmtId="0" fontId="5" fillId="7" borderId="1" xfId="0" applyFont="1" applyFill="1" applyBorder="1"/>
    <xf numFmtId="0" fontId="3" fillId="7" borderId="15" xfId="0" applyFont="1" applyFill="1" applyBorder="1" applyAlignment="1">
      <alignment horizontal="center" vertical="center"/>
    </xf>
    <xf numFmtId="0" fontId="5" fillId="7" borderId="9" xfId="0" applyFont="1" applyFill="1" applyBorder="1"/>
    <xf numFmtId="9" fontId="5" fillId="3" borderId="11" xfId="0" applyNumberFormat="1" applyFont="1" applyFill="1" applyBorder="1"/>
    <xf numFmtId="2" fontId="0" fillId="0" borderId="7" xfId="0" applyNumberFormat="1" applyBorder="1"/>
    <xf numFmtId="0" fontId="0" fillId="0" borderId="0" xfId="0" applyBorder="1"/>
    <xf numFmtId="0" fontId="9" fillId="0" borderId="0" xfId="0" applyFont="1" applyFill="1" applyBorder="1" applyAlignment="1">
      <alignment horizontal="center"/>
    </xf>
    <xf numFmtId="166" fontId="0" fillId="0" borderId="1" xfId="0" applyNumberFormat="1" applyBorder="1"/>
    <xf numFmtId="164" fontId="0" fillId="0" borderId="4" xfId="0" applyNumberFormat="1" applyBorder="1"/>
    <xf numFmtId="165" fontId="0" fillId="0" borderId="5" xfId="0" applyNumberFormat="1" applyBorder="1"/>
    <xf numFmtId="164" fontId="0" fillId="0" borderId="6" xfId="0" applyNumberFormat="1" applyBorder="1"/>
    <xf numFmtId="166" fontId="0" fillId="0" borderId="9" xfId="0" applyNumberFormat="1" applyBorder="1"/>
    <xf numFmtId="165" fontId="0" fillId="0" borderId="7" xfId="0" applyNumberFormat="1" applyBorder="1"/>
    <xf numFmtId="164" fontId="0" fillId="0" borderId="18" xfId="0" applyNumberFormat="1" applyBorder="1"/>
    <xf numFmtId="165" fontId="0" fillId="0" borderId="19" xfId="0" applyNumberFormat="1" applyBorder="1"/>
    <xf numFmtId="165" fontId="0" fillId="0" borderId="20" xfId="0" applyNumberForma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2" xfId="0" applyBorder="1"/>
    <xf numFmtId="2" fontId="0" fillId="0" borderId="1" xfId="0" applyNumberFormat="1" applyBorder="1"/>
    <xf numFmtId="2" fontId="0" fillId="0" borderId="3" xfId="0" applyNumberFormat="1" applyBorder="1"/>
    <xf numFmtId="0" fontId="1" fillId="0" borderId="3" xfId="0" applyFont="1" applyBorder="1"/>
    <xf numFmtId="0" fontId="1" fillId="0" borderId="7" xfId="0" applyFont="1" applyBorder="1"/>
    <xf numFmtId="176" fontId="0" fillId="0" borderId="0" xfId="0" applyNumberFormat="1"/>
    <xf numFmtId="0" fontId="0" fillId="0" borderId="10" xfId="0" applyBorder="1"/>
    <xf numFmtId="2" fontId="0" fillId="2" borderId="12" xfId="0" applyNumberFormat="1" applyFill="1" applyBorder="1"/>
    <xf numFmtId="0" fontId="0" fillId="0" borderId="10" xfId="0" applyFill="1" applyBorder="1"/>
    <xf numFmtId="0" fontId="5" fillId="5" borderId="10" xfId="0" applyFont="1" applyFill="1" applyBorder="1"/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176" fontId="0" fillId="0" borderId="1" xfId="0" applyNumberFormat="1" applyBorder="1"/>
    <xf numFmtId="0" fontId="0" fillId="0" borderId="19" xfId="0" applyBorder="1"/>
    <xf numFmtId="2" fontId="0" fillId="0" borderId="19" xfId="0" applyNumberFormat="1" applyBorder="1"/>
    <xf numFmtId="176" fontId="0" fillId="0" borderId="19" xfId="0" applyNumberFormat="1" applyBorder="1"/>
    <xf numFmtId="0" fontId="8" fillId="6" borderId="10" xfId="0" applyFon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168" fontId="0" fillId="6" borderId="11" xfId="0" applyNumberFormat="1" applyFont="1" applyFill="1" applyBorder="1" applyAlignment="1">
      <alignment horizontal="center"/>
    </xf>
    <xf numFmtId="168" fontId="0" fillId="6" borderId="12" xfId="0" applyNumberFormat="1" applyFont="1" applyFill="1" applyBorder="1" applyAlignment="1">
      <alignment horizontal="center"/>
    </xf>
    <xf numFmtId="0" fontId="0" fillId="0" borderId="16" xfId="0" applyBorder="1"/>
    <xf numFmtId="176" fontId="0" fillId="0" borderId="17" xfId="0" applyNumberFormat="1" applyBorder="1"/>
    <xf numFmtId="176" fontId="0" fillId="0" borderId="16" xfId="0" applyNumberFormat="1" applyBorder="1"/>
    <xf numFmtId="176" fontId="0" fillId="0" borderId="1" xfId="0" applyNumberFormat="1" applyFill="1" applyBorder="1"/>
    <xf numFmtId="0" fontId="1" fillId="0" borderId="0" xfId="0" applyFont="1" applyBorder="1"/>
    <xf numFmtId="0" fontId="7" fillId="0" borderId="0" xfId="0" applyFont="1" applyBorder="1" applyAlignment="1">
      <alignment horizontal="center"/>
    </xf>
    <xf numFmtId="166" fontId="5" fillId="5" borderId="12" xfId="0" applyNumberFormat="1" applyFont="1" applyFill="1" applyBorder="1"/>
    <xf numFmtId="176" fontId="5" fillId="4" borderId="1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B5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Reserve chart for all 3 terms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Graphs!$C$3</c:f>
              <c:strCache>
                <c:ptCount val="1"/>
                <c:pt idx="0">
                  <c:v>Term 30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Graphs!$B$4:$B$34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Graphs!$C$4:$C$34</c:f>
              <c:numCache>
                <c:formatCode>"₹"\ #,##0.00</c:formatCode>
                <c:ptCount val="31"/>
                <c:pt idx="0">
                  <c:v>-3157914.5279379515</c:v>
                </c:pt>
                <c:pt idx="1">
                  <c:v>-3131550.6038054852</c:v>
                </c:pt>
                <c:pt idx="2">
                  <c:v>-3069661.4765147269</c:v>
                </c:pt>
                <c:pt idx="3">
                  <c:v>-3005485.8093839628</c:v>
                </c:pt>
                <c:pt idx="4">
                  <c:v>-2938810.8960570148</c:v>
                </c:pt>
                <c:pt idx="5">
                  <c:v>-2869442.8047281015</c:v>
                </c:pt>
                <c:pt idx="6">
                  <c:v>-2797219.5193080744</c:v>
                </c:pt>
                <c:pt idx="7">
                  <c:v>-2721998.7298160917</c:v>
                </c:pt>
                <c:pt idx="8">
                  <c:v>-2643670.7413897449</c:v>
                </c:pt>
                <c:pt idx="9">
                  <c:v>-2562133.7224617228</c:v>
                </c:pt>
                <c:pt idx="10">
                  <c:v>-2477293.6685674097</c:v>
                </c:pt>
                <c:pt idx="11">
                  <c:v>-2389076.7305110237</c:v>
                </c:pt>
                <c:pt idx="12">
                  <c:v>-2297416.9352423321</c:v>
                </c:pt>
                <c:pt idx="13">
                  <c:v>-2202256.0217060084</c:v>
                </c:pt>
                <c:pt idx="14">
                  <c:v>-2103531.1162668732</c:v>
                </c:pt>
                <c:pt idx="15">
                  <c:v>-2001198.4145863231</c:v>
                </c:pt>
                <c:pt idx="16">
                  <c:v>-1895185.3273560605</c:v>
                </c:pt>
                <c:pt idx="17">
                  <c:v>-1785448.9571822665</c:v>
                </c:pt>
                <c:pt idx="18">
                  <c:v>-1671917.3650631388</c:v>
                </c:pt>
                <c:pt idx="19">
                  <c:v>-1554546.9118991112</c:v>
                </c:pt>
                <c:pt idx="20">
                  <c:v>-1433275.9820795155</c:v>
                </c:pt>
                <c:pt idx="21">
                  <c:v>-1308058.4351898024</c:v>
                </c:pt>
                <c:pt idx="22">
                  <c:v>-1178840.5688055069</c:v>
                </c:pt>
                <c:pt idx="23">
                  <c:v>-1045571.5566937483</c:v>
                </c:pt>
                <c:pt idx="24">
                  <c:v>-908213.63162367092</c:v>
                </c:pt>
                <c:pt idx="25">
                  <c:v>-766762.73763980623</c:v>
                </c:pt>
                <c:pt idx="26">
                  <c:v>-621225.9605255411</c:v>
                </c:pt>
                <c:pt idx="27">
                  <c:v>-471651.8274025977</c:v>
                </c:pt>
                <c:pt idx="28">
                  <c:v>-318149.21223783883</c:v>
                </c:pt>
                <c:pt idx="29">
                  <c:v>-160864.61065310019</c:v>
                </c:pt>
                <c:pt idx="3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4A-4951-9C5D-6468D6FCC6F7}"/>
            </c:ext>
          </c:extLst>
        </c:ser>
        <c:ser>
          <c:idx val="1"/>
          <c:order val="1"/>
          <c:tx>
            <c:strRef>
              <c:f>Graphs!$D$3</c:f>
              <c:strCache>
                <c:ptCount val="1"/>
                <c:pt idx="0">
                  <c:v>Term 40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Graphs!$B$4:$B$44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xVal>
          <c:yVal>
            <c:numRef>
              <c:f>Graphs!$D$4:$D$44</c:f>
              <c:numCache>
                <c:formatCode>"₹"\ #,##0.00</c:formatCode>
                <c:ptCount val="41"/>
                <c:pt idx="0">
                  <c:v>-7316248.3500159485</c:v>
                </c:pt>
                <c:pt idx="1">
                  <c:v>-7296064.9589164853</c:v>
                </c:pt>
                <c:pt idx="2">
                  <c:v>-7205901.1687083654</c:v>
                </c:pt>
                <c:pt idx="3">
                  <c:v>-7112371.3174315458</c:v>
                </c:pt>
                <c:pt idx="4">
                  <c:v>-7015180.6197051508</c:v>
                </c:pt>
                <c:pt idx="5">
                  <c:v>-6914058.5882681031</c:v>
                </c:pt>
                <c:pt idx="6">
                  <c:v>-6808776.2172156805</c:v>
                </c:pt>
                <c:pt idx="7">
                  <c:v>-6699129.8249084856</c:v>
                </c:pt>
                <c:pt idx="8">
                  <c:v>-6584957.8845729008</c:v>
                </c:pt>
                <c:pt idx="9">
                  <c:v>-6466108.4177703001</c:v>
                </c:pt>
                <c:pt idx="10">
                  <c:v>-6342438.8632569332</c:v>
                </c:pt>
                <c:pt idx="11">
                  <c:v>-6213832.1185203958</c:v>
                </c:pt>
                <c:pt idx="12">
                  <c:v>-6080180.3265309138</c:v>
                </c:pt>
                <c:pt idx="13">
                  <c:v>-5941384.543168365</c:v>
                </c:pt>
                <c:pt idx="14">
                  <c:v>-5797338.5209862301</c:v>
                </c:pt>
                <c:pt idx="15">
                  <c:v>-5647959.5065090014</c:v>
                </c:pt>
                <c:pt idx="16">
                  <c:v>-5493125.6921485746</c:v>
                </c:pt>
                <c:pt idx="17">
                  <c:v>-5332752.3283663951</c:v>
                </c:pt>
                <c:pt idx="18">
                  <c:v>-5166715.0839094492</c:v>
                </c:pt>
                <c:pt idx="19">
                  <c:v>-4994924.4868641188</c:v>
                </c:pt>
                <c:pt idx="20">
                  <c:v>-4817265.5838791309</c:v>
                </c:pt>
                <c:pt idx="21">
                  <c:v>-4633641.1587154493</c:v>
                </c:pt>
                <c:pt idx="22">
                  <c:v>-4443941.6248764135</c:v>
                </c:pt>
                <c:pt idx="23">
                  <c:v>-4248058.2986908099</c:v>
                </c:pt>
                <c:pt idx="24">
                  <c:v>-4045896.2031246526</c:v>
                </c:pt>
                <c:pt idx="25">
                  <c:v>-3837400.1630482199</c:v>
                </c:pt>
                <c:pt idx="26">
                  <c:v>-3622525.1343357041</c:v>
                </c:pt>
                <c:pt idx="27">
                  <c:v>-3401274.3990524495</c:v>
                </c:pt>
                <c:pt idx="28">
                  <c:v>-3173722.6766752321</c:v>
                </c:pt>
                <c:pt idx="29">
                  <c:v>-2939985.7540044477</c:v>
                </c:pt>
                <c:pt idx="30">
                  <c:v>-2700241.8211315097</c:v>
                </c:pt>
                <c:pt idx="31">
                  <c:v>-2454713.6322579738</c:v>
                </c:pt>
                <c:pt idx="32">
                  <c:v>-2203626.4017238552</c:v>
                </c:pt>
                <c:pt idx="33">
                  <c:v>-1947191.4700314077</c:v>
                </c:pt>
                <c:pt idx="34">
                  <c:v>-1685566.9820439799</c:v>
                </c:pt>
                <c:pt idx="35">
                  <c:v>-1418786.1955887964</c:v>
                </c:pt>
                <c:pt idx="36">
                  <c:v>-1146780.1348424046</c:v>
                </c:pt>
                <c:pt idx="37">
                  <c:v>-869321.94934964739</c:v>
                </c:pt>
                <c:pt idx="38">
                  <c:v>-586050.09254647419</c:v>
                </c:pt>
                <c:pt idx="39">
                  <c:v>-296468.9703100585</c:v>
                </c:pt>
                <c:pt idx="4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14A-4951-9C5D-6468D6FCC6F7}"/>
            </c:ext>
          </c:extLst>
        </c:ser>
        <c:ser>
          <c:idx val="2"/>
          <c:order val="2"/>
          <c:tx>
            <c:strRef>
              <c:f>Graphs!$E$3</c:f>
              <c:strCache>
                <c:ptCount val="1"/>
                <c:pt idx="0">
                  <c:v>Term 50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Graphs!$B$4:$B$54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Graphs!$E$4:$E$54</c:f>
              <c:numCache>
                <c:formatCode>"₹"\ #,##0.00</c:formatCode>
                <c:ptCount val="51"/>
                <c:pt idx="0">
                  <c:v>-15007415.121043524</c:v>
                </c:pt>
                <c:pt idx="1">
                  <c:v>-15010850.076545119</c:v>
                </c:pt>
                <c:pt idx="2">
                  <c:v>-14883666.174572617</c:v>
                </c:pt>
                <c:pt idx="3">
                  <c:v>-14751745.811763296</c:v>
                </c:pt>
                <c:pt idx="4">
                  <c:v>-14614668.121336861</c:v>
                </c:pt>
                <c:pt idx="5">
                  <c:v>-14472047.53180534</c:v>
                </c:pt>
                <c:pt idx="6">
                  <c:v>-14323558.661062011</c:v>
                </c:pt>
                <c:pt idx="7">
                  <c:v>-14168912.980392903</c:v>
                </c:pt>
                <c:pt idx="8">
                  <c:v>-14007883.215960383</c:v>
                </c:pt>
                <c:pt idx="9">
                  <c:v>-13840256.200198889</c:v>
                </c:pt>
                <c:pt idx="10">
                  <c:v>-13665832.713038526</c:v>
                </c:pt>
                <c:pt idx="11">
                  <c:v>-13484450.751245445</c:v>
                </c:pt>
                <c:pt idx="12">
                  <c:v>-13295962.098138787</c:v>
                </c:pt>
                <c:pt idx="13">
                  <c:v>-13100231.885694366</c:v>
                </c:pt>
                <c:pt idx="14">
                  <c:v>-12897115.138914455</c:v>
                </c:pt>
                <c:pt idx="15">
                  <c:v>-12686501.456065958</c:v>
                </c:pt>
                <c:pt idx="16">
                  <c:v>-12468224.383066313</c:v>
                </c:pt>
                <c:pt idx="17">
                  <c:v>-12242171.811331589</c:v>
                </c:pt>
                <c:pt idx="18">
                  <c:v>-12008174.887076823</c:v>
                </c:pt>
                <c:pt idx="19">
                  <c:v>-11766116.057611054</c:v>
                </c:pt>
                <c:pt idx="20">
                  <c:v>-11515841.589872247</c:v>
                </c:pt>
                <c:pt idx="21">
                  <c:v>-11257224.377565444</c:v>
                </c:pt>
                <c:pt idx="22">
                  <c:v>-10990120.317440974</c:v>
                </c:pt>
                <c:pt idx="23">
                  <c:v>-10714387.678516226</c:v>
                </c:pt>
                <c:pt idx="24">
                  <c:v>-10429905.841837514</c:v>
                </c:pt>
                <c:pt idx="25">
                  <c:v>-10136613.444460861</c:v>
                </c:pt>
                <c:pt idx="26">
                  <c:v>-9834465.4532487672</c:v>
                </c:pt>
                <c:pt idx="27">
                  <c:v>-9523489.0302323177</c:v>
                </c:pt>
                <c:pt idx="28">
                  <c:v>-9203817.6141461991</c:v>
                </c:pt>
                <c:pt idx="29">
                  <c:v>-8875647.1658596192</c:v>
                </c:pt>
                <c:pt idx="30">
                  <c:v>-8539267.8300573304</c:v>
                </c:pt>
                <c:pt idx="31">
                  <c:v>-8195038.576744698</c:v>
                </c:pt>
                <c:pt idx="32">
                  <c:v>-7843326.3827149775</c:v>
                </c:pt>
                <c:pt idx="33">
                  <c:v>-7484482.9816076923</c:v>
                </c:pt>
                <c:pt idx="34">
                  <c:v>-7118787.9351997115</c:v>
                </c:pt>
                <c:pt idx="35">
                  <c:v>-6746344.0391024239</c:v>
                </c:pt>
                <c:pt idx="36">
                  <c:v>-6367110.7193253413</c:v>
                </c:pt>
                <c:pt idx="37">
                  <c:v>-5980822.5238363873</c:v>
                </c:pt>
                <c:pt idx="38">
                  <c:v>-5587023.1064664293</c:v>
                </c:pt>
                <c:pt idx="39">
                  <c:v>-5185066.1712006927</c:v>
                </c:pt>
                <c:pt idx="40">
                  <c:v>-4774190.8484488297</c:v>
                </c:pt>
                <c:pt idx="41">
                  <c:v>-4353546.9409920014</c:v>
                </c:pt>
                <c:pt idx="42">
                  <c:v>-3922245.0889185164</c:v>
                </c:pt>
                <c:pt idx="43">
                  <c:v>-3479454.9456563778</c:v>
                </c:pt>
                <c:pt idx="44">
                  <c:v>-3024384.3771706931</c:v>
                </c:pt>
                <c:pt idx="45">
                  <c:v>-2556332.4307542327</c:v>
                </c:pt>
                <c:pt idx="46">
                  <c:v>-2074655.7413416747</c:v>
                </c:pt>
                <c:pt idx="47">
                  <c:v>-1578777.6267276008</c:v>
                </c:pt>
                <c:pt idx="48">
                  <c:v>-1068128.5326566957</c:v>
                </c:pt>
                <c:pt idx="49">
                  <c:v>-542103.48357913049</c:v>
                </c:pt>
                <c:pt idx="5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14A-4951-9C5D-6468D6FCC6F7}"/>
            </c:ext>
          </c:extLst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axId val="904723887"/>
        <c:axId val="904720143"/>
      </c:scatterChart>
      <c:valAx>
        <c:axId val="904723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Policy Duration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720143"/>
        <c:crosses val="autoZero"/>
        <c:crossBetween val="midCat"/>
      </c:valAx>
      <c:valAx>
        <c:axId val="904720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REserve amount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₹&quot;\ 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72388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1</xdr:row>
      <xdr:rowOff>171450</xdr:rowOff>
    </xdr:from>
    <xdr:to>
      <xdr:col>17</xdr:col>
      <xdr:colOff>213360</xdr:colOff>
      <xdr:row>22</xdr:row>
      <xdr:rowOff>106680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"/>
  <sheetViews>
    <sheetView showGridLines="0" tabSelected="1" workbookViewId="0">
      <selection activeCell="F3" sqref="F3"/>
    </sheetView>
  </sheetViews>
  <sheetFormatPr defaultRowHeight="14.4" x14ac:dyDescent="0.3"/>
  <cols>
    <col min="3" max="3" width="9.5546875" bestFit="1" customWidth="1"/>
  </cols>
  <sheetData>
    <row r="1" spans="1:4" x14ac:dyDescent="0.3">
      <c r="A1" s="1" t="s">
        <v>0</v>
      </c>
    </row>
    <row r="2" spans="1:4" ht="15" thickBot="1" x14ac:dyDescent="0.35"/>
    <row r="3" spans="1:4" ht="15" thickBot="1" x14ac:dyDescent="0.35">
      <c r="B3" s="56" t="s">
        <v>2</v>
      </c>
      <c r="C3" s="57" t="s">
        <v>3</v>
      </c>
      <c r="D3" s="58" t="s">
        <v>4</v>
      </c>
    </row>
    <row r="4" spans="1:4" x14ac:dyDescent="0.3">
      <c r="B4" s="53">
        <v>1</v>
      </c>
      <c r="C4" s="54" t="s">
        <v>1</v>
      </c>
      <c r="D4" s="55"/>
    </row>
    <row r="5" spans="1:4" x14ac:dyDescent="0.3">
      <c r="B5" s="48">
        <v>2</v>
      </c>
      <c r="C5" s="47">
        <v>9.1500000000000001E-4</v>
      </c>
      <c r="D5" s="49">
        <f t="shared" ref="D5:D68" si="0">1-C5</f>
        <v>0.999085</v>
      </c>
    </row>
    <row r="6" spans="1:4" x14ac:dyDescent="0.3">
      <c r="B6" s="48">
        <v>3</v>
      </c>
      <c r="C6" s="47">
        <v>4.6999999999999999E-4</v>
      </c>
      <c r="D6" s="49">
        <f t="shared" si="0"/>
        <v>0.99953000000000003</v>
      </c>
    </row>
    <row r="7" spans="1:4" x14ac:dyDescent="0.3">
      <c r="B7" s="48">
        <v>4</v>
      </c>
      <c r="C7" s="47">
        <v>2.7099999999999997E-4</v>
      </c>
      <c r="D7" s="49">
        <f t="shared" si="0"/>
        <v>0.99972899999999998</v>
      </c>
    </row>
    <row r="8" spans="1:4" x14ac:dyDescent="0.3">
      <c r="B8" s="48">
        <v>5</v>
      </c>
      <c r="C8" s="47">
        <v>1.85E-4</v>
      </c>
      <c r="D8" s="49">
        <f t="shared" si="0"/>
        <v>0.99981500000000001</v>
      </c>
    </row>
    <row r="9" spans="1:4" x14ac:dyDescent="0.3">
      <c r="B9" s="48">
        <v>6</v>
      </c>
      <c r="C9" s="47">
        <v>1.5200000000000001E-4</v>
      </c>
      <c r="D9" s="49">
        <f t="shared" si="0"/>
        <v>0.99984799999999996</v>
      </c>
    </row>
    <row r="10" spans="1:4" x14ac:dyDescent="0.3">
      <c r="B10" s="48">
        <v>7</v>
      </c>
      <c r="C10" s="47">
        <v>1.4899999999999999E-4</v>
      </c>
      <c r="D10" s="49">
        <f t="shared" si="0"/>
        <v>0.99985100000000005</v>
      </c>
    </row>
    <row r="11" spans="1:4" x14ac:dyDescent="0.3">
      <c r="B11" s="48">
        <v>8</v>
      </c>
      <c r="C11" s="47">
        <v>1.6699999999999999E-4</v>
      </c>
      <c r="D11" s="49">
        <f t="shared" si="0"/>
        <v>0.99983299999999997</v>
      </c>
    </row>
    <row r="12" spans="1:4" x14ac:dyDescent="0.3">
      <c r="B12" s="48">
        <v>9</v>
      </c>
      <c r="C12" s="47">
        <v>2.0599999999999999E-4</v>
      </c>
      <c r="D12" s="49">
        <f t="shared" si="0"/>
        <v>0.99979399999999996</v>
      </c>
    </row>
    <row r="13" spans="1:4" x14ac:dyDescent="0.3">
      <c r="B13" s="48">
        <v>10</v>
      </c>
      <c r="C13" s="47">
        <v>2.6499999999999999E-4</v>
      </c>
      <c r="D13" s="49">
        <f t="shared" si="0"/>
        <v>0.99973500000000004</v>
      </c>
    </row>
    <row r="14" spans="1:4" x14ac:dyDescent="0.3">
      <c r="B14" s="48">
        <v>11</v>
      </c>
      <c r="C14" s="47">
        <v>3.4099999999999999E-4</v>
      </c>
      <c r="D14" s="49">
        <f t="shared" si="0"/>
        <v>0.99965899999999996</v>
      </c>
    </row>
    <row r="15" spans="1:4" x14ac:dyDescent="0.3">
      <c r="B15" s="48">
        <v>12</v>
      </c>
      <c r="C15" s="47">
        <v>4.2900000000000002E-4</v>
      </c>
      <c r="D15" s="49">
        <f t="shared" si="0"/>
        <v>0.99957099999999999</v>
      </c>
    </row>
    <row r="16" spans="1:4" x14ac:dyDescent="0.3">
      <c r="B16" s="48">
        <v>13</v>
      </c>
      <c r="C16" s="47">
        <v>5.22E-4</v>
      </c>
      <c r="D16" s="49">
        <f t="shared" si="0"/>
        <v>0.99947799999999998</v>
      </c>
    </row>
    <row r="17" spans="2:4" x14ac:dyDescent="0.3">
      <c r="B17" s="48">
        <v>14</v>
      </c>
      <c r="C17" s="47">
        <v>6.1399999999999996E-4</v>
      </c>
      <c r="D17" s="49">
        <f t="shared" si="0"/>
        <v>0.999386</v>
      </c>
    </row>
    <row r="18" spans="2:4" x14ac:dyDescent="0.3">
      <c r="B18" s="48">
        <v>15</v>
      </c>
      <c r="C18" s="47">
        <v>6.9800000000000005E-4</v>
      </c>
      <c r="D18" s="49">
        <f t="shared" si="0"/>
        <v>0.99930200000000002</v>
      </c>
    </row>
    <row r="19" spans="2:4" x14ac:dyDescent="0.3">
      <c r="B19" s="48">
        <v>16</v>
      </c>
      <c r="C19" s="47">
        <v>7.6999999999999996E-4</v>
      </c>
      <c r="D19" s="49">
        <f t="shared" si="0"/>
        <v>0.99922999999999995</v>
      </c>
    </row>
    <row r="20" spans="2:4" x14ac:dyDescent="0.3">
      <c r="B20" s="48">
        <v>17</v>
      </c>
      <c r="C20" s="47">
        <v>8.2899999999999998E-4</v>
      </c>
      <c r="D20" s="49">
        <f t="shared" si="0"/>
        <v>0.99917100000000003</v>
      </c>
    </row>
    <row r="21" spans="2:4" x14ac:dyDescent="0.3">
      <c r="B21" s="48">
        <v>18</v>
      </c>
      <c r="C21" s="47">
        <v>8.7399999999999999E-4</v>
      </c>
      <c r="D21" s="49">
        <f t="shared" si="0"/>
        <v>0.99912599999999996</v>
      </c>
    </row>
    <row r="22" spans="2:4" x14ac:dyDescent="0.3">
      <c r="B22" s="48">
        <v>19</v>
      </c>
      <c r="C22" s="47">
        <v>9.0499999999999999E-4</v>
      </c>
      <c r="D22" s="49">
        <f t="shared" si="0"/>
        <v>0.99909499999999996</v>
      </c>
    </row>
    <row r="23" spans="2:4" x14ac:dyDescent="0.3">
      <c r="B23" s="48">
        <v>20</v>
      </c>
      <c r="C23" s="47">
        <v>9.2400000000000002E-4</v>
      </c>
      <c r="D23" s="49">
        <f t="shared" si="0"/>
        <v>0.99907599999999996</v>
      </c>
    </row>
    <row r="24" spans="2:4" x14ac:dyDescent="0.3">
      <c r="B24" s="48">
        <v>21</v>
      </c>
      <c r="C24" s="47">
        <v>9.3400000000000004E-4</v>
      </c>
      <c r="D24" s="49">
        <f t="shared" si="0"/>
        <v>0.99906600000000001</v>
      </c>
    </row>
    <row r="25" spans="2:4" x14ac:dyDescent="0.3">
      <c r="B25" s="48">
        <v>22</v>
      </c>
      <c r="C25" s="47">
        <v>9.3700000000000001E-4</v>
      </c>
      <c r="D25" s="49">
        <f t="shared" si="0"/>
        <v>0.99906300000000003</v>
      </c>
    </row>
    <row r="26" spans="2:4" x14ac:dyDescent="0.3">
      <c r="B26" s="48">
        <v>23</v>
      </c>
      <c r="C26" s="47">
        <v>9.3599999999999998E-4</v>
      </c>
      <c r="D26" s="49">
        <f t="shared" si="0"/>
        <v>0.99906399999999995</v>
      </c>
    </row>
    <row r="27" spans="2:4" x14ac:dyDescent="0.3">
      <c r="B27" s="48">
        <v>24</v>
      </c>
      <c r="C27" s="47">
        <v>9.3300000000000002E-4</v>
      </c>
      <c r="D27" s="49">
        <f t="shared" si="0"/>
        <v>0.99906700000000004</v>
      </c>
    </row>
    <row r="28" spans="2:4" x14ac:dyDescent="0.3">
      <c r="B28" s="48">
        <v>25</v>
      </c>
      <c r="C28" s="47">
        <v>9.3099999999999997E-4</v>
      </c>
      <c r="D28" s="49">
        <f t="shared" si="0"/>
        <v>0.99906899999999998</v>
      </c>
    </row>
    <row r="29" spans="2:4" x14ac:dyDescent="0.3">
      <c r="B29" s="48">
        <v>26</v>
      </c>
      <c r="C29" s="47">
        <v>9.3099999999999997E-4</v>
      </c>
      <c r="D29" s="49">
        <f t="shared" si="0"/>
        <v>0.99906899999999998</v>
      </c>
    </row>
    <row r="30" spans="2:4" x14ac:dyDescent="0.3">
      <c r="B30" s="48">
        <v>27</v>
      </c>
      <c r="C30" s="47">
        <v>9.3400000000000004E-4</v>
      </c>
      <c r="D30" s="49">
        <f t="shared" si="0"/>
        <v>0.99906600000000001</v>
      </c>
    </row>
    <row r="31" spans="2:4" x14ac:dyDescent="0.3">
      <c r="B31" s="48">
        <v>28</v>
      </c>
      <c r="C31" s="47">
        <v>9.4200000000000002E-4</v>
      </c>
      <c r="D31" s="49">
        <f t="shared" si="0"/>
        <v>0.999058</v>
      </c>
    </row>
    <row r="32" spans="2:4" x14ac:dyDescent="0.3">
      <c r="B32" s="48">
        <v>29</v>
      </c>
      <c r="C32" s="47">
        <v>9.5600000000000004E-4</v>
      </c>
      <c r="D32" s="49">
        <f t="shared" si="0"/>
        <v>0.99904400000000004</v>
      </c>
    </row>
    <row r="33" spans="2:4" x14ac:dyDescent="0.3">
      <c r="B33" s="48">
        <v>30</v>
      </c>
      <c r="C33" s="47">
        <v>9.77E-4</v>
      </c>
      <c r="D33" s="49">
        <f t="shared" si="0"/>
        <v>0.99902299999999999</v>
      </c>
    </row>
    <row r="34" spans="2:4" x14ac:dyDescent="0.3">
      <c r="B34" s="48">
        <v>31</v>
      </c>
      <c r="C34" s="47">
        <v>1.005E-3</v>
      </c>
      <c r="D34" s="49">
        <f t="shared" si="0"/>
        <v>0.99899499999999997</v>
      </c>
    </row>
    <row r="35" spans="2:4" x14ac:dyDescent="0.3">
      <c r="B35" s="48">
        <v>32</v>
      </c>
      <c r="C35" s="47">
        <v>1.042E-3</v>
      </c>
      <c r="D35" s="49">
        <f t="shared" si="0"/>
        <v>0.99895800000000001</v>
      </c>
    </row>
    <row r="36" spans="2:4" x14ac:dyDescent="0.3">
      <c r="B36" s="48">
        <v>33</v>
      </c>
      <c r="C36" s="47">
        <v>1.0859999999999999E-3</v>
      </c>
      <c r="D36" s="49">
        <f t="shared" si="0"/>
        <v>0.99891399999999997</v>
      </c>
    </row>
    <row r="37" spans="2:4" x14ac:dyDescent="0.3">
      <c r="B37" s="48">
        <v>34</v>
      </c>
      <c r="C37" s="47">
        <v>1.14E-3</v>
      </c>
      <c r="D37" s="49">
        <f t="shared" si="0"/>
        <v>0.99885999999999997</v>
      </c>
    </row>
    <row r="38" spans="2:4" x14ac:dyDescent="0.3">
      <c r="B38" s="48">
        <v>35</v>
      </c>
      <c r="C38" s="47">
        <v>1.2019999999999999E-3</v>
      </c>
      <c r="D38" s="49">
        <f t="shared" si="0"/>
        <v>0.99879799999999996</v>
      </c>
    </row>
    <row r="39" spans="2:4" x14ac:dyDescent="0.3">
      <c r="B39" s="48">
        <v>36</v>
      </c>
      <c r="C39" s="47">
        <v>1.2750000000000001E-3</v>
      </c>
      <c r="D39" s="49">
        <f t="shared" si="0"/>
        <v>0.99872499999999997</v>
      </c>
    </row>
    <row r="40" spans="2:4" x14ac:dyDescent="0.3">
      <c r="B40" s="48">
        <v>37</v>
      </c>
      <c r="C40" s="47">
        <v>1.358E-3</v>
      </c>
      <c r="D40" s="49">
        <f t="shared" si="0"/>
        <v>0.99864200000000003</v>
      </c>
    </row>
    <row r="41" spans="2:4" x14ac:dyDescent="0.3">
      <c r="B41" s="48">
        <v>38</v>
      </c>
      <c r="C41" s="47">
        <v>1.4530000000000001E-3</v>
      </c>
      <c r="D41" s="49">
        <f t="shared" si="0"/>
        <v>0.99854699999999996</v>
      </c>
    </row>
    <row r="42" spans="2:4" x14ac:dyDescent="0.3">
      <c r="B42" s="48">
        <v>39</v>
      </c>
      <c r="C42" s="47">
        <v>1.56E-3</v>
      </c>
      <c r="D42" s="49">
        <f t="shared" si="0"/>
        <v>0.99843999999999999</v>
      </c>
    </row>
    <row r="43" spans="2:4" x14ac:dyDescent="0.3">
      <c r="B43" s="48">
        <v>40</v>
      </c>
      <c r="C43" s="47">
        <v>1.6800000000000001E-3</v>
      </c>
      <c r="D43" s="49">
        <f t="shared" si="0"/>
        <v>0.99831999999999999</v>
      </c>
    </row>
    <row r="44" spans="2:4" x14ac:dyDescent="0.3">
      <c r="B44" s="48">
        <v>41</v>
      </c>
      <c r="C44" s="47">
        <v>1.815E-3</v>
      </c>
      <c r="D44" s="49">
        <f t="shared" si="0"/>
        <v>0.99818499999999999</v>
      </c>
    </row>
    <row r="45" spans="2:4" x14ac:dyDescent="0.3">
      <c r="B45" s="48">
        <v>42</v>
      </c>
      <c r="C45" s="47">
        <v>1.9689999999999998E-3</v>
      </c>
      <c r="D45" s="49">
        <f t="shared" si="0"/>
        <v>0.998031</v>
      </c>
    </row>
    <row r="46" spans="2:4" x14ac:dyDescent="0.3">
      <c r="B46" s="48">
        <v>43</v>
      </c>
      <c r="C46" s="47">
        <v>2.1440000000000001E-3</v>
      </c>
      <c r="D46" s="49">
        <f t="shared" si="0"/>
        <v>0.99785599999999997</v>
      </c>
    </row>
    <row r="47" spans="2:4" x14ac:dyDescent="0.3">
      <c r="B47" s="48">
        <v>44</v>
      </c>
      <c r="C47" s="47">
        <v>2.3449999999999999E-3</v>
      </c>
      <c r="D47" s="49">
        <f t="shared" si="0"/>
        <v>0.99765499999999996</v>
      </c>
    </row>
    <row r="48" spans="2:4" x14ac:dyDescent="0.3">
      <c r="B48" s="48">
        <v>45</v>
      </c>
      <c r="C48" s="47">
        <v>2.5790000000000001E-3</v>
      </c>
      <c r="D48" s="49">
        <f t="shared" si="0"/>
        <v>0.997421</v>
      </c>
    </row>
    <row r="49" spans="2:4" x14ac:dyDescent="0.3">
      <c r="B49" s="48">
        <v>46</v>
      </c>
      <c r="C49" s="47">
        <v>2.8509999999999998E-3</v>
      </c>
      <c r="D49" s="49">
        <f t="shared" si="0"/>
        <v>0.99714899999999995</v>
      </c>
    </row>
    <row r="50" spans="2:4" x14ac:dyDescent="0.3">
      <c r="B50" s="48">
        <v>47</v>
      </c>
      <c r="C50" s="47">
        <v>3.1679999999999998E-3</v>
      </c>
      <c r="D50" s="49">
        <f t="shared" si="0"/>
        <v>0.99683200000000005</v>
      </c>
    </row>
    <row r="51" spans="2:4" x14ac:dyDescent="0.3">
      <c r="B51" s="48">
        <v>48</v>
      </c>
      <c r="C51" s="47">
        <v>3.5360000000000001E-3</v>
      </c>
      <c r="D51" s="49">
        <f t="shared" si="0"/>
        <v>0.99646400000000002</v>
      </c>
    </row>
    <row r="52" spans="2:4" x14ac:dyDescent="0.3">
      <c r="B52" s="48">
        <v>49</v>
      </c>
      <c r="C52" s="47">
        <v>3.9579999999999997E-3</v>
      </c>
      <c r="D52" s="49">
        <f t="shared" si="0"/>
        <v>0.99604199999999998</v>
      </c>
    </row>
    <row r="53" spans="2:4" x14ac:dyDescent="0.3">
      <c r="B53" s="48">
        <v>50</v>
      </c>
      <c r="C53" s="47">
        <v>4.4359999999999998E-3</v>
      </c>
      <c r="D53" s="49">
        <f t="shared" si="0"/>
        <v>0.995564</v>
      </c>
    </row>
    <row r="54" spans="2:4" x14ac:dyDescent="0.3">
      <c r="B54" s="48">
        <v>51</v>
      </c>
      <c r="C54" s="47">
        <v>4.9690000000000003E-3</v>
      </c>
      <c r="D54" s="49">
        <f t="shared" si="0"/>
        <v>0.995031</v>
      </c>
    </row>
    <row r="55" spans="2:4" x14ac:dyDescent="0.3">
      <c r="B55" s="48">
        <v>52</v>
      </c>
      <c r="C55" s="47">
        <v>5.5500000000000002E-3</v>
      </c>
      <c r="D55" s="49">
        <f t="shared" si="0"/>
        <v>0.99444999999999995</v>
      </c>
    </row>
    <row r="56" spans="2:4" x14ac:dyDescent="0.3">
      <c r="B56" s="48">
        <v>53</v>
      </c>
      <c r="C56" s="47">
        <v>6.1739999999999998E-3</v>
      </c>
      <c r="D56" s="49">
        <f t="shared" si="0"/>
        <v>0.99382599999999999</v>
      </c>
    </row>
    <row r="57" spans="2:4" x14ac:dyDescent="0.3">
      <c r="B57" s="48">
        <v>54</v>
      </c>
      <c r="C57" s="47">
        <v>6.8310000000000003E-3</v>
      </c>
      <c r="D57" s="49">
        <f t="shared" si="0"/>
        <v>0.99316899999999997</v>
      </c>
    </row>
    <row r="58" spans="2:4" x14ac:dyDescent="0.3">
      <c r="B58" s="48">
        <v>55</v>
      </c>
      <c r="C58" s="47">
        <v>7.5129999999999997E-3</v>
      </c>
      <c r="D58" s="49">
        <f t="shared" si="0"/>
        <v>0.99248700000000001</v>
      </c>
    </row>
    <row r="59" spans="2:4" x14ac:dyDescent="0.3">
      <c r="B59" s="48">
        <v>56</v>
      </c>
      <c r="C59" s="47">
        <v>8.2120000000000005E-3</v>
      </c>
      <c r="D59" s="49">
        <f t="shared" si="0"/>
        <v>0.991788</v>
      </c>
    </row>
    <row r="60" spans="2:4" x14ac:dyDescent="0.3">
      <c r="B60" s="48">
        <v>57</v>
      </c>
      <c r="C60" s="47">
        <v>8.9250000000000006E-3</v>
      </c>
      <c r="D60" s="49">
        <f t="shared" si="0"/>
        <v>0.99107500000000004</v>
      </c>
    </row>
    <row r="61" spans="2:4" x14ac:dyDescent="0.3">
      <c r="B61" s="48">
        <v>58</v>
      </c>
      <c r="C61" s="47">
        <v>9.6509999999999999E-3</v>
      </c>
      <c r="D61" s="49">
        <f t="shared" si="0"/>
        <v>0.99034900000000003</v>
      </c>
    </row>
    <row r="62" spans="2:4" x14ac:dyDescent="0.3">
      <c r="B62" s="48">
        <v>59</v>
      </c>
      <c r="C62" s="47">
        <v>1.0392999999999999E-2</v>
      </c>
      <c r="D62" s="49">
        <f t="shared" si="0"/>
        <v>0.98960700000000001</v>
      </c>
    </row>
    <row r="63" spans="2:4" x14ac:dyDescent="0.3">
      <c r="B63" s="48">
        <v>60</v>
      </c>
      <c r="C63" s="47">
        <v>1.1162E-2</v>
      </c>
      <c r="D63" s="49">
        <f t="shared" si="0"/>
        <v>0.98883799999999999</v>
      </c>
    </row>
    <row r="64" spans="2:4" x14ac:dyDescent="0.3">
      <c r="B64" s="48">
        <v>61</v>
      </c>
      <c r="C64" s="47">
        <v>1.1969E-2</v>
      </c>
      <c r="D64" s="49">
        <f t="shared" si="0"/>
        <v>0.98803099999999999</v>
      </c>
    </row>
    <row r="65" spans="2:4" x14ac:dyDescent="0.3">
      <c r="B65" s="48">
        <v>62</v>
      </c>
      <c r="C65" s="47">
        <v>1.2831E-2</v>
      </c>
      <c r="D65" s="49">
        <f t="shared" si="0"/>
        <v>0.98716899999999996</v>
      </c>
    </row>
    <row r="66" spans="2:4" x14ac:dyDescent="0.3">
      <c r="B66" s="48">
        <v>63</v>
      </c>
      <c r="C66" s="47">
        <v>1.3764999999999999E-2</v>
      </c>
      <c r="D66" s="49">
        <f t="shared" si="0"/>
        <v>0.98623499999999997</v>
      </c>
    </row>
    <row r="67" spans="2:4" x14ac:dyDescent="0.3">
      <c r="B67" s="48">
        <v>64</v>
      </c>
      <c r="C67" s="47">
        <v>1.4792E-2</v>
      </c>
      <c r="D67" s="49">
        <f t="shared" si="0"/>
        <v>0.98520799999999997</v>
      </c>
    </row>
    <row r="68" spans="2:4" x14ac:dyDescent="0.3">
      <c r="B68" s="48">
        <v>65</v>
      </c>
      <c r="C68" s="47">
        <v>1.5932000000000002E-2</v>
      </c>
      <c r="D68" s="49">
        <f t="shared" si="0"/>
        <v>0.98406799999999994</v>
      </c>
    </row>
    <row r="69" spans="2:4" x14ac:dyDescent="0.3">
      <c r="B69" s="48">
        <v>66</v>
      </c>
      <c r="C69" s="47">
        <v>1.7205999999999999E-2</v>
      </c>
      <c r="D69" s="49">
        <f t="shared" ref="D69:D118" si="1">1-C69</f>
        <v>0.98279399999999995</v>
      </c>
    </row>
    <row r="70" spans="2:4" x14ac:dyDescent="0.3">
      <c r="B70" s="48">
        <v>67</v>
      </c>
      <c r="C70" s="47">
        <v>1.8634999999999999E-2</v>
      </c>
      <c r="D70" s="49">
        <f t="shared" si="1"/>
        <v>0.98136500000000004</v>
      </c>
    </row>
    <row r="71" spans="2:4" x14ac:dyDescent="0.3">
      <c r="B71" s="48">
        <v>68</v>
      </c>
      <c r="C71" s="47">
        <v>2.0240000000000001E-2</v>
      </c>
      <c r="D71" s="49">
        <f t="shared" si="1"/>
        <v>0.97975999999999996</v>
      </c>
    </row>
    <row r="72" spans="2:4" x14ac:dyDescent="0.3">
      <c r="B72" s="48">
        <v>69</v>
      </c>
      <c r="C72" s="47">
        <v>2.2040000000000001E-2</v>
      </c>
      <c r="D72" s="49">
        <f t="shared" si="1"/>
        <v>0.97796000000000005</v>
      </c>
    </row>
    <row r="73" spans="2:4" x14ac:dyDescent="0.3">
      <c r="B73" s="48">
        <v>70</v>
      </c>
      <c r="C73" s="47">
        <v>2.4058E-2</v>
      </c>
      <c r="D73" s="49">
        <f t="shared" si="1"/>
        <v>0.97594199999999998</v>
      </c>
    </row>
    <row r="74" spans="2:4" x14ac:dyDescent="0.3">
      <c r="B74" s="48">
        <v>71</v>
      </c>
      <c r="C74" s="47">
        <v>2.6314000000000001E-2</v>
      </c>
      <c r="D74" s="49">
        <f t="shared" si="1"/>
        <v>0.97368600000000005</v>
      </c>
    </row>
    <row r="75" spans="2:4" x14ac:dyDescent="0.3">
      <c r="B75" s="48">
        <v>72</v>
      </c>
      <c r="C75" s="47">
        <v>2.8832E-2</v>
      </c>
      <c r="D75" s="49">
        <f t="shared" si="1"/>
        <v>0.97116800000000003</v>
      </c>
    </row>
    <row r="76" spans="2:4" x14ac:dyDescent="0.3">
      <c r="B76" s="48">
        <v>73</v>
      </c>
      <c r="C76" s="47">
        <v>3.1637999999999999E-2</v>
      </c>
      <c r="D76" s="49">
        <f t="shared" si="1"/>
        <v>0.96836199999999995</v>
      </c>
    </row>
    <row r="77" spans="2:4" x14ac:dyDescent="0.3">
      <c r="B77" s="48">
        <v>74</v>
      </c>
      <c r="C77" s="47">
        <v>3.4757000000000003E-2</v>
      </c>
      <c r="D77" s="49">
        <f t="shared" si="1"/>
        <v>0.96524299999999996</v>
      </c>
    </row>
    <row r="78" spans="2:4" x14ac:dyDescent="0.3">
      <c r="B78" s="48">
        <v>75</v>
      </c>
      <c r="C78" s="47">
        <v>3.8220999999999998E-2</v>
      </c>
      <c r="D78" s="49">
        <f t="shared" si="1"/>
        <v>0.96177900000000005</v>
      </c>
    </row>
    <row r="79" spans="2:4" x14ac:dyDescent="0.3">
      <c r="B79" s="48">
        <v>76</v>
      </c>
      <c r="C79" s="47">
        <v>4.2061000000000001E-2</v>
      </c>
      <c r="D79" s="49">
        <f t="shared" si="1"/>
        <v>0.95793899999999998</v>
      </c>
    </row>
    <row r="80" spans="2:4" x14ac:dyDescent="0.3">
      <c r="B80" s="48">
        <v>77</v>
      </c>
      <c r="C80" s="47">
        <v>4.6316000000000003E-2</v>
      </c>
      <c r="D80" s="49">
        <f t="shared" si="1"/>
        <v>0.95368399999999998</v>
      </c>
    </row>
    <row r="81" spans="2:4" x14ac:dyDescent="0.3">
      <c r="B81" s="48">
        <v>78</v>
      </c>
      <c r="C81" s="47">
        <v>5.1024E-2</v>
      </c>
      <c r="D81" s="49">
        <f t="shared" si="1"/>
        <v>0.94897600000000004</v>
      </c>
    </row>
    <row r="82" spans="2:4" x14ac:dyDescent="0.3">
      <c r="B82" s="48">
        <v>79</v>
      </c>
      <c r="C82" s="47">
        <v>5.6231000000000003E-2</v>
      </c>
      <c r="D82" s="49">
        <f t="shared" si="1"/>
        <v>0.94376899999999997</v>
      </c>
    </row>
    <row r="83" spans="2:4" x14ac:dyDescent="0.3">
      <c r="B83" s="48">
        <v>80</v>
      </c>
      <c r="C83" s="47">
        <v>6.1984999999999998E-2</v>
      </c>
      <c r="D83" s="49">
        <f t="shared" si="1"/>
        <v>0.93801500000000004</v>
      </c>
    </row>
    <row r="84" spans="2:4" x14ac:dyDescent="0.3">
      <c r="B84" s="48">
        <v>81</v>
      </c>
      <c r="C84" s="47">
        <v>6.8337999999999996E-2</v>
      </c>
      <c r="D84" s="49">
        <f t="shared" si="1"/>
        <v>0.93166199999999999</v>
      </c>
    </row>
    <row r="85" spans="2:4" x14ac:dyDescent="0.3">
      <c r="B85" s="48">
        <v>82</v>
      </c>
      <c r="C85" s="47">
        <v>7.535E-2</v>
      </c>
      <c r="D85" s="49">
        <f t="shared" si="1"/>
        <v>0.92464999999999997</v>
      </c>
    </row>
    <row r="86" spans="2:4" x14ac:dyDescent="0.3">
      <c r="B86" s="48">
        <v>83</v>
      </c>
      <c r="C86" s="47">
        <v>8.3082000000000003E-2</v>
      </c>
      <c r="D86" s="49">
        <f t="shared" si="1"/>
        <v>0.91691800000000001</v>
      </c>
    </row>
    <row r="87" spans="2:4" x14ac:dyDescent="0.3">
      <c r="B87" s="48">
        <v>84</v>
      </c>
      <c r="C87" s="47">
        <v>9.1601000000000002E-2</v>
      </c>
      <c r="D87" s="49">
        <f t="shared" si="1"/>
        <v>0.90839899999999996</v>
      </c>
    </row>
    <row r="88" spans="2:4" x14ac:dyDescent="0.3">
      <c r="B88" s="48">
        <v>85</v>
      </c>
      <c r="C88" s="47">
        <v>0.100979</v>
      </c>
      <c r="D88" s="49">
        <f t="shared" si="1"/>
        <v>0.89902099999999996</v>
      </c>
    </row>
    <row r="89" spans="2:4" x14ac:dyDescent="0.3">
      <c r="B89" s="48">
        <v>86</v>
      </c>
      <c r="C89" s="47">
        <v>0.111291</v>
      </c>
      <c r="D89" s="49">
        <f t="shared" si="1"/>
        <v>0.88870899999999997</v>
      </c>
    </row>
    <row r="90" spans="2:4" x14ac:dyDescent="0.3">
      <c r="B90" s="48">
        <v>87</v>
      </c>
      <c r="C90" s="47">
        <v>0.122616</v>
      </c>
      <c r="D90" s="49">
        <f t="shared" si="1"/>
        <v>0.87738399999999994</v>
      </c>
    </row>
    <row r="91" spans="2:4" x14ac:dyDescent="0.3">
      <c r="B91" s="48">
        <v>88</v>
      </c>
      <c r="C91" s="47">
        <v>0.13503699999999999</v>
      </c>
      <c r="D91" s="49">
        <f t="shared" si="1"/>
        <v>0.86496300000000004</v>
      </c>
    </row>
    <row r="92" spans="2:4" x14ac:dyDescent="0.3">
      <c r="B92" s="48">
        <v>89</v>
      </c>
      <c r="C92" s="47">
        <v>0.14863899999999999</v>
      </c>
      <c r="D92" s="49">
        <f t="shared" si="1"/>
        <v>0.85136100000000003</v>
      </c>
    </row>
    <row r="93" spans="2:4" x14ac:dyDescent="0.3">
      <c r="B93" s="48">
        <v>90</v>
      </c>
      <c r="C93" s="47">
        <v>0.16350700000000001</v>
      </c>
      <c r="D93" s="49">
        <f t="shared" si="1"/>
        <v>0.83649299999999993</v>
      </c>
    </row>
    <row r="94" spans="2:4" x14ac:dyDescent="0.3">
      <c r="B94" s="48">
        <v>91</v>
      </c>
      <c r="C94" s="47">
        <v>0.179726</v>
      </c>
      <c r="D94" s="49">
        <f t="shared" si="1"/>
        <v>0.82027399999999995</v>
      </c>
    </row>
    <row r="95" spans="2:4" x14ac:dyDescent="0.3">
      <c r="B95" s="48">
        <v>92</v>
      </c>
      <c r="C95" s="47">
        <v>0.19738</v>
      </c>
      <c r="D95" s="49">
        <f t="shared" si="1"/>
        <v>0.80262</v>
      </c>
    </row>
    <row r="96" spans="2:4" x14ac:dyDescent="0.3">
      <c r="B96" s="48">
        <v>93</v>
      </c>
      <c r="C96" s="47">
        <v>0.21654699999999999</v>
      </c>
      <c r="D96" s="49">
        <f t="shared" si="1"/>
        <v>0.78345299999999995</v>
      </c>
    </row>
    <row r="97" spans="2:4" x14ac:dyDescent="0.3">
      <c r="B97" s="48">
        <v>94</v>
      </c>
      <c r="C97" s="47">
        <v>0.23730200000000001</v>
      </c>
      <c r="D97" s="49">
        <f t="shared" si="1"/>
        <v>0.76269799999999999</v>
      </c>
    </row>
    <row r="98" spans="2:4" x14ac:dyDescent="0.3">
      <c r="B98" s="48">
        <v>95</v>
      </c>
      <c r="C98" s="47">
        <v>0.25970599999999999</v>
      </c>
      <c r="D98" s="49">
        <f t="shared" si="1"/>
        <v>0.74029400000000001</v>
      </c>
    </row>
    <row r="99" spans="2:4" x14ac:dyDescent="0.3">
      <c r="B99" s="48">
        <v>96</v>
      </c>
      <c r="C99" s="47">
        <v>0.28381299999999998</v>
      </c>
      <c r="D99" s="49">
        <f t="shared" si="1"/>
        <v>0.71618700000000002</v>
      </c>
    </row>
    <row r="100" spans="2:4" x14ac:dyDescent="0.3">
      <c r="B100" s="48">
        <v>97</v>
      </c>
      <c r="C100" s="47">
        <v>0.30965900000000002</v>
      </c>
      <c r="D100" s="49">
        <f t="shared" si="1"/>
        <v>0.69034099999999998</v>
      </c>
    </row>
    <row r="101" spans="2:4" x14ac:dyDescent="0.3">
      <c r="B101" s="48">
        <v>98</v>
      </c>
      <c r="C101" s="47">
        <v>0.33726499999999998</v>
      </c>
      <c r="D101" s="49">
        <f t="shared" si="1"/>
        <v>0.66273500000000007</v>
      </c>
    </row>
    <row r="102" spans="2:4" x14ac:dyDescent="0.3">
      <c r="B102" s="48">
        <v>99</v>
      </c>
      <c r="C102" s="47">
        <v>0.36663000000000001</v>
      </c>
      <c r="D102" s="49">
        <f t="shared" si="1"/>
        <v>0.63336999999999999</v>
      </c>
    </row>
    <row r="103" spans="2:4" x14ac:dyDescent="0.3">
      <c r="B103" s="48">
        <v>100</v>
      </c>
      <c r="C103" s="47">
        <v>0.397733</v>
      </c>
      <c r="D103" s="49">
        <f t="shared" si="1"/>
        <v>0.602267</v>
      </c>
    </row>
    <row r="104" spans="2:4" x14ac:dyDescent="0.3">
      <c r="B104" s="48">
        <v>101</v>
      </c>
      <c r="C104" s="47">
        <v>0.430529</v>
      </c>
      <c r="D104" s="49">
        <f t="shared" si="1"/>
        <v>0.56947100000000006</v>
      </c>
    </row>
    <row r="105" spans="2:4" x14ac:dyDescent="0.3">
      <c r="B105" s="48">
        <v>102</v>
      </c>
      <c r="C105" s="47">
        <v>0.46494999999999997</v>
      </c>
      <c r="D105" s="49">
        <f t="shared" si="1"/>
        <v>0.53505000000000003</v>
      </c>
    </row>
    <row r="106" spans="2:4" x14ac:dyDescent="0.3">
      <c r="B106" s="48">
        <v>103</v>
      </c>
      <c r="C106" s="47">
        <v>0.50090400000000002</v>
      </c>
      <c r="D106" s="49">
        <f t="shared" si="1"/>
        <v>0.49909599999999998</v>
      </c>
    </row>
    <row r="107" spans="2:4" x14ac:dyDescent="0.3">
      <c r="B107" s="48">
        <v>104</v>
      </c>
      <c r="C107" s="47">
        <v>0.53827800000000003</v>
      </c>
      <c r="D107" s="49">
        <f t="shared" si="1"/>
        <v>0.46172199999999997</v>
      </c>
    </row>
    <row r="108" spans="2:4" x14ac:dyDescent="0.3">
      <c r="B108" s="48">
        <v>105</v>
      </c>
      <c r="C108" s="47">
        <v>0.57694199999999995</v>
      </c>
      <c r="D108" s="49">
        <f t="shared" si="1"/>
        <v>0.42305800000000005</v>
      </c>
    </row>
    <row r="109" spans="2:4" x14ac:dyDescent="0.3">
      <c r="B109" s="48">
        <v>106</v>
      </c>
      <c r="C109" s="47">
        <v>0.61675199999999997</v>
      </c>
      <c r="D109" s="49">
        <f t="shared" si="1"/>
        <v>0.38324800000000003</v>
      </c>
    </row>
    <row r="110" spans="2:4" x14ac:dyDescent="0.3">
      <c r="B110" s="48">
        <v>107</v>
      </c>
      <c r="C110" s="47">
        <v>0.65755300000000005</v>
      </c>
      <c r="D110" s="49">
        <f t="shared" si="1"/>
        <v>0.34244699999999995</v>
      </c>
    </row>
    <row r="111" spans="2:4" x14ac:dyDescent="0.3">
      <c r="B111" s="48">
        <v>108</v>
      </c>
      <c r="C111" s="47">
        <v>0.69919100000000001</v>
      </c>
      <c r="D111" s="49">
        <f t="shared" si="1"/>
        <v>0.30080899999999999</v>
      </c>
    </row>
    <row r="112" spans="2:4" x14ac:dyDescent="0.3">
      <c r="B112" s="48">
        <v>109</v>
      </c>
      <c r="C112" s="47">
        <v>0.74151500000000004</v>
      </c>
      <c r="D112" s="49">
        <f t="shared" si="1"/>
        <v>0.25848499999999996</v>
      </c>
    </row>
    <row r="113" spans="2:4" x14ac:dyDescent="0.3">
      <c r="B113" s="48">
        <v>110</v>
      </c>
      <c r="C113" s="47">
        <v>0.78438300000000005</v>
      </c>
      <c r="D113" s="49">
        <f t="shared" si="1"/>
        <v>0.21561699999999995</v>
      </c>
    </row>
    <row r="114" spans="2:4" x14ac:dyDescent="0.3">
      <c r="B114" s="48">
        <v>111</v>
      </c>
      <c r="C114" s="47">
        <v>0.82767299999999999</v>
      </c>
      <c r="D114" s="49">
        <f t="shared" si="1"/>
        <v>0.17232700000000001</v>
      </c>
    </row>
    <row r="115" spans="2:4" x14ac:dyDescent="0.3">
      <c r="B115" s="48">
        <v>112</v>
      </c>
      <c r="C115" s="47">
        <v>0.87128499999999998</v>
      </c>
      <c r="D115" s="49">
        <f t="shared" si="1"/>
        <v>0.12871500000000002</v>
      </c>
    </row>
    <row r="116" spans="2:4" x14ac:dyDescent="0.3">
      <c r="B116" s="48">
        <v>113</v>
      </c>
      <c r="C116" s="47">
        <v>0.91514499999999999</v>
      </c>
      <c r="D116" s="49">
        <f t="shared" si="1"/>
        <v>8.4855000000000014E-2</v>
      </c>
    </row>
    <row r="117" spans="2:4" x14ac:dyDescent="0.3">
      <c r="B117" s="48">
        <v>114</v>
      </c>
      <c r="C117" s="47">
        <v>0.95921400000000001</v>
      </c>
      <c r="D117" s="49">
        <f t="shared" si="1"/>
        <v>4.0785999999999989E-2</v>
      </c>
    </row>
    <row r="118" spans="2:4" ht="15" thickBot="1" x14ac:dyDescent="0.35">
      <c r="B118" s="50">
        <v>115</v>
      </c>
      <c r="C118" s="51">
        <v>1</v>
      </c>
      <c r="D118" s="52">
        <f t="shared" si="1"/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showGridLines="0" workbookViewId="0">
      <selection activeCell="F13" sqref="F13"/>
    </sheetView>
  </sheetViews>
  <sheetFormatPr defaultRowHeight="14.4" x14ac:dyDescent="0.3"/>
  <cols>
    <col min="1" max="1" width="16" bestFit="1" customWidth="1"/>
    <col min="2" max="2" width="19.109375" bestFit="1" customWidth="1"/>
    <col min="3" max="3" width="26.21875" bestFit="1" customWidth="1"/>
    <col min="7" max="7" width="10.109375" bestFit="1" customWidth="1"/>
    <col min="9" max="9" width="22.109375" customWidth="1"/>
    <col min="10" max="10" width="11" bestFit="1" customWidth="1"/>
    <col min="13" max="13" width="27.33203125" customWidth="1"/>
  </cols>
  <sheetData>
    <row r="1" spans="1:16" ht="37.200000000000003" thickBot="1" x14ac:dyDescent="0.75">
      <c r="A1" s="36" t="s">
        <v>14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8.600000000000001" thickBot="1" x14ac:dyDescent="0.4">
      <c r="A2" s="10" t="s">
        <v>19</v>
      </c>
      <c r="B2" s="11" t="s">
        <v>20</v>
      </c>
    </row>
    <row r="3" spans="1:16" ht="15" thickBot="1" x14ac:dyDescent="0.35"/>
    <row r="4" spans="1:16" ht="21.6" thickBot="1" x14ac:dyDescent="0.45">
      <c r="A4" s="69" t="s">
        <v>5</v>
      </c>
      <c r="B4" s="70"/>
      <c r="C4" s="71"/>
      <c r="E4" s="31" t="s">
        <v>2</v>
      </c>
      <c r="F4" s="32">
        <v>18</v>
      </c>
      <c r="G4" s="11" t="s">
        <v>15</v>
      </c>
      <c r="I4" s="29" t="s">
        <v>21</v>
      </c>
      <c r="J4" s="43">
        <v>0.04</v>
      </c>
      <c r="K4" s="11" t="s">
        <v>22</v>
      </c>
    </row>
    <row r="5" spans="1:16" ht="18.600000000000001" thickBot="1" x14ac:dyDescent="0.4">
      <c r="A5" s="13" t="s">
        <v>6</v>
      </c>
      <c r="B5" s="14"/>
      <c r="C5" s="15"/>
    </row>
    <row r="6" spans="1:16" ht="18" x14ac:dyDescent="0.35">
      <c r="A6" s="20" t="s">
        <v>7</v>
      </c>
      <c r="B6" s="21">
        <v>50</v>
      </c>
      <c r="C6" s="12"/>
      <c r="E6" s="37" t="s">
        <v>11</v>
      </c>
      <c r="F6" s="38">
        <v>30</v>
      </c>
      <c r="G6" s="7" t="s">
        <v>12</v>
      </c>
      <c r="I6" s="33" t="s">
        <v>18</v>
      </c>
      <c r="J6" s="27">
        <v>30</v>
      </c>
      <c r="K6" s="7" t="s">
        <v>12</v>
      </c>
      <c r="L6" s="2" t="s">
        <v>13</v>
      </c>
    </row>
    <row r="7" spans="1:16" ht="18" x14ac:dyDescent="0.35">
      <c r="A7" s="19" t="s">
        <v>8</v>
      </c>
      <c r="B7" s="24">
        <v>0.2</v>
      </c>
      <c r="C7" s="25" t="s">
        <v>16</v>
      </c>
      <c r="E7" s="39"/>
      <c r="F7" s="40">
        <v>40</v>
      </c>
      <c r="G7" s="5" t="s">
        <v>12</v>
      </c>
      <c r="I7" s="34"/>
      <c r="J7" s="21">
        <v>40</v>
      </c>
      <c r="K7" s="5" t="s">
        <v>12</v>
      </c>
    </row>
    <row r="8" spans="1:16" ht="18.600000000000001" thickBot="1" x14ac:dyDescent="0.4">
      <c r="A8" s="4"/>
      <c r="B8" s="3"/>
      <c r="C8" s="5"/>
      <c r="E8" s="41"/>
      <c r="F8" s="42">
        <v>50</v>
      </c>
      <c r="G8" s="9" t="s">
        <v>12</v>
      </c>
      <c r="I8" s="35"/>
      <c r="J8" s="28">
        <v>50</v>
      </c>
      <c r="K8" s="9" t="s">
        <v>12</v>
      </c>
    </row>
    <row r="9" spans="1:16" ht="18" x14ac:dyDescent="0.35">
      <c r="A9" s="16" t="s">
        <v>9</v>
      </c>
      <c r="B9" s="17"/>
      <c r="C9" s="18"/>
    </row>
    <row r="10" spans="1:16" ht="18.600000000000001" thickBot="1" x14ac:dyDescent="0.4">
      <c r="A10" s="20" t="s">
        <v>7</v>
      </c>
      <c r="B10" s="21">
        <v>10</v>
      </c>
      <c r="C10" s="25" t="s">
        <v>25</v>
      </c>
    </row>
    <row r="11" spans="1:16" ht="18.600000000000001" thickBot="1" x14ac:dyDescent="0.4">
      <c r="A11" s="22" t="s">
        <v>8</v>
      </c>
      <c r="B11" s="23">
        <v>0.03</v>
      </c>
      <c r="C11" s="26" t="s">
        <v>17</v>
      </c>
      <c r="I11" s="68" t="s">
        <v>33</v>
      </c>
      <c r="J11" s="86">
        <f>11/24</f>
        <v>0.45833333333333331</v>
      </c>
    </row>
    <row r="12" spans="1:16" ht="15" thickBot="1" x14ac:dyDescent="0.35"/>
    <row r="13" spans="1:16" ht="18.600000000000001" thickBot="1" x14ac:dyDescent="0.4">
      <c r="A13" s="30" t="s">
        <v>10</v>
      </c>
      <c r="B13" s="87">
        <v>10000000</v>
      </c>
    </row>
  </sheetData>
  <mergeCells count="6">
    <mergeCell ref="A1:P1"/>
    <mergeCell ref="A9:C9"/>
    <mergeCell ref="A5:C5"/>
    <mergeCell ref="A4:C4"/>
    <mergeCell ref="E6:E8"/>
    <mergeCell ref="I6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zoomScale="99" zoomScaleNormal="99" workbookViewId="0">
      <selection activeCell="M39" sqref="M39"/>
    </sheetView>
  </sheetViews>
  <sheetFormatPr defaultRowHeight="14.4" x14ac:dyDescent="0.3"/>
  <cols>
    <col min="2" max="2" width="13.5546875" bestFit="1" customWidth="1"/>
    <col min="3" max="3" width="10.6640625" bestFit="1" customWidth="1"/>
    <col min="4" max="4" width="14.33203125" bestFit="1" customWidth="1"/>
    <col min="5" max="5" width="16.44140625" bestFit="1" customWidth="1"/>
    <col min="6" max="6" width="20" bestFit="1" customWidth="1"/>
    <col min="7" max="7" width="13.5546875" bestFit="1" customWidth="1"/>
    <col min="8" max="8" width="12.88671875" bestFit="1" customWidth="1"/>
    <col min="9" max="9" width="19.109375" bestFit="1" customWidth="1"/>
    <col min="10" max="10" width="21.6640625" bestFit="1" customWidth="1"/>
    <col min="11" max="11" width="19" bestFit="1" customWidth="1"/>
    <col min="12" max="12" width="11.21875" bestFit="1" customWidth="1"/>
    <col min="13" max="13" width="13.77734375" bestFit="1" customWidth="1"/>
    <col min="14" max="14" width="13.6640625" bestFit="1" customWidth="1"/>
    <col min="15" max="15" width="12.88671875" bestFit="1" customWidth="1"/>
    <col min="16" max="16" width="19.109375" bestFit="1" customWidth="1"/>
    <col min="17" max="17" width="21.6640625" bestFit="1" customWidth="1"/>
    <col min="18" max="18" width="18.21875" bestFit="1" customWidth="1"/>
    <col min="19" max="19" width="14.21875" customWidth="1"/>
  </cols>
  <sheetData>
    <row r="1" spans="1:14" ht="36.6" x14ac:dyDescent="0.7">
      <c r="B1" s="85" t="s">
        <v>43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15" thickBot="1" x14ac:dyDescent="0.35">
      <c r="A2" s="45"/>
      <c r="B2" s="45"/>
      <c r="C2" s="45"/>
    </row>
    <row r="3" spans="1:14" ht="15" thickBot="1" x14ac:dyDescent="0.35">
      <c r="A3" s="59" t="s">
        <v>23</v>
      </c>
      <c r="B3" s="62">
        <f>int</f>
        <v>0.04</v>
      </c>
      <c r="C3" s="45"/>
      <c r="F3" s="67" t="s">
        <v>39</v>
      </c>
      <c r="G3" s="66">
        <f>SUM(L9:L39)</f>
        <v>1.2732925824820995E-11</v>
      </c>
      <c r="J3" s="59" t="s">
        <v>26</v>
      </c>
      <c r="K3" s="61">
        <v>16447.263669642496</v>
      </c>
    </row>
    <row r="4" spans="1:14" ht="15" thickBot="1" x14ac:dyDescent="0.35">
      <c r="A4" s="8" t="s">
        <v>24</v>
      </c>
      <c r="B4" s="63">
        <f>1/(1+int)</f>
        <v>0.96153846153846145</v>
      </c>
      <c r="C4" s="45"/>
      <c r="J4" s="8" t="s">
        <v>27</v>
      </c>
      <c r="K4" s="44">
        <f>p*12</f>
        <v>197367.16403570995</v>
      </c>
    </row>
    <row r="5" spans="1:14" x14ac:dyDescent="0.3">
      <c r="A5" s="45"/>
      <c r="B5" s="84"/>
      <c r="C5" s="45"/>
    </row>
    <row r="6" spans="1:14" x14ac:dyDescent="0.3">
      <c r="A6" s="45"/>
      <c r="B6" s="45"/>
      <c r="C6" s="45"/>
    </row>
    <row r="7" spans="1:14" ht="15" thickBot="1" x14ac:dyDescent="0.35">
      <c r="C7" s="46"/>
      <c r="D7" s="46"/>
      <c r="E7" s="46"/>
      <c r="F7" s="46"/>
      <c r="G7" s="46"/>
      <c r="H7" s="46"/>
      <c r="I7" s="46"/>
    </row>
    <row r="8" spans="1:14" ht="15" thickBot="1" x14ac:dyDescent="0.35">
      <c r="B8" s="76" t="s">
        <v>28</v>
      </c>
      <c r="C8" s="77" t="s">
        <v>29</v>
      </c>
      <c r="D8" s="78" t="s">
        <v>30</v>
      </c>
      <c r="E8" s="78" t="s">
        <v>31</v>
      </c>
      <c r="F8" s="78" t="s">
        <v>32</v>
      </c>
      <c r="G8" s="78" t="s">
        <v>34</v>
      </c>
      <c r="H8" s="78" t="s">
        <v>35</v>
      </c>
      <c r="I8" s="78" t="s">
        <v>36</v>
      </c>
      <c r="J8" s="78" t="s">
        <v>37</v>
      </c>
      <c r="K8" s="78" t="s">
        <v>38</v>
      </c>
      <c r="L8" s="78" t="s">
        <v>39</v>
      </c>
      <c r="M8" s="78" t="s">
        <v>41</v>
      </c>
      <c r="N8" s="79" t="s">
        <v>42</v>
      </c>
    </row>
    <row r="9" spans="1:14" x14ac:dyDescent="0.3">
      <c r="B9" s="73">
        <v>0</v>
      </c>
      <c r="C9" s="73">
        <f>age+B9</f>
        <v>18</v>
      </c>
      <c r="D9" s="73">
        <f>term30-B9</f>
        <v>30</v>
      </c>
      <c r="E9" s="74">
        <f>E10*'Term 30'!v*VLOOKUP(C9,'Life tables'!$B$4:$D$118,3,FALSE)+1-(monthly_conv*(1-v*VLOOKUP(C9,'Life tables'!$B$4:$D$118,3,FALSE)))</f>
        <v>17.447213286056929</v>
      </c>
      <c r="F9" s="73">
        <f>F10*v*VLOOKUP(C9,'Life tables'!$B$4:$D$118,3,FALSE)+v*VLOOKUP(C9,'Life tables'!$B$4:$D$118,2,FALSE)</f>
        <v>2.0847291119537988E-2</v>
      </c>
      <c r="G9" s="75">
        <f>F9*sumassured</f>
        <v>208472.91119537989</v>
      </c>
      <c r="H9" s="75">
        <f>p*E9</f>
        <v>286958.91721626802</v>
      </c>
      <c r="I9" s="75">
        <f>inifixed</f>
        <v>50</v>
      </c>
      <c r="J9" s="75">
        <f>inivari*K4</f>
        <v>39473.432807141995</v>
      </c>
      <c r="K9" s="75">
        <f>SUM(I9:J9)</f>
        <v>39523.432807141995</v>
      </c>
      <c r="L9" s="75">
        <f>G9+K9-H9</f>
        <v>-38962.573213746131</v>
      </c>
      <c r="M9" s="75">
        <f>((M10*VLOOKUP(C9,'Life tables'!$B$4:$D$118,3,FALSE)+VLOOKUP(C9,'Life tables'!$B$4:$D$118,2,FALSE)*sumassured)/(1+int))-12*p+(inifixed+inivari*p*12)</f>
        <v>-3157914.5279379515</v>
      </c>
      <c r="N9" s="75">
        <f>M10*VLOOKUP(C9,'Life tables'!$B$3:$D$118,3,FALSE)-(1+int)*'Term 30'!M9</f>
        <v>155417.48047771072</v>
      </c>
    </row>
    <row r="10" spans="1:14" x14ac:dyDescent="0.3">
      <c r="B10" s="6">
        <v>1</v>
      </c>
      <c r="C10" s="6">
        <f>age+B10</f>
        <v>19</v>
      </c>
      <c r="D10" s="6">
        <f>term30-B10</f>
        <v>29</v>
      </c>
      <c r="E10" s="60">
        <f>E11*'Term 30'!v*VLOOKUP(C10,'Life tables'!$B$4:$D$118,3,FALSE)+1-(monthly_conv*(1-v*VLOOKUP(C10,'Life tables'!$B$4:$D$118,3,FALSE)))</f>
        <v>17.13881505852703</v>
      </c>
      <c r="F10" s="6">
        <f>F11*v*VLOOKUP(C10,'Life tables'!$B$4:$D$118,3,FALSE)+v*VLOOKUP(C10,'Life tables'!$B$4:$D$118,2,FALSE)</f>
        <v>2.082538415006667E-2</v>
      </c>
      <c r="G10" s="72">
        <f>F10*sumassured</f>
        <v>208253.84150066669</v>
      </c>
      <c r="H10" s="72">
        <f>p*E10</f>
        <v>281886.61025283334</v>
      </c>
      <c r="I10" s="72">
        <f>renewfix*E10</f>
        <v>171.3881505852703</v>
      </c>
      <c r="J10" s="72">
        <f>renewvari*p*E10</f>
        <v>8456.5983075849999</v>
      </c>
      <c r="K10" s="72">
        <f t="shared" ref="K10:K39" si="0">SUM(I10:J10)</f>
        <v>8627.9864581702695</v>
      </c>
      <c r="L10" s="72">
        <f t="shared" ref="L10:L39" si="1">G10+K10-H10</f>
        <v>-65004.782293996395</v>
      </c>
      <c r="M10" s="72">
        <f>((M11*VLOOKUP(C10,'Life tables'!$B$4:$D$118,3,FALSE)+VLOOKUP(C10,'Life tables'!$B$4:$D$118,2,FALSE)*sumassured)/(1+int))-12*p+12*(renewfix+renewvari*p)</f>
        <v>-3131550.6038054852</v>
      </c>
      <c r="N10" s="72">
        <f>M11*VLOOKUP(C10,'Life tables'!$B$3:$D$118,3,FALSE)-(1+int)*'Term 30'!M10</f>
        <v>189929.19507922372</v>
      </c>
    </row>
    <row r="11" spans="1:14" x14ac:dyDescent="0.3">
      <c r="B11" s="6">
        <v>2</v>
      </c>
      <c r="C11" s="6">
        <f>age+B11</f>
        <v>20</v>
      </c>
      <c r="D11" s="6">
        <f>term30-B11</f>
        <v>28</v>
      </c>
      <c r="E11" s="60">
        <f>E12*'Term 30'!v*VLOOKUP(C11,'Life tables'!$B$4:$D$118,3,FALSE)+1-(monthly_conv*(1-v*VLOOKUP(C11,'Life tables'!$B$4:$D$118,3,FALSE)))</f>
        <v>16.818336380292276</v>
      </c>
      <c r="F11" s="6">
        <f>F12*v*VLOOKUP(C11,'Life tables'!$B$4:$D$118,3,FALSE)+v*VLOOKUP(C11,'Life tables'!$B$4:$D$118,2,FALSE)</f>
        <v>2.077219835558114E-2</v>
      </c>
      <c r="G11" s="72">
        <f>F11*sumassured</f>
        <v>207721.9835558114</v>
      </c>
      <c r="H11" s="72">
        <f>p*E11</f>
        <v>276615.61293140781</v>
      </c>
      <c r="I11" s="72">
        <f>renewfix*E11</f>
        <v>168.18336380292277</v>
      </c>
      <c r="J11" s="72">
        <f>renewvari*p*E11</f>
        <v>8298.4683879422355</v>
      </c>
      <c r="K11" s="72">
        <f t="shared" si="0"/>
        <v>8466.6517517451575</v>
      </c>
      <c r="L11" s="72">
        <f t="shared" si="1"/>
        <v>-60426.977623851271</v>
      </c>
      <c r="M11" s="72">
        <f>((M12*VLOOKUP(C11,'Life tables'!$B$4:$D$118,3,FALSE)+VLOOKUP(C11,'Life tables'!$B$4:$D$118,2,FALSE)*sumassured)/(1+int))-12*p+12*(renewfix+renewvari*p)</f>
        <v>-3069661.4765147269</v>
      </c>
      <c r="N11" s="72">
        <f>M12*VLOOKUP(C11,'Life tables'!$B$3:$D$118,3,FALSE)-(1+int)*'Term 30'!M11</f>
        <v>189739.19507922418</v>
      </c>
    </row>
    <row r="12" spans="1:14" x14ac:dyDescent="0.3">
      <c r="B12" s="6">
        <v>3</v>
      </c>
      <c r="C12" s="6">
        <f>age+B12</f>
        <v>21</v>
      </c>
      <c r="D12" s="6">
        <f>term30-B12</f>
        <v>27</v>
      </c>
      <c r="E12" s="60">
        <f>E13*'Term 30'!v*VLOOKUP(C12,'Life tables'!$B$4:$D$118,3,FALSE)+1-(monthly_conv*(1-v*VLOOKUP(C12,'Life tables'!$B$4:$D$118,3,FALSE)))</f>
        <v>16.485058863226925</v>
      </c>
      <c r="F12" s="6">
        <f>F13*v*VLOOKUP(C12,'Life tables'!$B$4:$D$118,3,FALSE)+v*VLOOKUP(C12,'Life tables'!$B$4:$D$118,2,FALSE)</f>
        <v>2.0698211437172334E-2</v>
      </c>
      <c r="G12" s="72">
        <f>F12*sumassured</f>
        <v>206982.11437172335</v>
      </c>
      <c r="H12" s="72">
        <f>p*E12</f>
        <v>271134.10973307025</v>
      </c>
      <c r="I12" s="72">
        <f>renewfix*E12</f>
        <v>164.85058863226925</v>
      </c>
      <c r="J12" s="72">
        <f>renewvari*p*E12</f>
        <v>8134.0232919921064</v>
      </c>
      <c r="K12" s="72">
        <f t="shared" si="0"/>
        <v>8298.8738806243764</v>
      </c>
      <c r="L12" s="72">
        <f t="shared" si="1"/>
        <v>-55853.121480722533</v>
      </c>
      <c r="M12" s="72">
        <f>((M13*VLOOKUP(C12,'Life tables'!$B$4:$D$118,3,FALSE)+VLOOKUP(C12,'Life tables'!$B$4:$D$118,2,FALSE)*sumassured)/(1+int))-12*p+12*(renewfix+renewvari*p)</f>
        <v>-3005485.8093839628</v>
      </c>
      <c r="N12" s="72">
        <f>M13*VLOOKUP(C12,'Life tables'!$B$3:$D$118,3,FALSE)-(1+int)*'Term 30'!M12</f>
        <v>189639.19507922372</v>
      </c>
    </row>
    <row r="13" spans="1:14" x14ac:dyDescent="0.3">
      <c r="B13" s="6">
        <v>4</v>
      </c>
      <c r="C13" s="6">
        <f>age+B13</f>
        <v>22</v>
      </c>
      <c r="D13" s="6">
        <f>term30-B13</f>
        <v>26</v>
      </c>
      <c r="E13" s="60">
        <f>E14*'Term 30'!v*VLOOKUP(C13,'Life tables'!$B$4:$D$118,3,FALSE)+1-(monthly_conv*(1-v*VLOOKUP(C13,'Life tables'!$B$4:$D$118,3,FALSE)))</f>
        <v>16.138295802702391</v>
      </c>
      <c r="F13" s="6">
        <f>F14*v*VLOOKUP(C13,'Life tables'!$B$4:$D$118,3,FALSE)+v*VLOOKUP(C13,'Life tables'!$B$4:$D$118,2,FALSE)</f>
        <v>2.0611390933791392E-2</v>
      </c>
      <c r="G13" s="72">
        <f>F13*sumassured</f>
        <v>206113.90933791391</v>
      </c>
      <c r="H13" s="72">
        <f>p*E13</f>
        <v>265430.80624573102</v>
      </c>
      <c r="I13" s="72">
        <f>renewfix*E13</f>
        <v>161.3829580270239</v>
      </c>
      <c r="J13" s="72">
        <f>renewvari*p*E13</f>
        <v>7962.9241873719302</v>
      </c>
      <c r="K13" s="72">
        <f t="shared" si="0"/>
        <v>8124.3071453989542</v>
      </c>
      <c r="L13" s="72">
        <f t="shared" si="1"/>
        <v>-51192.589762418153</v>
      </c>
      <c r="M13" s="72">
        <f>((M14*VLOOKUP(C13,'Life tables'!$B$4:$D$118,3,FALSE)+VLOOKUP(C13,'Life tables'!$B$4:$D$118,2,FALSE)*sumassured)/(1+int))-12*p+12*(renewfix+renewvari*p)</f>
        <v>-2938810.8960570148</v>
      </c>
      <c r="N13" s="72">
        <f>M14*VLOOKUP(C13,'Life tables'!$B$3:$D$118,3,FALSE)-(1+int)*'Term 30'!M13</f>
        <v>189609.19507922418</v>
      </c>
    </row>
    <row r="14" spans="1:14" x14ac:dyDescent="0.3">
      <c r="B14" s="6">
        <v>5</v>
      </c>
      <c r="C14" s="6">
        <f>age+B14</f>
        <v>23</v>
      </c>
      <c r="D14" s="6">
        <f>term30-B14</f>
        <v>25</v>
      </c>
      <c r="E14" s="60">
        <f>E15*'Term 30'!v*VLOOKUP(C14,'Life tables'!$B$4:$D$118,3,FALSE)+1-(monthly_conv*(1-v*VLOOKUP(C14,'Life tables'!$B$4:$D$118,3,FALSE)))</f>
        <v>15.777373825751885</v>
      </c>
      <c r="F14" s="6">
        <f>F15*v*VLOOKUP(C14,'Life tables'!$B$4:$D$118,3,FALSE)+v*VLOOKUP(C14,'Life tables'!$B$4:$D$118,2,FALSE)</f>
        <v>2.0518072004611372E-2</v>
      </c>
      <c r="G14" s="72">
        <f>F14*sumassured</f>
        <v>205180.72004611371</v>
      </c>
      <c r="H14" s="72">
        <f>p*E14</f>
        <v>259494.62732665741</v>
      </c>
      <c r="I14" s="72">
        <f>renewfix*E14</f>
        <v>157.77373825751886</v>
      </c>
      <c r="J14" s="72">
        <f>renewvari*p*E14</f>
        <v>7784.8388197997228</v>
      </c>
      <c r="K14" s="72">
        <f t="shared" si="0"/>
        <v>7942.6125580572416</v>
      </c>
      <c r="L14" s="72">
        <f t="shared" si="1"/>
        <v>-46371.294722486462</v>
      </c>
      <c r="M14" s="72">
        <f>((M15*VLOOKUP(C14,'Life tables'!$B$4:$D$118,3,FALSE)+VLOOKUP(C14,'Life tables'!$B$4:$D$118,2,FALSE)*sumassured)/(1+int))-12*p+12*(renewfix+renewvari*p)</f>
        <v>-2869442.8047281015</v>
      </c>
      <c r="N14" s="72">
        <f>M15*VLOOKUP(C14,'Life tables'!$B$3:$D$118,3,FALSE)-(1+int)*'Term 30'!M14</f>
        <v>189619.19507922372</v>
      </c>
    </row>
    <row r="15" spans="1:14" x14ac:dyDescent="0.3">
      <c r="B15" s="6">
        <v>6</v>
      </c>
      <c r="C15" s="6">
        <f>age+B15</f>
        <v>24</v>
      </c>
      <c r="D15" s="6">
        <f>term30-B15</f>
        <v>24</v>
      </c>
      <c r="E15" s="60">
        <f>E16*'Term 30'!v*VLOOKUP(C15,'Life tables'!$B$4:$D$118,3,FALSE)+1-(monthly_conv*(1-v*VLOOKUP(C15,'Life tables'!$B$4:$D$118,3,FALSE)))</f>
        <v>15.401647053757614</v>
      </c>
      <c r="F15" s="6">
        <f>F16*v*VLOOKUP(C15,'Life tables'!$B$4:$D$118,3,FALSE)+v*VLOOKUP(C15,'Life tables'!$B$4:$D$118,2,FALSE)</f>
        <v>2.0421909792361477E-2</v>
      </c>
      <c r="G15" s="72">
        <f>F15*sumassured</f>
        <v>204219.09792361478</v>
      </c>
      <c r="H15" s="72">
        <f>p*E15</f>
        <v>253314.95003992401</v>
      </c>
      <c r="I15" s="72">
        <f>renewfix*E15</f>
        <v>154.01647053757614</v>
      </c>
      <c r="J15" s="72">
        <f>renewvari*p*E15</f>
        <v>7599.4485011977195</v>
      </c>
      <c r="K15" s="72">
        <f t="shared" si="0"/>
        <v>7753.4649717352959</v>
      </c>
      <c r="L15" s="72">
        <f t="shared" si="1"/>
        <v>-41342.387144573935</v>
      </c>
      <c r="M15" s="72">
        <f>((M16*VLOOKUP(C15,'Life tables'!$B$4:$D$118,3,FALSE)+VLOOKUP(C15,'Life tables'!$B$4:$D$118,2,FALSE)*sumassured)/(1+int))-12*p+12*(renewfix+renewvari*p)</f>
        <v>-2797219.5193080744</v>
      </c>
      <c r="N15" s="72">
        <f>M16*VLOOKUP(C15,'Life tables'!$B$3:$D$118,3,FALSE)-(1+int)*'Term 30'!M15</f>
        <v>189649.19507922418</v>
      </c>
    </row>
    <row r="16" spans="1:14" x14ac:dyDescent="0.3">
      <c r="B16" s="6">
        <v>7</v>
      </c>
      <c r="C16" s="6">
        <f>age+B16</f>
        <v>25</v>
      </c>
      <c r="D16" s="6">
        <f>term30-B16</f>
        <v>23</v>
      </c>
      <c r="E16" s="60">
        <f>E17*'Term 30'!v*VLOOKUP(C16,'Life tables'!$B$4:$D$118,3,FALSE)+1-(monthly_conv*(1-v*VLOOKUP(C16,'Life tables'!$B$4:$D$118,3,FALSE)))</f>
        <v>15.010478670841147</v>
      </c>
      <c r="F16" s="6">
        <f>F17*v*VLOOKUP(C16,'Life tables'!$B$4:$D$118,3,FALSE)+v*VLOOKUP(C16,'Life tables'!$B$4:$D$118,2,FALSE)</f>
        <v>2.0324749175036246E-2</v>
      </c>
      <c r="G16" s="72">
        <f>F16*sumassured</f>
        <v>203247.49175036245</v>
      </c>
      <c r="H16" s="72">
        <f>p*E16</f>
        <v>246881.30050686919</v>
      </c>
      <c r="I16" s="72">
        <f>renewfix*E16</f>
        <v>150.10478670841147</v>
      </c>
      <c r="J16" s="72">
        <f>renewvari*p*E16</f>
        <v>7406.4390152060751</v>
      </c>
      <c r="K16" s="72">
        <f t="shared" si="0"/>
        <v>7556.5438019144867</v>
      </c>
      <c r="L16" s="72">
        <f t="shared" si="1"/>
        <v>-36077.264954592247</v>
      </c>
      <c r="M16" s="72">
        <f>((M17*VLOOKUP(C16,'Life tables'!$B$4:$D$118,3,FALSE)+VLOOKUP(C16,'Life tables'!$B$4:$D$118,2,FALSE)*sumassured)/(1+int))-12*p+12*(renewfix+renewvari*p)</f>
        <v>-2721998.7298160917</v>
      </c>
      <c r="N16" s="72">
        <f>M17*VLOOKUP(C16,'Life tables'!$B$3:$D$118,3,FALSE)-(1+int)*'Term 30'!M16</f>
        <v>189669.19507922418</v>
      </c>
    </row>
    <row r="17" spans="2:14" x14ac:dyDescent="0.3">
      <c r="B17" s="6">
        <v>8</v>
      </c>
      <c r="C17" s="6">
        <f>age+B17</f>
        <v>26</v>
      </c>
      <c r="D17" s="6">
        <f>term30-B17</f>
        <v>22</v>
      </c>
      <c r="E17" s="60">
        <f>E18*'Term 30'!v*VLOOKUP(C17,'Life tables'!$B$4:$D$118,3,FALSE)+1-(monthly_conv*(1-v*VLOOKUP(C17,'Life tables'!$B$4:$D$118,3,FALSE)))</f>
        <v>14.603253488339105</v>
      </c>
      <c r="F17" s="6">
        <f>F18*v*VLOOKUP(C17,'Life tables'!$B$4:$D$118,3,FALSE)+v*VLOOKUP(C17,'Life tables'!$B$4:$D$118,2,FALSE)</f>
        <v>2.0225569146913473E-2</v>
      </c>
      <c r="G17" s="72">
        <f>F17*sumassured</f>
        <v>202255.69146913473</v>
      </c>
      <c r="H17" s="72">
        <f>p*E17</f>
        <v>240183.56055733981</v>
      </c>
      <c r="I17" s="72">
        <f>renewfix*E17</f>
        <v>146.03253488339104</v>
      </c>
      <c r="J17" s="72">
        <f>renewvari*p*E17</f>
        <v>7205.5068167201944</v>
      </c>
      <c r="K17" s="72">
        <f t="shared" si="0"/>
        <v>7351.5393516035856</v>
      </c>
      <c r="L17" s="72">
        <f t="shared" si="1"/>
        <v>-30576.329736601474</v>
      </c>
      <c r="M17" s="72">
        <f>((M18*VLOOKUP(C17,'Life tables'!$B$4:$D$118,3,FALSE)+VLOOKUP(C17,'Life tables'!$B$4:$D$118,2,FALSE)*sumassured)/(1+int))-12*p+12*(renewfix+renewvari*p)</f>
        <v>-2643670.7413897449</v>
      </c>
      <c r="N17" s="72">
        <f>M18*VLOOKUP(C17,'Life tables'!$B$3:$D$118,3,FALSE)-(1+int)*'Term 30'!M17</f>
        <v>189669.19507922418</v>
      </c>
    </row>
    <row r="18" spans="2:14" x14ac:dyDescent="0.3">
      <c r="B18" s="6">
        <v>9</v>
      </c>
      <c r="C18" s="6">
        <f>age+B18</f>
        <v>27</v>
      </c>
      <c r="D18" s="6">
        <f>term30-B18</f>
        <v>21</v>
      </c>
      <c r="E18" s="60">
        <f>E19*'Term 30'!v*VLOOKUP(C18,'Life tables'!$B$4:$D$118,3,FALSE)+1-(monthly_conv*(1-v*VLOOKUP(C18,'Life tables'!$B$4:$D$118,3,FALSE)))</f>
        <v>14.179344639398616</v>
      </c>
      <c r="F18" s="6">
        <f>F19*v*VLOOKUP(C18,'Life tables'!$B$4:$D$118,3,FALSE)+v*VLOOKUP(C18,'Life tables'!$B$4:$D$118,2,FALSE)</f>
        <v>2.0122325798108052E-2</v>
      </c>
      <c r="G18" s="72">
        <f>F18*sumassured</f>
        <v>201223.2579810805</v>
      </c>
      <c r="H18" s="72">
        <f>p*E18</f>
        <v>233211.41994692094</v>
      </c>
      <c r="I18" s="72">
        <f>renewfix*E18</f>
        <v>141.79344639398616</v>
      </c>
      <c r="J18" s="72">
        <f>renewvari*p*E18</f>
        <v>6996.3425984076284</v>
      </c>
      <c r="K18" s="72">
        <f t="shared" si="0"/>
        <v>7138.1360448016148</v>
      </c>
      <c r="L18" s="72">
        <f t="shared" si="1"/>
        <v>-24850.025921038818</v>
      </c>
      <c r="M18" s="72">
        <f>((M19*VLOOKUP(C18,'Life tables'!$B$4:$D$118,3,FALSE)+VLOOKUP(C18,'Life tables'!$B$4:$D$118,2,FALSE)*sumassured)/(1+int))-12*p+12*(renewfix+renewvari*p)</f>
        <v>-2562133.7224617228</v>
      </c>
      <c r="N18" s="72">
        <f>M19*VLOOKUP(C18,'Life tables'!$B$3:$D$118,3,FALSE)-(1+int)*'Term 30'!M18</f>
        <v>189639.19507922418</v>
      </c>
    </row>
    <row r="19" spans="2:14" x14ac:dyDescent="0.3">
      <c r="B19" s="6">
        <v>10</v>
      </c>
      <c r="C19" s="6">
        <f>age+B19</f>
        <v>28</v>
      </c>
      <c r="D19" s="6">
        <f>term30-B19</f>
        <v>20</v>
      </c>
      <c r="E19" s="60">
        <f>E20*'Term 30'!v*VLOOKUP(C19,'Life tables'!$B$4:$D$118,3,FALSE)+1-(monthly_conv*(1-v*VLOOKUP(C19,'Life tables'!$B$4:$D$118,3,FALSE)))</f>
        <v>13.738111237537089</v>
      </c>
      <c r="F19" s="6">
        <f>F20*v*VLOOKUP(C19,'Life tables'!$B$4:$D$118,3,FALSE)+v*VLOOKUP(C19,'Life tables'!$B$4:$D$118,2,FALSE)</f>
        <v>2.0011909953929347E-2</v>
      </c>
      <c r="G19" s="72">
        <f>F19*sumassured</f>
        <v>200119.09953929347</v>
      </c>
      <c r="H19" s="72">
        <f>p*E19</f>
        <v>225954.33784665106</v>
      </c>
      <c r="I19" s="72">
        <f>renewfix*E19</f>
        <v>137.38111237537089</v>
      </c>
      <c r="J19" s="72">
        <f>renewvari*p*E19</f>
        <v>6778.6301353995323</v>
      </c>
      <c r="K19" s="72">
        <f t="shared" si="0"/>
        <v>6916.0112477749035</v>
      </c>
      <c r="L19" s="72">
        <f t="shared" si="1"/>
        <v>-18919.227059582685</v>
      </c>
      <c r="M19" s="72">
        <f>((M20*VLOOKUP(C19,'Life tables'!$B$4:$D$118,3,FALSE)+VLOOKUP(C19,'Life tables'!$B$4:$D$118,2,FALSE)*sumassured)/(1+int))-12*p+12*(renewfix+renewvari*p)</f>
        <v>-2477293.6685674097</v>
      </c>
      <c r="N19" s="72">
        <f>M20*VLOOKUP(C19,'Life tables'!$B$3:$D$118,3,FALSE)-(1+int)*'Term 30'!M19</f>
        <v>189559.19507922418</v>
      </c>
    </row>
    <row r="20" spans="2:14" x14ac:dyDescent="0.3">
      <c r="B20" s="6">
        <v>11</v>
      </c>
      <c r="C20" s="6">
        <f>age+B20</f>
        <v>29</v>
      </c>
      <c r="D20" s="6">
        <f>term30-B20</f>
        <v>19</v>
      </c>
      <c r="E20" s="60">
        <f>E21*'Term 30'!v*VLOOKUP(C20,'Life tables'!$B$4:$D$118,3,FALSE)+1-(monthly_conv*(1-v*VLOOKUP(C20,'Life tables'!$B$4:$D$118,3,FALSE)))</f>
        <v>13.278909503123849</v>
      </c>
      <c r="F20" s="6">
        <f>F21*v*VLOOKUP(C20,'Life tables'!$B$4:$D$118,3,FALSE)+v*VLOOKUP(C20,'Life tables'!$B$4:$D$118,2,FALSE)</f>
        <v>1.9889121904920957E-2</v>
      </c>
      <c r="G20" s="72">
        <f>F20*sumassured</f>
        <v>198891.21904920955</v>
      </c>
      <c r="H20" s="72">
        <f>p*E20</f>
        <v>218401.72584319938</v>
      </c>
      <c r="I20" s="72">
        <f>renewfix*E20</f>
        <v>132.7890950312385</v>
      </c>
      <c r="J20" s="72">
        <f>renewvari*p*E20</f>
        <v>6552.0517752959813</v>
      </c>
      <c r="K20" s="72">
        <f t="shared" si="0"/>
        <v>6684.8408703272198</v>
      </c>
      <c r="L20" s="72">
        <f t="shared" si="1"/>
        <v>-12825.6659236626</v>
      </c>
      <c r="M20" s="72">
        <f>((M21*VLOOKUP(C20,'Life tables'!$B$4:$D$118,3,FALSE)+VLOOKUP(C20,'Life tables'!$B$4:$D$118,2,FALSE)*sumassured)/(1+int))-12*p+12*(renewfix+renewvari*p)</f>
        <v>-2389076.7305110237</v>
      </c>
      <c r="N20" s="72">
        <f>M21*VLOOKUP(C20,'Life tables'!$B$3:$D$118,3,FALSE)-(1+int)*'Term 30'!M20</f>
        <v>189419.19507922418</v>
      </c>
    </row>
    <row r="21" spans="2:14" x14ac:dyDescent="0.3">
      <c r="B21" s="6">
        <v>12</v>
      </c>
      <c r="C21" s="6">
        <f>age+B21</f>
        <v>30</v>
      </c>
      <c r="D21" s="6">
        <f>term30-B21</f>
        <v>18</v>
      </c>
      <c r="E21" s="60">
        <f>E22*'Term 30'!v*VLOOKUP(C21,'Life tables'!$B$4:$D$118,3,FALSE)+1-(monthly_conv*(1-v*VLOOKUP(C21,'Life tables'!$B$4:$D$118,3,FALSE)))</f>
        <v>12.801075211150664</v>
      </c>
      <c r="F21" s="6">
        <f>F22*v*VLOOKUP(C21,'Life tables'!$B$4:$D$118,3,FALSE)+v*VLOOKUP(C21,'Life tables'!$B$4:$D$118,2,FALSE)</f>
        <v>1.9747565453691523E-2</v>
      </c>
      <c r="G21" s="72">
        <f>F21*sumassured</f>
        <v>197475.65453691524</v>
      </c>
      <c r="H21" s="72">
        <f>p*E21</f>
        <v>210542.65925271946</v>
      </c>
      <c r="I21" s="72">
        <f>renewfix*E21</f>
        <v>128.01075211150663</v>
      </c>
      <c r="J21" s="72">
        <f>renewvari*p*E21</f>
        <v>6316.2797775815834</v>
      </c>
      <c r="K21" s="72">
        <f t="shared" si="0"/>
        <v>6444.2905296930903</v>
      </c>
      <c r="L21" s="72">
        <f t="shared" si="1"/>
        <v>-6622.7141861111159</v>
      </c>
      <c r="M21" s="72">
        <f>((M22*VLOOKUP(C21,'Life tables'!$B$4:$D$118,3,FALSE)+VLOOKUP(C21,'Life tables'!$B$4:$D$118,2,FALSE)*sumassured)/(1+int))-12*p+12*(renewfix+renewvari*p)</f>
        <v>-2297416.9352423321</v>
      </c>
      <c r="N21" s="72">
        <f>M22*VLOOKUP(C21,'Life tables'!$B$3:$D$118,3,FALSE)-(1+int)*'Term 30'!M21</f>
        <v>189209.19507922372</v>
      </c>
    </row>
    <row r="22" spans="2:14" x14ac:dyDescent="0.3">
      <c r="B22" s="6">
        <v>13</v>
      </c>
      <c r="C22" s="6">
        <f>age+B22</f>
        <v>31</v>
      </c>
      <c r="D22" s="6">
        <f>term30-B22</f>
        <v>17</v>
      </c>
      <c r="E22" s="60">
        <f>E23*'Term 30'!v*VLOOKUP(C22,'Life tables'!$B$4:$D$118,3,FALSE)+1-(monthly_conv*(1-v*VLOOKUP(C22,'Life tables'!$B$4:$D$118,3,FALSE)))</f>
        <v>12.30392027470508</v>
      </c>
      <c r="F22" s="6">
        <f>F23*v*VLOOKUP(C22,'Life tables'!$B$4:$D$118,3,FALSE)+v*VLOOKUP(C22,'Life tables'!$B$4:$D$118,2,FALSE)</f>
        <v>1.957959733843884E-2</v>
      </c>
      <c r="G22" s="72">
        <f>F22*sumassured</f>
        <v>195795.9733843884</v>
      </c>
      <c r="H22" s="72">
        <f>p*E22</f>
        <v>202365.82092833458</v>
      </c>
      <c r="I22" s="72">
        <f>renewfix*E22</f>
        <v>123.03920274705079</v>
      </c>
      <c r="J22" s="72">
        <f>renewvari*p*E22</f>
        <v>6070.974627850037</v>
      </c>
      <c r="K22" s="72">
        <f t="shared" si="0"/>
        <v>6194.0138305970877</v>
      </c>
      <c r="L22" s="72">
        <f t="shared" si="1"/>
        <v>-375.83371334910044</v>
      </c>
      <c r="M22" s="72">
        <f>((M23*VLOOKUP(C22,'Life tables'!$B$4:$D$118,3,FALSE)+VLOOKUP(C22,'Life tables'!$B$4:$D$118,2,FALSE)*sumassured)/(1+int))-12*p+12*(renewfix+renewvari*p)</f>
        <v>-2202256.0217060084</v>
      </c>
      <c r="N22" s="72">
        <f>M23*VLOOKUP(C22,'Life tables'!$B$3:$D$118,3,FALSE)-(1+int)*'Term 30'!M22</f>
        <v>188929.19507922418</v>
      </c>
    </row>
    <row r="23" spans="2:14" x14ac:dyDescent="0.3">
      <c r="B23" s="6">
        <v>14</v>
      </c>
      <c r="C23" s="6">
        <f>age+B23</f>
        <v>32</v>
      </c>
      <c r="D23" s="6">
        <f>term30-B23</f>
        <v>16</v>
      </c>
      <c r="E23" s="60">
        <f>E24*'Term 30'!v*VLOOKUP(C23,'Life tables'!$B$4:$D$118,3,FALSE)+1-(monthly_conv*(1-v*VLOOKUP(C23,'Life tables'!$B$4:$D$118,3,FALSE)))</f>
        <v>11.786716694304394</v>
      </c>
      <c r="F23" s="6">
        <f>F24*v*VLOOKUP(C23,'Life tables'!$B$4:$D$118,3,FALSE)+v*VLOOKUP(C23,'Life tables'!$B$4:$D$118,2,FALSE)</f>
        <v>1.9377255373626893E-2</v>
      </c>
      <c r="G23" s="72">
        <f>F23*sumassured</f>
        <v>193772.55373626892</v>
      </c>
      <c r="H23" s="72">
        <f>p*E23</f>
        <v>193859.23727060136</v>
      </c>
      <c r="I23" s="72">
        <f>renewfix*E23</f>
        <v>117.86716694304394</v>
      </c>
      <c r="J23" s="72">
        <f>renewvari*p*E23</f>
        <v>5815.7771181180406</v>
      </c>
      <c r="K23" s="72">
        <f t="shared" si="0"/>
        <v>5933.6442850610847</v>
      </c>
      <c r="L23" s="72">
        <f t="shared" si="1"/>
        <v>5846.9607507286419</v>
      </c>
      <c r="M23" s="72">
        <f>((M24*VLOOKUP(C23,'Life tables'!$B$4:$D$118,3,FALSE)+VLOOKUP(C23,'Life tables'!$B$4:$D$118,2,FALSE)*sumassured)/(1+int))-12*p+12*(renewfix+renewvari*p)</f>
        <v>-2103531.1162668732</v>
      </c>
      <c r="N23" s="72">
        <f>M24*VLOOKUP(C23,'Life tables'!$B$3:$D$118,3,FALSE)-(1+int)*'Term 30'!M23</f>
        <v>188559.19507922395</v>
      </c>
    </row>
    <row r="24" spans="2:14" x14ac:dyDescent="0.3">
      <c r="B24" s="6">
        <v>15</v>
      </c>
      <c r="C24" s="6">
        <f>age+B24</f>
        <v>33</v>
      </c>
      <c r="D24" s="6">
        <f>term30-B24</f>
        <v>15</v>
      </c>
      <c r="E24" s="60">
        <f>E25*'Term 30'!v*VLOOKUP(C24,'Life tables'!$B$4:$D$118,3,FALSE)+1-(monthly_conv*(1-v*VLOOKUP(C24,'Life tables'!$B$4:$D$118,3,FALSE)))</f>
        <v>11.248717442318133</v>
      </c>
      <c r="F24" s="6">
        <f>F25*v*VLOOKUP(C24,'Life tables'!$B$4:$D$118,3,FALSE)+v*VLOOKUP(C24,'Life tables'!$B$4:$D$118,2,FALSE)</f>
        <v>1.9130279339643879E-2</v>
      </c>
      <c r="G24" s="72">
        <f>F24*sumassured</f>
        <v>191302.79339643879</v>
      </c>
      <c r="H24" s="72">
        <f>p*E24</f>
        <v>185010.62171911288</v>
      </c>
      <c r="I24" s="72">
        <f>renewfix*E24</f>
        <v>112.48717442318133</v>
      </c>
      <c r="J24" s="72">
        <f>renewvari*p*E24</f>
        <v>5550.3186515733869</v>
      </c>
      <c r="K24" s="72">
        <f t="shared" si="0"/>
        <v>5662.8058259965683</v>
      </c>
      <c r="L24" s="72">
        <f t="shared" si="1"/>
        <v>11954.977503322472</v>
      </c>
      <c r="M24" s="72">
        <f>((M25*VLOOKUP(C24,'Life tables'!$B$4:$D$118,3,FALSE)+VLOOKUP(C24,'Life tables'!$B$4:$D$118,2,FALSE)*sumassured)/(1+int))-12*p+12*(renewfix+renewvari*p)</f>
        <v>-2001198.4145863231</v>
      </c>
      <c r="N24" s="72">
        <f>M25*VLOOKUP(C24,'Life tables'!$B$3:$D$118,3,FALSE)-(1+int)*'Term 30'!M24</f>
        <v>188119.19507922442</v>
      </c>
    </row>
    <row r="25" spans="2:14" x14ac:dyDescent="0.3">
      <c r="B25" s="6">
        <v>16</v>
      </c>
      <c r="C25" s="6">
        <f>age+B25</f>
        <v>34</v>
      </c>
      <c r="D25" s="6">
        <f>term30-B25</f>
        <v>14</v>
      </c>
      <c r="E25" s="60">
        <f>E26*'Term 30'!v*VLOOKUP(C25,'Life tables'!$B$4:$D$118,3,FALSE)+1-(monthly_conv*(1-v*VLOOKUP(C25,'Life tables'!$B$4:$D$118,3,FALSE)))</f>
        <v>10.689105592017123</v>
      </c>
      <c r="F25" s="6">
        <f>F26*v*VLOOKUP(C25,'Life tables'!$B$4:$D$118,3,FALSE)+v*VLOOKUP(C25,'Life tables'!$B$4:$D$118,2,FALSE)</f>
        <v>1.8829939827882718E-2</v>
      </c>
      <c r="G25" s="72">
        <f>F25*sumassured</f>
        <v>188299.39827882717</v>
      </c>
      <c r="H25" s="72">
        <f>p*E25</f>
        <v>175806.53806455567</v>
      </c>
      <c r="I25" s="72">
        <f>renewfix*E25</f>
        <v>106.89105592017123</v>
      </c>
      <c r="J25" s="72">
        <f>renewvari*p*E25</f>
        <v>5274.1961419366698</v>
      </c>
      <c r="K25" s="72">
        <f t="shared" si="0"/>
        <v>5381.0871978568412</v>
      </c>
      <c r="L25" s="72">
        <f t="shared" si="1"/>
        <v>17873.947412128327</v>
      </c>
      <c r="M25" s="72">
        <f>((M26*VLOOKUP(C25,'Life tables'!$B$4:$D$118,3,FALSE)+VLOOKUP(C25,'Life tables'!$B$4:$D$118,2,FALSE)*sumassured)/(1+int))-12*p+12*(renewfix+renewvari*p)</f>
        <v>-1895185.3273560605</v>
      </c>
      <c r="N25" s="72">
        <f>M26*VLOOKUP(C25,'Life tables'!$B$3:$D$118,3,FALSE)-(1+int)*'Term 30'!M25</f>
        <v>187579.19507922442</v>
      </c>
    </row>
    <row r="26" spans="2:14" x14ac:dyDescent="0.3">
      <c r="B26" s="6">
        <v>17</v>
      </c>
      <c r="C26" s="6">
        <f>age+B26</f>
        <v>35</v>
      </c>
      <c r="D26" s="6">
        <f>term30-B26</f>
        <v>13</v>
      </c>
      <c r="E26" s="60">
        <f>E27*'Term 30'!v*VLOOKUP(C26,'Life tables'!$B$4:$D$118,3,FALSE)+1-(monthly_conv*(1-v*VLOOKUP(C26,'Life tables'!$B$4:$D$118,3,FALSE)))</f>
        <v>10.107047683390206</v>
      </c>
      <c r="F26" s="6">
        <f>F27*v*VLOOKUP(C26,'Life tables'!$B$4:$D$118,3,FALSE)+v*VLOOKUP(C26,'Life tables'!$B$4:$D$118,2,FALSE)</f>
        <v>1.8464186593714862E-2</v>
      </c>
      <c r="G26" s="72">
        <f>F26*sumassured</f>
        <v>184641.86593714863</v>
      </c>
      <c r="H26" s="72">
        <f>p*E26</f>
        <v>166233.27817036808</v>
      </c>
      <c r="I26" s="72">
        <f>renewfix*E26</f>
        <v>101.07047683390206</v>
      </c>
      <c r="J26" s="72">
        <f>renewvari*p*E26</f>
        <v>4986.9983451110429</v>
      </c>
      <c r="K26" s="72">
        <f t="shared" si="0"/>
        <v>5088.0688219449448</v>
      </c>
      <c r="L26" s="72">
        <f t="shared" si="1"/>
        <v>23496.656588725484</v>
      </c>
      <c r="M26" s="72">
        <f>((M27*VLOOKUP(C26,'Life tables'!$B$4:$D$118,3,FALSE)+VLOOKUP(C26,'Life tables'!$B$4:$D$118,2,FALSE)*sumassured)/(1+int))-12*p+12*(renewfix+renewvari*p)</f>
        <v>-1785448.9571822665</v>
      </c>
      <c r="N26" s="72">
        <f>M27*VLOOKUP(C26,'Life tables'!$B$3:$D$118,3,FALSE)-(1+int)*'Term 30'!M26</f>
        <v>186959.19507922442</v>
      </c>
    </row>
    <row r="27" spans="2:14" x14ac:dyDescent="0.3">
      <c r="B27" s="6">
        <v>18</v>
      </c>
      <c r="C27" s="6">
        <f>age+B27</f>
        <v>36</v>
      </c>
      <c r="D27" s="6">
        <f>term30-B27</f>
        <v>12</v>
      </c>
      <c r="E27" s="60">
        <f>E28*'Term 30'!v*VLOOKUP(C27,'Life tables'!$B$4:$D$118,3,FALSE)+1-(monthly_conv*(1-v*VLOOKUP(C27,'Life tables'!$B$4:$D$118,3,FALSE)))</f>
        <v>9.5016348057623432</v>
      </c>
      <c r="F27" s="6">
        <f>F28*v*VLOOKUP(C27,'Life tables'!$B$4:$D$118,3,FALSE)+v*VLOOKUP(C27,'Life tables'!$B$4:$D$118,2,FALSE)</f>
        <v>1.8022417002700707E-2</v>
      </c>
      <c r="G27" s="72">
        <f>F27*sumassured</f>
        <v>180224.17002700706</v>
      </c>
      <c r="H27" s="72">
        <f>p*E27</f>
        <v>156275.89294302562</v>
      </c>
      <c r="I27" s="72">
        <f>renewfix*E27</f>
        <v>95.016348057623432</v>
      </c>
      <c r="J27" s="72">
        <f>renewvari*p*E27</f>
        <v>4688.2767882907683</v>
      </c>
      <c r="K27" s="72">
        <f t="shared" si="0"/>
        <v>4783.2931363483922</v>
      </c>
      <c r="L27" s="72">
        <f t="shared" si="1"/>
        <v>28731.570220329828</v>
      </c>
      <c r="M27" s="72">
        <f>((M28*VLOOKUP(C27,'Life tables'!$B$4:$D$118,3,FALSE)+VLOOKUP(C27,'Life tables'!$B$4:$D$118,2,FALSE)*sumassured)/(1+int))-12*p+12*(renewfix+renewvari*p)</f>
        <v>-1671917.3650631388</v>
      </c>
      <c r="N27" s="72">
        <f>M28*VLOOKUP(C27,'Life tables'!$B$3:$D$118,3,FALSE)-(1+int)*'Term 30'!M27</f>
        <v>186229.19507922442</v>
      </c>
    </row>
    <row r="28" spans="2:14" x14ac:dyDescent="0.3">
      <c r="B28" s="6">
        <v>19</v>
      </c>
      <c r="C28" s="6">
        <f>age+B28</f>
        <v>37</v>
      </c>
      <c r="D28" s="6">
        <f>term30-B28</f>
        <v>11</v>
      </c>
      <c r="E28" s="60">
        <f>E29*'Term 30'!v*VLOOKUP(C28,'Life tables'!$B$4:$D$118,3,FALSE)+1-(monthly_conv*(1-v*VLOOKUP(C28,'Life tables'!$B$4:$D$118,3,FALSE)))</f>
        <v>8.8719296165873196</v>
      </c>
      <c r="F28" s="6">
        <f>F29*v*VLOOKUP(C28,'Life tables'!$B$4:$D$118,3,FALSE)+v*VLOOKUP(C28,'Life tables'!$B$4:$D$118,2,FALSE)</f>
        <v>1.7490614215934053E-2</v>
      </c>
      <c r="G28" s="72">
        <f>F28*sumassured</f>
        <v>174906.14215934052</v>
      </c>
      <c r="H28" s="72">
        <f>p*E28</f>
        <v>145918.96566252189</v>
      </c>
      <c r="I28" s="72">
        <f>renewfix*E28</f>
        <v>88.719296165873203</v>
      </c>
      <c r="J28" s="72">
        <f>renewvari*p*E28</f>
        <v>4377.5689698756569</v>
      </c>
      <c r="K28" s="72">
        <f t="shared" si="0"/>
        <v>4466.2882660415298</v>
      </c>
      <c r="L28" s="72">
        <f t="shared" si="1"/>
        <v>33453.464762860152</v>
      </c>
      <c r="M28" s="72">
        <f>((M29*VLOOKUP(C28,'Life tables'!$B$4:$D$118,3,FALSE)+VLOOKUP(C28,'Life tables'!$B$4:$D$118,2,FALSE)*sumassured)/(1+int))-12*p+12*(renewfix+renewvari*p)</f>
        <v>-1554546.9118991112</v>
      </c>
      <c r="N28" s="72">
        <f>M29*VLOOKUP(C28,'Life tables'!$B$3:$D$118,3,FALSE)-(1+int)*'Term 30'!M28</f>
        <v>185399.19507922418</v>
      </c>
    </row>
    <row r="29" spans="2:14" x14ac:dyDescent="0.3">
      <c r="B29" s="6">
        <v>20</v>
      </c>
      <c r="C29" s="6">
        <f>age+B29</f>
        <v>38</v>
      </c>
      <c r="D29" s="6">
        <f>term30-B29</f>
        <v>10</v>
      </c>
      <c r="E29" s="60">
        <f>E30*'Term 30'!v*VLOOKUP(C29,'Life tables'!$B$4:$D$118,3,FALSE)+1-(monthly_conv*(1-v*VLOOKUP(C29,'Life tables'!$B$4:$D$118,3,FALSE)))</f>
        <v>8.2169211301455523</v>
      </c>
      <c r="F29" s="6">
        <f>F30*v*VLOOKUP(C29,'Life tables'!$B$4:$D$118,3,FALSE)+v*VLOOKUP(C29,'Life tables'!$B$4:$D$118,2,FALSE)</f>
        <v>1.6855128048461229E-2</v>
      </c>
      <c r="G29" s="72">
        <f>F29*sumassured</f>
        <v>168551.28048461227</v>
      </c>
      <c r="H29" s="72">
        <f>p*E29</f>
        <v>135145.86838016071</v>
      </c>
      <c r="I29" s="72">
        <f>renewfix*E29</f>
        <v>82.169211301455519</v>
      </c>
      <c r="J29" s="72">
        <f>renewvari*p*E29</f>
        <v>4054.3760514048208</v>
      </c>
      <c r="K29" s="72">
        <f t="shared" si="0"/>
        <v>4136.5452627062759</v>
      </c>
      <c r="L29" s="72">
        <f t="shared" si="1"/>
        <v>37541.957367157826</v>
      </c>
      <c r="M29" s="72">
        <f>((M30*VLOOKUP(C29,'Life tables'!$B$4:$D$118,3,FALSE)+VLOOKUP(C29,'Life tables'!$B$4:$D$118,2,FALSE)*sumassured)/(1+int))-12*p+12*(renewfix+renewvari*p)</f>
        <v>-1433275.9820795155</v>
      </c>
      <c r="N29" s="72">
        <f>M30*VLOOKUP(C29,'Life tables'!$B$3:$D$118,3,FALSE)-(1+int)*'Term 30'!M29</f>
        <v>184449.19507922442</v>
      </c>
    </row>
    <row r="30" spans="2:14" x14ac:dyDescent="0.3">
      <c r="B30" s="6">
        <v>21</v>
      </c>
      <c r="C30" s="6">
        <f>age+B30</f>
        <v>39</v>
      </c>
      <c r="D30" s="6">
        <f>term30-B30</f>
        <v>9</v>
      </c>
      <c r="E30" s="60">
        <f>E31*'Term 30'!v*VLOOKUP(C30,'Life tables'!$B$4:$D$118,3,FALSE)+1-(monthly_conv*(1-v*VLOOKUP(C30,'Life tables'!$B$4:$D$118,3,FALSE)))</f>
        <v>7.5355464159604324</v>
      </c>
      <c r="F30" s="6">
        <f>F31*v*VLOOKUP(C30,'Life tables'!$B$4:$D$118,3,FALSE)+v*VLOOKUP(C30,'Life tables'!$B$4:$D$118,2,FALSE)</f>
        <v>1.6099726072382851E-2</v>
      </c>
      <c r="G30" s="72">
        <f>F30*sumassured</f>
        <v>160997.26072382851</v>
      </c>
      <c r="H30" s="72">
        <f>p*E30</f>
        <v>123939.11879813074</v>
      </c>
      <c r="I30" s="72">
        <f>renewfix*E30</f>
        <v>75.355464159604324</v>
      </c>
      <c r="J30" s="72">
        <f>renewvari*p*E30</f>
        <v>3718.1735639439221</v>
      </c>
      <c r="K30" s="72">
        <f t="shared" si="0"/>
        <v>3793.5290281035263</v>
      </c>
      <c r="L30" s="72">
        <f t="shared" si="1"/>
        <v>40851.67095380128</v>
      </c>
      <c r="M30" s="72">
        <f>((M31*VLOOKUP(C30,'Life tables'!$B$4:$D$118,3,FALSE)+VLOOKUP(C30,'Life tables'!$B$4:$D$118,2,FALSE)*sumassured)/(1+int))-12*p+12*(renewfix+renewvari*p)</f>
        <v>-1308058.4351898024</v>
      </c>
      <c r="N30" s="72">
        <f>M31*VLOOKUP(C30,'Life tables'!$B$3:$D$118,3,FALSE)-(1+int)*'Term 30'!M30</f>
        <v>183379.19507922442</v>
      </c>
    </row>
    <row r="31" spans="2:14" x14ac:dyDescent="0.3">
      <c r="B31" s="6">
        <v>22</v>
      </c>
      <c r="C31" s="6">
        <f>age+B31</f>
        <v>40</v>
      </c>
      <c r="D31" s="6">
        <f>term30-B31</f>
        <v>8</v>
      </c>
      <c r="E31" s="60">
        <f>E32*'Term 30'!v*VLOOKUP(C31,'Life tables'!$B$4:$D$118,3,FALSE)+1-(monthly_conv*(1-v*VLOOKUP(C31,'Life tables'!$B$4:$D$118,3,FALSE)))</f>
        <v>6.8266662052123142</v>
      </c>
      <c r="F31" s="6">
        <f>F32*v*VLOOKUP(C31,'Life tables'!$B$4:$D$118,3,FALSE)+v*VLOOKUP(C31,'Life tables'!$B$4:$D$118,2,FALSE)</f>
        <v>1.5207438719680869E-2</v>
      </c>
      <c r="G31" s="72">
        <f>F31*sumassured</f>
        <v>152074.38719680868</v>
      </c>
      <c r="H31" s="72">
        <f>p*E31</f>
        <v>112279.97906176469</v>
      </c>
      <c r="I31" s="72">
        <f>renewfix*E31</f>
        <v>68.266662052123138</v>
      </c>
      <c r="J31" s="72">
        <f>renewvari*p*E31</f>
        <v>3368.3993718529409</v>
      </c>
      <c r="K31" s="72">
        <f t="shared" si="0"/>
        <v>3436.6660339050641</v>
      </c>
      <c r="L31" s="72">
        <f t="shared" si="1"/>
        <v>43231.074168949039</v>
      </c>
      <c r="M31" s="72">
        <f>((M32*VLOOKUP(C31,'Life tables'!$B$4:$D$118,3,FALSE)+VLOOKUP(C31,'Life tables'!$B$4:$D$118,2,FALSE)*sumassured)/(1+int))-12*p+12*(renewfix+renewvari*p)</f>
        <v>-1178840.5688055069</v>
      </c>
      <c r="N31" s="72">
        <f>M32*VLOOKUP(C31,'Life tables'!$B$3:$D$118,3,FALSE)-(1+int)*'Term 30'!M31</f>
        <v>182179.19507922442</v>
      </c>
    </row>
    <row r="32" spans="2:14" x14ac:dyDescent="0.3">
      <c r="B32" s="6">
        <v>23</v>
      </c>
      <c r="C32" s="6">
        <f>age+B32</f>
        <v>41</v>
      </c>
      <c r="D32" s="6">
        <f>term30-B32</f>
        <v>7</v>
      </c>
      <c r="E32" s="60">
        <f>E33*'Term 30'!v*VLOOKUP(C32,'Life tables'!$B$4:$D$118,3,FALSE)+1-(monthly_conv*(1-v*VLOOKUP(C32,'Life tables'!$B$4:$D$118,3,FALSE)))</f>
        <v>6.0890658173272509</v>
      </c>
      <c r="F32" s="6">
        <f>F33*v*VLOOKUP(C32,'Life tables'!$B$4:$D$118,3,FALSE)+v*VLOOKUP(C32,'Life tables'!$B$4:$D$118,2,FALSE)</f>
        <v>1.4159524269240428E-2</v>
      </c>
      <c r="G32" s="72">
        <f>F32*sumassured</f>
        <v>141595.24269240428</v>
      </c>
      <c r="H32" s="72">
        <f>p*E32</f>
        <v>100148.47099938849</v>
      </c>
      <c r="I32" s="72">
        <f>renewfix*E32</f>
        <v>60.890658173272513</v>
      </c>
      <c r="J32" s="72">
        <f>renewvari*p*E32</f>
        <v>3004.4541299816547</v>
      </c>
      <c r="K32" s="72">
        <f t="shared" si="0"/>
        <v>3065.3447881549273</v>
      </c>
      <c r="L32" s="72">
        <f t="shared" si="1"/>
        <v>44512.116481170728</v>
      </c>
      <c r="M32" s="72">
        <f>((M33*VLOOKUP(C32,'Life tables'!$B$4:$D$118,3,FALSE)+VLOOKUP(C32,'Life tables'!$B$4:$D$118,2,FALSE)*sumassured)/(1+int))-12*p+12*(renewfix+renewvari*p)</f>
        <v>-1045571.5566937483</v>
      </c>
      <c r="N32" s="72">
        <f>M33*VLOOKUP(C32,'Life tables'!$B$3:$D$118,3,FALSE)-(1+int)*'Term 30'!M32</f>
        <v>180829.19507922442</v>
      </c>
    </row>
    <row r="33" spans="2:14" x14ac:dyDescent="0.3">
      <c r="B33" s="6">
        <v>24</v>
      </c>
      <c r="C33" s="6">
        <f>age+B33</f>
        <v>42</v>
      </c>
      <c r="D33" s="6">
        <f>term30-B33</f>
        <v>6</v>
      </c>
      <c r="E33" s="60">
        <f>E34*'Term 30'!v*VLOOKUP(C33,'Life tables'!$B$4:$D$118,3,FALSE)+1-(monthly_conv*(1-v*VLOOKUP(C33,'Life tables'!$B$4:$D$118,3,FALSE)))</f>
        <v>5.3214520939041101</v>
      </c>
      <c r="F33" s="6">
        <f>F34*v*VLOOKUP(C33,'Life tables'!$B$4:$D$118,3,FALSE)+v*VLOOKUP(C33,'Life tables'!$B$4:$D$118,2,FALSE)</f>
        <v>1.2934381141782383E-2</v>
      </c>
      <c r="G33" s="72">
        <f>F33*sumassured</f>
        <v>129343.81141782383</v>
      </c>
      <c r="H33" s="72">
        <f>p*E33</f>
        <v>87523.325693812061</v>
      </c>
      <c r="I33" s="72">
        <f>renewfix*E33</f>
        <v>53.214520939041101</v>
      </c>
      <c r="J33" s="72">
        <f>renewvari*p*E33</f>
        <v>2625.6997708143617</v>
      </c>
      <c r="K33" s="72">
        <f t="shared" si="0"/>
        <v>2678.9142917534027</v>
      </c>
      <c r="L33" s="72">
        <f t="shared" si="1"/>
        <v>44499.400015765175</v>
      </c>
      <c r="M33" s="72">
        <f>((M34*VLOOKUP(C33,'Life tables'!$B$4:$D$118,3,FALSE)+VLOOKUP(C33,'Life tables'!$B$4:$D$118,2,FALSE)*sumassured)/(1+int))-12*p+12*(renewfix+renewvari*p)</f>
        <v>-908213.63162367092</v>
      </c>
      <c r="N33" s="72">
        <f>M34*VLOOKUP(C33,'Life tables'!$B$3:$D$118,3,FALSE)-(1+int)*'Term 30'!M33</f>
        <v>179289.1950792243</v>
      </c>
    </row>
    <row r="34" spans="2:14" x14ac:dyDescent="0.3">
      <c r="B34" s="6">
        <v>25</v>
      </c>
      <c r="C34" s="6">
        <f>age+B34</f>
        <v>43</v>
      </c>
      <c r="D34" s="6">
        <f>term30-B34</f>
        <v>5</v>
      </c>
      <c r="E34" s="60">
        <f>E35*'Term 30'!v*VLOOKUP(C34,'Life tables'!$B$4:$D$118,3,FALSE)+1-(monthly_conv*(1-v*VLOOKUP(C34,'Life tables'!$B$4:$D$118,3,FALSE)))</f>
        <v>4.5224506747054365</v>
      </c>
      <c r="F34" s="6">
        <f>F35*v*VLOOKUP(C34,'Life tables'!$B$4:$D$118,3,FALSE)+v*VLOOKUP(C34,'Life tables'!$B$4:$D$118,2,FALSE)</f>
        <v>1.1505410540808531E-2</v>
      </c>
      <c r="G34" s="72">
        <f>F34*sumassured</f>
        <v>115054.10540808531</v>
      </c>
      <c r="H34" s="72">
        <f>p*E34</f>
        <v>74381.938679832921</v>
      </c>
      <c r="I34" s="72">
        <f>renewfix*E34</f>
        <v>45.224506747054363</v>
      </c>
      <c r="J34" s="72">
        <f>renewvari*p*E34</f>
        <v>2231.4581603949873</v>
      </c>
      <c r="K34" s="72">
        <f t="shared" si="0"/>
        <v>2276.6826671420417</v>
      </c>
      <c r="L34" s="72">
        <f t="shared" si="1"/>
        <v>42948.849395394427</v>
      </c>
      <c r="M34" s="72">
        <f>((M35*VLOOKUP(C34,'Life tables'!$B$4:$D$118,3,FALSE)+VLOOKUP(C34,'Life tables'!$B$4:$D$118,2,FALSE)*sumassured)/(1+int))-12*p+12*(renewfix+renewvari*p)</f>
        <v>-766762.73763980623</v>
      </c>
      <c r="N34" s="72">
        <f>M35*VLOOKUP(C34,'Life tables'!$B$3:$D$118,3,FALSE)-(1+int)*'Term 30'!M34</f>
        <v>177539.19507922418</v>
      </c>
    </row>
    <row r="35" spans="2:14" x14ac:dyDescent="0.3">
      <c r="B35" s="6">
        <v>26</v>
      </c>
      <c r="C35" s="6">
        <f>age+B35</f>
        <v>44</v>
      </c>
      <c r="D35" s="6">
        <f>term30-B35</f>
        <v>4</v>
      </c>
      <c r="E35" s="60">
        <f>E36*'Term 30'!v*VLOOKUP(C35,'Life tables'!$B$4:$D$118,3,FALSE)+1-(monthly_conv*(1-v*VLOOKUP(C35,'Life tables'!$B$4:$D$118,3,FALSE)))</f>
        <v>3.6905772994236186</v>
      </c>
      <c r="F35" s="6">
        <f>F36*v*VLOOKUP(C35,'Life tables'!$B$4:$D$118,3,FALSE)+v*VLOOKUP(C35,'Life tables'!$B$4:$D$118,2,FALSE)</f>
        <v>9.8427297750786416E-3</v>
      </c>
      <c r="G35" s="72">
        <f>F35*sumassured</f>
        <v>98427.297750786413</v>
      </c>
      <c r="H35" s="72">
        <f>p*E35</f>
        <v>60699.897936817397</v>
      </c>
      <c r="I35" s="72">
        <f>renewfix*E35</f>
        <v>36.905772994236187</v>
      </c>
      <c r="J35" s="72">
        <f>renewvari*p*E35</f>
        <v>1820.9969381045219</v>
      </c>
      <c r="K35" s="72">
        <f t="shared" si="0"/>
        <v>1857.9027110987581</v>
      </c>
      <c r="L35" s="72">
        <f t="shared" si="1"/>
        <v>39585.302525067767</v>
      </c>
      <c r="M35" s="72">
        <f>((M36*VLOOKUP(C35,'Life tables'!$B$4:$D$118,3,FALSE)+VLOOKUP(C35,'Life tables'!$B$4:$D$118,2,FALSE)*sumassured)/(1+int))-12*p+12*(renewfix+renewvari*p)</f>
        <v>-621225.9605255411</v>
      </c>
      <c r="N35" s="72">
        <f>M36*VLOOKUP(C35,'Life tables'!$B$3:$D$118,3,FALSE)-(1+int)*'Term 30'!M35</f>
        <v>175529.19507922418</v>
      </c>
    </row>
    <row r="36" spans="2:14" x14ac:dyDescent="0.3">
      <c r="B36" s="6">
        <v>27</v>
      </c>
      <c r="C36" s="6">
        <f>age+B36</f>
        <v>45</v>
      </c>
      <c r="D36" s="6">
        <f>term30-B36</f>
        <v>3</v>
      </c>
      <c r="E36" s="60">
        <f>E37*'Term 30'!v*VLOOKUP(C36,'Life tables'!$B$4:$D$118,3,FALSE)+1-(monthly_conv*(1-v*VLOOKUP(C36,'Life tables'!$B$4:$D$118,3,FALSE)))</f>
        <v>2.8242313388902618</v>
      </c>
      <c r="F36" s="6">
        <f>F37*v*VLOOKUP(C36,'Life tables'!$B$4:$D$118,3,FALSE)+v*VLOOKUP(C36,'Life tables'!$B$4:$D$118,2,FALSE)</f>
        <v>7.9099878876783946E-3</v>
      </c>
      <c r="G36" s="72">
        <f>F36*sumassured</f>
        <v>79099.878876783943</v>
      </c>
      <c r="H36" s="72">
        <f>p*E36</f>
        <v>46450.87749479559</v>
      </c>
      <c r="I36" s="72">
        <f>renewfix*E36</f>
        <v>28.242313388902616</v>
      </c>
      <c r="J36" s="72">
        <f>renewvari*p*E36</f>
        <v>1393.5263248438675</v>
      </c>
      <c r="K36" s="72">
        <f t="shared" si="0"/>
        <v>1421.7686382327702</v>
      </c>
      <c r="L36" s="72">
        <f t="shared" si="1"/>
        <v>34070.77002022112</v>
      </c>
      <c r="M36" s="72">
        <f>((M37*VLOOKUP(C36,'Life tables'!$B$4:$D$118,3,FALSE)+VLOOKUP(C36,'Life tables'!$B$4:$D$118,2,FALSE)*sumassured)/(1+int))-12*p+12*(renewfix+renewvari*p)</f>
        <v>-471651.8274025977</v>
      </c>
      <c r="N36" s="72">
        <f>M37*VLOOKUP(C36,'Life tables'!$B$3:$D$118,3,FALSE)-(1+int)*'Term 30'!M36</f>
        <v>173189.19507922418</v>
      </c>
    </row>
    <row r="37" spans="2:14" x14ac:dyDescent="0.3">
      <c r="B37" s="6">
        <v>28</v>
      </c>
      <c r="C37" s="6">
        <f>age+B37</f>
        <v>46</v>
      </c>
      <c r="D37" s="6">
        <f>term30-B37</f>
        <v>2</v>
      </c>
      <c r="E37" s="60">
        <f>E38*'Term 30'!v*VLOOKUP(C37,'Life tables'!$B$4:$D$118,3,FALSE)+1-(monthly_conv*(1-v*VLOOKUP(C37,'Life tables'!$B$4:$D$118,3,FALSE)))</f>
        <v>1.9216719594292404</v>
      </c>
      <c r="F37" s="6">
        <f>F38*v*VLOOKUP(C37,'Life tables'!$B$4:$D$118,3,FALSE)+v*VLOOKUP(C37,'Life tables'!$B$4:$D$118,2,FALSE)</f>
        <v>5.6619896745562113E-3</v>
      </c>
      <c r="G37" s="72">
        <f>F37*sumassured</f>
        <v>56619.89674556211</v>
      </c>
      <c r="H37" s="72">
        <f>p*E37</f>
        <v>31606.245403291254</v>
      </c>
      <c r="I37" s="72">
        <f>renewfix*E37</f>
        <v>19.216719594292403</v>
      </c>
      <c r="J37" s="72">
        <f>renewvari*p*E37</f>
        <v>948.18736209873759</v>
      </c>
      <c r="K37" s="72">
        <f t="shared" si="0"/>
        <v>967.40408169302998</v>
      </c>
      <c r="L37" s="72">
        <f t="shared" si="1"/>
        <v>25981.055423963884</v>
      </c>
      <c r="M37" s="72">
        <f>((M38*VLOOKUP(C37,'Life tables'!$B$4:$D$118,3,FALSE)+VLOOKUP(C37,'Life tables'!$B$4:$D$118,2,FALSE)*sumassured)/(1+int))-12*p+12*(renewfix+renewvari*p)</f>
        <v>-318149.21223783883</v>
      </c>
      <c r="N37" s="72">
        <f>M38*VLOOKUP(C37,'Life tables'!$B$3:$D$118,3,FALSE)-(1+int)*'Term 30'!M37</f>
        <v>170469.19507922418</v>
      </c>
    </row>
    <row r="38" spans="2:14" x14ac:dyDescent="0.3">
      <c r="B38" s="6">
        <v>29</v>
      </c>
      <c r="C38" s="6">
        <f>age+B38</f>
        <v>47</v>
      </c>
      <c r="D38" s="6">
        <f>term30-B38</f>
        <v>1</v>
      </c>
      <c r="E38" s="60">
        <f>E39*'Term 30'!v*VLOOKUP(C38,'Life tables'!$B$4:$D$118,3,FALSE)+1-(monthly_conv*(1-v*VLOOKUP(C38,'Life tables'!$B$4:$D$118,3,FALSE)))</f>
        <v>0.98097564102564105</v>
      </c>
      <c r="F38" s="6">
        <f>v*VLOOKUP(C38,'Life tables'!$B$4:$D$118,2,FALSE)</f>
        <v>3.0461538461538456E-3</v>
      </c>
      <c r="G38" s="72">
        <f>F38*sumassured</f>
        <v>30461.538461538457</v>
      </c>
      <c r="H38" s="72">
        <f>p*E38</f>
        <v>16134.365021445285</v>
      </c>
      <c r="I38" s="72">
        <f>renewfix*E38</f>
        <v>9.8097564102564103</v>
      </c>
      <c r="J38" s="72">
        <f>renewvari*p*E38</f>
        <v>484.03095064335855</v>
      </c>
      <c r="K38" s="72">
        <f t="shared" si="0"/>
        <v>493.84070705361495</v>
      </c>
      <c r="L38" s="72">
        <f t="shared" si="1"/>
        <v>14821.014147146789</v>
      </c>
      <c r="M38" s="72">
        <f>((M39*VLOOKUP(C38,'Life tables'!$B$4:$D$118,3,FALSE)+VLOOKUP(C38,'Life tables'!$B$4:$D$118,2,FALSE)*sumassured)/(1+int))-12*p+12*(renewfix+renewvari*p)</f>
        <v>-160864.61065310019</v>
      </c>
      <c r="N38" s="72">
        <f>M39*VLOOKUP(C38,'Life tables'!$B$3:$D$118,3,FALSE)-(1+int)*'Term 30'!M38</f>
        <v>167299.19507922421</v>
      </c>
    </row>
    <row r="39" spans="2:14" x14ac:dyDescent="0.3">
      <c r="B39" s="6">
        <v>30</v>
      </c>
      <c r="C39" s="6">
        <f>age+B39</f>
        <v>48</v>
      </c>
      <c r="D39" s="6">
        <f>term30-B39</f>
        <v>0</v>
      </c>
      <c r="E39" s="80">
        <v>0</v>
      </c>
      <c r="F39" s="6">
        <v>0</v>
      </c>
      <c r="G39" s="72">
        <f>F39*sumassured</f>
        <v>0</v>
      </c>
      <c r="H39" s="72">
        <f>p*E39</f>
        <v>0</v>
      </c>
      <c r="I39" s="81">
        <f>renewfix*E39</f>
        <v>0</v>
      </c>
      <c r="J39" s="82">
        <f>renewvari*p*E39</f>
        <v>0</v>
      </c>
      <c r="K39" s="72">
        <f t="shared" si="0"/>
        <v>0</v>
      </c>
      <c r="L39" s="72">
        <f t="shared" si="1"/>
        <v>0</v>
      </c>
      <c r="M39" s="81">
        <f>G39+K39-H39</f>
        <v>0</v>
      </c>
      <c r="N39" s="72"/>
    </row>
    <row r="40" spans="2:14" x14ac:dyDescent="0.3">
      <c r="B40" s="45"/>
      <c r="C40" s="45"/>
      <c r="D40" s="45"/>
      <c r="E40" s="45"/>
      <c r="F40" s="6"/>
      <c r="G40" s="6"/>
      <c r="H40" s="6"/>
      <c r="K40" s="6"/>
      <c r="L40" s="6"/>
    </row>
    <row r="41" spans="2:14" x14ac:dyDescent="0.3">
      <c r="F41" s="6" t="s">
        <v>40</v>
      </c>
      <c r="G41" s="83">
        <f>SUM(G9:G39)</f>
        <v>5091324.5889348732</v>
      </c>
      <c r="H41" s="83">
        <f>SUM(H9:H39)</f>
        <v>5283791.0799275525</v>
      </c>
      <c r="K41" s="83">
        <f>SUM(K9:K39)</f>
        <v>192466.49099267798</v>
      </c>
      <c r="L41" s="83">
        <f>SUM(L9:L39)</f>
        <v>1.2732925824820995E-11</v>
      </c>
    </row>
  </sheetData>
  <mergeCells count="2">
    <mergeCell ref="C7:I7"/>
    <mergeCell ref="B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zoomScale="99" zoomScaleNormal="99" workbookViewId="0">
      <selection activeCell="E2" sqref="E2"/>
    </sheetView>
  </sheetViews>
  <sheetFormatPr defaultRowHeight="14.4" x14ac:dyDescent="0.3"/>
  <cols>
    <col min="2" max="2" width="13.5546875" bestFit="1" customWidth="1"/>
    <col min="3" max="3" width="10.6640625" bestFit="1" customWidth="1"/>
    <col min="4" max="4" width="14.33203125" bestFit="1" customWidth="1"/>
    <col min="5" max="5" width="16.44140625" bestFit="1" customWidth="1"/>
    <col min="6" max="6" width="20" bestFit="1" customWidth="1"/>
    <col min="7" max="8" width="14.5546875" bestFit="1" customWidth="1"/>
    <col min="9" max="9" width="19.21875" bestFit="1" customWidth="1"/>
    <col min="10" max="10" width="21.77734375" bestFit="1" customWidth="1"/>
    <col min="11" max="11" width="19.109375" bestFit="1" customWidth="1"/>
    <col min="12" max="12" width="12.6640625" bestFit="1" customWidth="1"/>
    <col min="13" max="13" width="13.77734375" bestFit="1" customWidth="1"/>
    <col min="14" max="14" width="13.6640625" bestFit="1" customWidth="1"/>
    <col min="15" max="15" width="12.88671875" bestFit="1" customWidth="1"/>
    <col min="16" max="16" width="19.109375" bestFit="1" customWidth="1"/>
    <col min="17" max="17" width="21.6640625" bestFit="1" customWidth="1"/>
    <col min="18" max="18" width="18.21875" bestFit="1" customWidth="1"/>
    <col min="19" max="19" width="14.21875" customWidth="1"/>
  </cols>
  <sheetData>
    <row r="1" spans="1:14" ht="36.6" x14ac:dyDescent="0.7">
      <c r="B1" s="85" t="s">
        <v>44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15" thickBot="1" x14ac:dyDescent="0.35"/>
    <row r="3" spans="1:14" ht="15" thickBot="1" x14ac:dyDescent="0.35">
      <c r="A3" s="59" t="s">
        <v>23</v>
      </c>
      <c r="B3" s="62">
        <f>int</f>
        <v>0.04</v>
      </c>
      <c r="F3" s="65" t="s">
        <v>39</v>
      </c>
      <c r="G3" s="66">
        <f>SUM(L9:L49)</f>
        <v>1.6298145055770874E-9</v>
      </c>
      <c r="J3" s="59" t="s">
        <v>26</v>
      </c>
      <c r="K3" s="61">
        <v>32852.773024258262</v>
      </c>
    </row>
    <row r="4" spans="1:14" ht="15" thickBot="1" x14ac:dyDescent="0.35">
      <c r="A4" s="8" t="s">
        <v>24</v>
      </c>
      <c r="B4" s="63">
        <f>1/(1+int)</f>
        <v>0.96153846153846145</v>
      </c>
      <c r="J4" s="8" t="s">
        <v>27</v>
      </c>
      <c r="K4" s="44">
        <f>p*12</f>
        <v>394233.27629109914</v>
      </c>
    </row>
    <row r="5" spans="1:14" x14ac:dyDescent="0.3">
      <c r="A5" s="45"/>
      <c r="B5" s="84"/>
    </row>
    <row r="7" spans="1:14" ht="15" thickBot="1" x14ac:dyDescent="0.35">
      <c r="C7" s="46"/>
      <c r="D7" s="46"/>
      <c r="E7" s="46"/>
      <c r="F7" s="46"/>
      <c r="G7" s="46"/>
      <c r="H7" s="46"/>
      <c r="I7" s="46"/>
    </row>
    <row r="8" spans="1:14" ht="15" thickBot="1" x14ac:dyDescent="0.35">
      <c r="B8" s="76" t="s">
        <v>28</v>
      </c>
      <c r="C8" s="77" t="s">
        <v>29</v>
      </c>
      <c r="D8" s="78" t="s">
        <v>30</v>
      </c>
      <c r="E8" s="78" t="s">
        <v>31</v>
      </c>
      <c r="F8" s="78" t="s">
        <v>32</v>
      </c>
      <c r="G8" s="78" t="s">
        <v>34</v>
      </c>
      <c r="H8" s="78" t="s">
        <v>35</v>
      </c>
      <c r="I8" s="78" t="s">
        <v>36</v>
      </c>
      <c r="J8" s="78" t="s">
        <v>37</v>
      </c>
      <c r="K8" s="78" t="s">
        <v>38</v>
      </c>
      <c r="L8" s="78" t="s">
        <v>39</v>
      </c>
      <c r="M8" s="78" t="s">
        <v>41</v>
      </c>
      <c r="N8" s="79" t="s">
        <v>42</v>
      </c>
    </row>
    <row r="9" spans="1:14" x14ac:dyDescent="0.3">
      <c r="B9" s="73">
        <v>0</v>
      </c>
      <c r="C9" s="73">
        <f>age+B9</f>
        <v>18</v>
      </c>
      <c r="D9" s="73">
        <f>term40-B9</f>
        <v>40</v>
      </c>
      <c r="E9" s="74">
        <f>E10*'Term 40'!v*VLOOKUP(C9,'Life tables'!$B$4:$D$118,3,FALSE)+1-(monthly_conv*(1-v*VLOOKUP(C9,'Life tables'!$B$4:$D$118,3,FALSE)))</f>
        <v>19.842341147099301</v>
      </c>
      <c r="F9" s="73">
        <f>F10*v*VLOOKUP(C9,'Life tables'!$B$4:$D$118,3,FALSE)+v*VLOOKUP(C9,'Life tables'!$B$4:$D$118,2,FALSE)</f>
        <v>3.4451899120648118E-2</v>
      </c>
      <c r="G9" s="75">
        <f>F9*sumassured</f>
        <v>344518.99120648118</v>
      </c>
      <c r="H9" s="75">
        <f>p*E9</f>
        <v>651875.92997555365</v>
      </c>
      <c r="I9" s="75">
        <f>inifixed</f>
        <v>50</v>
      </c>
      <c r="J9" s="75">
        <f>inivari*K4</f>
        <v>78846.655258219835</v>
      </c>
      <c r="K9" s="75">
        <f>SUM(I9:J9)</f>
        <v>78896.655258219835</v>
      </c>
      <c r="L9" s="75">
        <f t="shared" ref="L9:L49" si="0">G9+K9-H9</f>
        <v>-228460.28351085261</v>
      </c>
      <c r="M9" s="75">
        <f>((M10*VLOOKUP(C9,'Life tables'!$B$4:$D$118,3,FALSE)+VLOOKUP(C9,'Life tables'!$B$4:$D$118,2,FALSE)*sumassured)/(1+int))-12*p+(inifixed+inivari*p*12)</f>
        <v>-7316248.3500159485</v>
      </c>
      <c r="N9" s="75">
        <f>M10*VLOOKUP(C9,'Life tables'!$B$3:$D$118,3,FALSE)-(1+int)*'Term 40'!M9</f>
        <v>319210.08587419521</v>
      </c>
    </row>
    <row r="10" spans="1:14" x14ac:dyDescent="0.3">
      <c r="B10" s="6">
        <v>1</v>
      </c>
      <c r="C10" s="6">
        <f>age+B10</f>
        <v>19</v>
      </c>
      <c r="D10" s="6">
        <f>term40-B10</f>
        <v>39</v>
      </c>
      <c r="E10" s="60">
        <f>E11*'Term 40'!v*VLOOKUP(C10,'Life tables'!$B$4:$D$118,3,FALSE)+1-(monthly_conv*(1-v*VLOOKUP(C10,'Life tables'!$B$4:$D$118,3,FALSE)))</f>
        <v>19.631927013860057</v>
      </c>
      <c r="F10" s="6">
        <f>F11*v*VLOOKUP(C10,'Life tables'!$B$4:$D$118,3,FALSE)+v*VLOOKUP(C10,'Life tables'!$B$4:$D$118,2,FALSE)</f>
        <v>3.4986553333087159E-2</v>
      </c>
      <c r="G10" s="72">
        <f>F10*sumassured</f>
        <v>349865.53333087161</v>
      </c>
      <c r="H10" s="72">
        <f>p*E10</f>
        <v>644963.24221514876</v>
      </c>
      <c r="I10" s="72">
        <f>renewfix*E10</f>
        <v>196.31927013860059</v>
      </c>
      <c r="J10" s="72">
        <f>renewvari*p*E10</f>
        <v>19348.89726645446</v>
      </c>
      <c r="K10" s="72">
        <f t="shared" ref="K10:K49" si="1">SUM(I10:J10)</f>
        <v>19545.21653659306</v>
      </c>
      <c r="L10" s="72">
        <f t="shared" si="0"/>
        <v>-275552.49234768411</v>
      </c>
      <c r="M10" s="72">
        <f>((M11*VLOOKUP(C10,'Life tables'!$B$4:$D$118,3,FALSE)+VLOOKUP(C10,'Life tables'!$B$4:$D$118,2,FALSE)*sumassured)/(1+int))-12*p+12*(renewfix+renewvari*p)</f>
        <v>-7296064.9589164853</v>
      </c>
      <c r="N10" s="72">
        <f>M11*VLOOKUP(C10,'Life tables'!$B$3:$D$118,3,FALSE)-(1+int)*'Term 40'!M10</f>
        <v>388527.72912246082</v>
      </c>
    </row>
    <row r="11" spans="1:14" x14ac:dyDescent="0.3">
      <c r="B11" s="6">
        <v>2</v>
      </c>
      <c r="C11" s="6">
        <f>age+B11</f>
        <v>20</v>
      </c>
      <c r="D11" s="6">
        <f>term40-B11</f>
        <v>38</v>
      </c>
      <c r="E11" s="60">
        <f>E12*'Term 40'!v*VLOOKUP(C11,'Life tables'!$B$4:$D$118,3,FALSE)+1-(monthly_conv*(1-v*VLOOKUP(C11,'Life tables'!$B$4:$D$118,3,FALSE)))</f>
        <v>19.413521456332443</v>
      </c>
      <c r="F11" s="6">
        <f>F12*v*VLOOKUP(C11,'Life tables'!$B$4:$D$118,3,FALSE)+v*VLOOKUP(C11,'Life tables'!$B$4:$D$118,2,FALSE)</f>
        <v>3.5513154871569419E-2</v>
      </c>
      <c r="G11" s="72">
        <f>F11*sumassured</f>
        <v>355131.54871569417</v>
      </c>
      <c r="H11" s="72">
        <f>p*E11</f>
        <v>637788.01400645741</v>
      </c>
      <c r="I11" s="72">
        <f>renewfix*E11</f>
        <v>194.13521456332444</v>
      </c>
      <c r="J11" s="72">
        <f>renewvari*p*E11</f>
        <v>19133.640420193722</v>
      </c>
      <c r="K11" s="72">
        <f t="shared" si="1"/>
        <v>19327.775634757047</v>
      </c>
      <c r="L11" s="72">
        <f t="shared" si="0"/>
        <v>-263328.68965600617</v>
      </c>
      <c r="M11" s="72">
        <f>((M12*VLOOKUP(C11,'Life tables'!$B$4:$D$118,3,FALSE)+VLOOKUP(C11,'Life tables'!$B$4:$D$118,2,FALSE)*sumassured)/(1+int))-12*p+12*(renewfix+renewvari*p)</f>
        <v>-7205901.1687083654</v>
      </c>
      <c r="N11" s="72">
        <f>M12*VLOOKUP(C11,'Life tables'!$B$3:$D$118,3,FALSE)-(1+int)*'Term 40'!M11</f>
        <v>388337.72912246082</v>
      </c>
    </row>
    <row r="12" spans="1:14" x14ac:dyDescent="0.3">
      <c r="B12" s="6">
        <v>3</v>
      </c>
      <c r="C12" s="6">
        <f>age+B12</f>
        <v>21</v>
      </c>
      <c r="D12" s="6">
        <f>term40-B12</f>
        <v>37</v>
      </c>
      <c r="E12" s="60">
        <f>E13*'Term 40'!v*VLOOKUP(C12,'Life tables'!$B$4:$D$118,3,FALSE)+1-(monthly_conv*(1-v*VLOOKUP(C12,'Life tables'!$B$4:$D$118,3,FALSE)))</f>
        <v>19.186547517825549</v>
      </c>
      <c r="F12" s="6">
        <f>F13*v*VLOOKUP(C12,'Life tables'!$B$4:$D$118,3,FALSE)+v*VLOOKUP(C12,'Life tables'!$B$4:$D$118,2,FALSE)</f>
        <v>3.6042984784372963E-2</v>
      </c>
      <c r="G12" s="72">
        <f>F12*sumassured</f>
        <v>360429.8478437296</v>
      </c>
      <c r="H12" s="72">
        <f>p*E12</f>
        <v>630331.29072226852</v>
      </c>
      <c r="I12" s="72">
        <f>renewfix*E12</f>
        <v>191.86547517825548</v>
      </c>
      <c r="J12" s="72">
        <f>renewvari*p*E12</f>
        <v>18909.938721668055</v>
      </c>
      <c r="K12" s="72">
        <f t="shared" si="1"/>
        <v>19101.804196846311</v>
      </c>
      <c r="L12" s="72">
        <f t="shared" si="0"/>
        <v>-250799.6386816926</v>
      </c>
      <c r="M12" s="72">
        <f>((M13*VLOOKUP(C12,'Life tables'!$B$4:$D$118,3,FALSE)+VLOOKUP(C12,'Life tables'!$B$4:$D$118,2,FALSE)*sumassured)/(1+int))-12*p+12*(renewfix+renewvari*p)</f>
        <v>-7112371.3174315458</v>
      </c>
      <c r="N12" s="72">
        <f>M13*VLOOKUP(C12,'Life tables'!$B$3:$D$118,3,FALSE)-(1+int)*'Term 40'!M12</f>
        <v>388237.72912246175</v>
      </c>
    </row>
    <row r="13" spans="1:14" x14ac:dyDescent="0.3">
      <c r="B13" s="6">
        <v>4</v>
      </c>
      <c r="C13" s="6">
        <f>age+B13</f>
        <v>22</v>
      </c>
      <c r="D13" s="6">
        <f>term40-B13</f>
        <v>36</v>
      </c>
      <c r="E13" s="60">
        <f>E14*'Term 40'!v*VLOOKUP(C13,'Life tables'!$B$4:$D$118,3,FALSE)+1-(monthly_conv*(1-v*VLOOKUP(C13,'Life tables'!$B$4:$D$118,3,FALSE)))</f>
        <v>18.950470574722029</v>
      </c>
      <c r="F13" s="6">
        <f>F14*v*VLOOKUP(C13,'Life tables'!$B$4:$D$118,3,FALSE)+v*VLOOKUP(C13,'Life tables'!$B$4:$D$118,2,FALSE)</f>
        <v>3.6584874448482761E-2</v>
      </c>
      <c r="G13" s="72">
        <f>F13*sumassured</f>
        <v>365848.74448482762</v>
      </c>
      <c r="H13" s="72">
        <f>p*E13</f>
        <v>622575.50849422789</v>
      </c>
      <c r="I13" s="72">
        <f>renewfix*E13</f>
        <v>189.5047057472203</v>
      </c>
      <c r="J13" s="72">
        <f>renewvari*p*E13</f>
        <v>18677.265254826834</v>
      </c>
      <c r="K13" s="72">
        <f t="shared" si="1"/>
        <v>18866.769960574056</v>
      </c>
      <c r="L13" s="72">
        <f t="shared" si="0"/>
        <v>-237859.99404882622</v>
      </c>
      <c r="M13" s="72">
        <f>((M14*VLOOKUP(C13,'Life tables'!$B$4:$D$118,3,FALSE)+VLOOKUP(C13,'Life tables'!$B$4:$D$118,2,FALSE)*sumassured)/(1+int))-12*p+12*(renewfix+renewvari*p)</f>
        <v>-7015180.6197051508</v>
      </c>
      <c r="N13" s="72">
        <f>M14*VLOOKUP(C13,'Life tables'!$B$3:$D$118,3,FALSE)-(1+int)*'Term 40'!M13</f>
        <v>388207.72912246175</v>
      </c>
    </row>
    <row r="14" spans="1:14" x14ac:dyDescent="0.3">
      <c r="B14" s="6">
        <v>5</v>
      </c>
      <c r="C14" s="6">
        <f>age+B14</f>
        <v>23</v>
      </c>
      <c r="D14" s="6">
        <f>term40-B14</f>
        <v>35</v>
      </c>
      <c r="E14" s="60">
        <f>E15*'Term 40'!v*VLOOKUP(C14,'Life tables'!$B$4:$D$118,3,FALSE)+1-(monthly_conv*(1-v*VLOOKUP(C14,'Life tables'!$B$4:$D$118,3,FALSE)))</f>
        <v>18.70477856689476</v>
      </c>
      <c r="F14" s="6">
        <f>F15*v*VLOOKUP(C14,'Life tables'!$B$4:$D$118,3,FALSE)+v*VLOOKUP(C14,'Life tables'!$B$4:$D$118,2,FALSE)</f>
        <v>3.7146075298977219E-2</v>
      </c>
      <c r="G14" s="72">
        <f>F14*sumassured</f>
        <v>371460.75298977218</v>
      </c>
      <c r="H14" s="72">
        <f>p*E14</f>
        <v>614503.8447272043</v>
      </c>
      <c r="I14" s="72">
        <f>renewfix*E14</f>
        <v>187.0477856689476</v>
      </c>
      <c r="J14" s="72">
        <f>renewvari*p*E14</f>
        <v>18435.115341816127</v>
      </c>
      <c r="K14" s="72">
        <f t="shared" si="1"/>
        <v>18622.163127485073</v>
      </c>
      <c r="L14" s="72">
        <f t="shared" si="0"/>
        <v>-224420.92860994703</v>
      </c>
      <c r="M14" s="72">
        <f>((M15*VLOOKUP(C14,'Life tables'!$B$4:$D$118,3,FALSE)+VLOOKUP(C14,'Life tables'!$B$4:$D$118,2,FALSE)*sumassured)/(1+int))-12*p+12*(renewfix+renewvari*p)</f>
        <v>-6914058.5882681031</v>
      </c>
      <c r="N14" s="72">
        <f>M25*VLOOKUP(C14,'Life tables'!$B$3:$D$118,3,FALSE)-(1+int)*'Term 40'!M14</f>
        <v>1702636.8052981049</v>
      </c>
    </row>
    <row r="15" spans="1:14" x14ac:dyDescent="0.3">
      <c r="B15" s="6">
        <v>6</v>
      </c>
      <c r="C15" s="6">
        <f>age+B15</f>
        <v>24</v>
      </c>
      <c r="D15" s="6">
        <f>term40-B15</f>
        <v>34</v>
      </c>
      <c r="E15" s="60">
        <f>E16*'Term 40'!v*VLOOKUP(C15,'Life tables'!$B$4:$D$118,3,FALSE)+1-(monthly_conv*(1-v*VLOOKUP(C15,'Life tables'!$B$4:$D$118,3,FALSE)))</f>
        <v>18.449000307191419</v>
      </c>
      <c r="F15" s="6">
        <f>F16*v*VLOOKUP(C15,'Life tables'!$B$4:$D$118,3,FALSE)+v*VLOOKUP(C15,'Life tables'!$B$4:$D$118,2,FALSE)</f>
        <v>3.7731234746659181E-2</v>
      </c>
      <c r="G15" s="72">
        <f>F15*sumassured</f>
        <v>377312.3474665918</v>
      </c>
      <c r="H15" s="72">
        <f>p*E15</f>
        <v>606100.81961663067</v>
      </c>
      <c r="I15" s="72">
        <f>renewfix*E15</f>
        <v>184.4900030719142</v>
      </c>
      <c r="J15" s="72">
        <f>renewvari*p*E15</f>
        <v>18183.02458849892</v>
      </c>
      <c r="K15" s="72">
        <f t="shared" si="1"/>
        <v>18367.514591570834</v>
      </c>
      <c r="L15" s="72">
        <f t="shared" si="0"/>
        <v>-210420.95755846804</v>
      </c>
      <c r="M15" s="72">
        <f>((M16*VLOOKUP(C15,'Life tables'!$B$4:$D$118,3,FALSE)+VLOOKUP(C15,'Life tables'!$B$4:$D$118,2,FALSE)*sumassured)/(1+int))-12*p+12*(renewfix+renewvari*p)</f>
        <v>-6808776.2172156805</v>
      </c>
      <c r="N15" s="72">
        <f>M26*VLOOKUP(C15,'Life tables'!$B$3:$D$118,3,FALSE)-(1+int)*'Term 40'!M15</f>
        <v>1753350.3954602787</v>
      </c>
    </row>
    <row r="16" spans="1:14" x14ac:dyDescent="0.3">
      <c r="B16" s="6">
        <v>7</v>
      </c>
      <c r="C16" s="6">
        <f>age+B16</f>
        <v>25</v>
      </c>
      <c r="D16" s="6">
        <f>term40-B16</f>
        <v>33</v>
      </c>
      <c r="E16" s="60">
        <f>E17*'Term 40'!v*VLOOKUP(C16,'Life tables'!$B$4:$D$118,3,FALSE)+1-(monthly_conv*(1-v*VLOOKUP(C16,'Life tables'!$B$4:$D$118,3,FALSE)))</f>
        <v>18.18268572359252</v>
      </c>
      <c r="F16" s="6">
        <f>F17*v*VLOOKUP(C16,'Life tables'!$B$4:$D$118,3,FALSE)+v*VLOOKUP(C16,'Life tables'!$B$4:$D$118,2,FALSE)</f>
        <v>3.8343258396609584E-2</v>
      </c>
      <c r="G16" s="72">
        <f>F16*sumassured</f>
        <v>383432.58396609582</v>
      </c>
      <c r="H16" s="72">
        <f>p*E16</f>
        <v>597351.64704860619</v>
      </c>
      <c r="I16" s="72">
        <f>renewfix*E16</f>
        <v>181.82685723592522</v>
      </c>
      <c r="J16" s="72">
        <f>renewvari*p*E16</f>
        <v>17920.549411458185</v>
      </c>
      <c r="K16" s="72">
        <f t="shared" si="1"/>
        <v>18102.376268694112</v>
      </c>
      <c r="L16" s="72">
        <f t="shared" si="0"/>
        <v>-195816.68681381625</v>
      </c>
      <c r="M16" s="72">
        <f>((M17*VLOOKUP(C16,'Life tables'!$B$4:$D$118,3,FALSE)+VLOOKUP(C16,'Life tables'!$B$4:$D$118,2,FALSE)*sumassured)/(1+int))-12*p+12*(renewfix+renewvari*p)</f>
        <v>-6699129.8249084856</v>
      </c>
      <c r="N16" s="72">
        <f>M27*VLOOKUP(C16,'Life tables'!$B$3:$D$118,3,FALSE)-(1+int)*'Term 40'!M16</f>
        <v>1805190.1457384964</v>
      </c>
    </row>
    <row r="17" spans="2:14" x14ac:dyDescent="0.3">
      <c r="B17" s="6">
        <v>8</v>
      </c>
      <c r="C17" s="6">
        <f>age+B17</f>
        <v>26</v>
      </c>
      <c r="D17" s="6">
        <f>term40-B17</f>
        <v>32</v>
      </c>
      <c r="E17" s="60">
        <f>E18*'Term 40'!v*VLOOKUP(C17,'Life tables'!$B$4:$D$118,3,FALSE)+1-(monthly_conv*(1-v*VLOOKUP(C17,'Life tables'!$B$4:$D$118,3,FALSE)))</f>
        <v>17.905423143149161</v>
      </c>
      <c r="F17" s="6">
        <f>F18*v*VLOOKUP(C17,'Life tables'!$B$4:$D$118,3,FALSE)+v*VLOOKUP(C17,'Life tables'!$B$4:$D$118,2,FALSE)</f>
        <v>3.8982281236304969E-2</v>
      </c>
      <c r="G17" s="72">
        <f>F17*sumassured</f>
        <v>389822.81236304971</v>
      </c>
      <c r="H17" s="72">
        <f>p*E17</f>
        <v>588242.80242518033</v>
      </c>
      <c r="I17" s="72">
        <f>renewfix*E17</f>
        <v>179.05423143149162</v>
      </c>
      <c r="J17" s="72">
        <f>renewvari*p*E17</f>
        <v>17647.28407275541</v>
      </c>
      <c r="K17" s="72">
        <f t="shared" si="1"/>
        <v>17826.338304186902</v>
      </c>
      <c r="L17" s="72">
        <f t="shared" si="0"/>
        <v>-180593.65175794373</v>
      </c>
      <c r="M17" s="72">
        <f>((M18*VLOOKUP(C17,'Life tables'!$B$4:$D$118,3,FALSE)+VLOOKUP(C17,'Life tables'!$B$4:$D$118,2,FALSE)*sumassured)/(1+int))-12*p+12*(renewfix+renewvari*p)</f>
        <v>-6584957.8845729008</v>
      </c>
      <c r="N17" s="72">
        <f>M28*VLOOKUP(C17,'Life tables'!$B$3:$D$118,3,FALSE)-(1+int)*'Term 40'!M17</f>
        <v>1858081.9877889687</v>
      </c>
    </row>
    <row r="18" spans="2:14" x14ac:dyDescent="0.3">
      <c r="B18" s="6">
        <v>9</v>
      </c>
      <c r="C18" s="6">
        <f>age+B18</f>
        <v>27</v>
      </c>
      <c r="D18" s="6">
        <f>term40-B18</f>
        <v>31</v>
      </c>
      <c r="E18" s="60">
        <f>E19*'Term 40'!v*VLOOKUP(C18,'Life tables'!$B$4:$D$118,3,FALSE)+1-(monthly_conv*(1-v*VLOOKUP(C18,'Life tables'!$B$4:$D$118,3,FALSE)))</f>
        <v>17.616801352601069</v>
      </c>
      <c r="F18" s="6">
        <f>F19*v*VLOOKUP(C18,'Life tables'!$B$4:$D$118,3,FALSE)+v*VLOOKUP(C18,'Life tables'!$B$4:$D$118,2,FALSE)</f>
        <v>3.9647484293634551E-2</v>
      </c>
      <c r="G18" s="72">
        <f>F18*sumassured</f>
        <v>396474.84293634549</v>
      </c>
      <c r="H18" s="72">
        <f>p*E18</f>
        <v>578760.77625044889</v>
      </c>
      <c r="I18" s="72">
        <f>renewfix*E18</f>
        <v>176.1680135260107</v>
      </c>
      <c r="J18" s="72">
        <f>renewvari*p*E18</f>
        <v>17362.823287513464</v>
      </c>
      <c r="K18" s="72">
        <f t="shared" si="1"/>
        <v>17538.991301039474</v>
      </c>
      <c r="L18" s="72">
        <f t="shared" si="0"/>
        <v>-164746.94201306393</v>
      </c>
      <c r="M18" s="72">
        <f>((M19*VLOOKUP(C18,'Life tables'!$B$4:$D$118,3,FALSE)+VLOOKUP(C18,'Life tables'!$B$4:$D$118,2,FALSE)*sumassured)/(1+int))-12*p+12*(renewfix+renewvari*p)</f>
        <v>-6466108.4177703001</v>
      </c>
      <c r="N18" s="72">
        <f>M29*VLOOKUP(C18,'Life tables'!$B$3:$D$118,3,FALSE)-(1+int)*'Term 40'!M18</f>
        <v>1911986.496657325</v>
      </c>
    </row>
    <row r="19" spans="2:14" x14ac:dyDescent="0.3">
      <c r="B19" s="6">
        <v>10</v>
      </c>
      <c r="C19" s="6">
        <f>age+B19</f>
        <v>28</v>
      </c>
      <c r="D19" s="6">
        <f>term40-B19</f>
        <v>30</v>
      </c>
      <c r="E19" s="60">
        <f>E20*'Term 40'!v*VLOOKUP(C19,'Life tables'!$B$4:$D$118,3,FALSE)+1-(monthly_conv*(1-v*VLOOKUP(C19,'Life tables'!$B$4:$D$118,3,FALSE)))</f>
        <v>17.316408348769532</v>
      </c>
      <c r="F19" s="6">
        <f>F20*v*VLOOKUP(C19,'Life tables'!$B$4:$D$118,3,FALSE)+v*VLOOKUP(C19,'Life tables'!$B$4:$D$118,2,FALSE)</f>
        <v>4.0337058477998379E-2</v>
      </c>
      <c r="G19" s="72">
        <f>F19*sumassured</f>
        <v>403370.58477998379</v>
      </c>
      <c r="H19" s="72">
        <f>p*E19</f>
        <v>568892.03307749622</v>
      </c>
      <c r="I19" s="72">
        <f>renewfix*E19</f>
        <v>173.16408348769531</v>
      </c>
      <c r="J19" s="72">
        <f>renewvari*p*E19</f>
        <v>17066.760992324886</v>
      </c>
      <c r="K19" s="72">
        <f t="shared" si="1"/>
        <v>17239.925075812582</v>
      </c>
      <c r="L19" s="72">
        <f t="shared" si="0"/>
        <v>-148281.52322169987</v>
      </c>
      <c r="M19" s="72">
        <f>((M20*VLOOKUP(C19,'Life tables'!$B$4:$D$118,3,FALSE)+VLOOKUP(C19,'Life tables'!$B$4:$D$118,2,FALSE)*sumassured)/(1+int))-12*p+12*(renewfix+renewvari*p)</f>
        <v>-6342438.8632569332</v>
      </c>
      <c r="N19" s="72">
        <f>M30*VLOOKUP(C19,'Life tables'!$B$3:$D$118,3,FALSE)-(1+int)*'Term 40'!M19</f>
        <v>1966860.1490432713</v>
      </c>
    </row>
    <row r="20" spans="2:14" x14ac:dyDescent="0.3">
      <c r="B20" s="6">
        <v>11</v>
      </c>
      <c r="C20" s="6">
        <f>age+B20</f>
        <v>29</v>
      </c>
      <c r="D20" s="6">
        <f>term40-B20</f>
        <v>29</v>
      </c>
      <c r="E20" s="60">
        <f>E21*'Term 40'!v*VLOOKUP(C20,'Life tables'!$B$4:$D$118,3,FALSE)+1-(monthly_conv*(1-v*VLOOKUP(C20,'Life tables'!$B$4:$D$118,3,FALSE)))</f>
        <v>17.003847390295309</v>
      </c>
      <c r="F20" s="6">
        <f>F21*v*VLOOKUP(C20,'Life tables'!$B$4:$D$118,3,FALSE)+v*VLOOKUP(C20,'Life tables'!$B$4:$D$118,2,FALSE)</f>
        <v>4.1047207286382087E-2</v>
      </c>
      <c r="G20" s="72">
        <f>F20*sumassured</f>
        <v>410472.07286382088</v>
      </c>
      <c r="H20" s="72">
        <f>p*E20</f>
        <v>558623.53885249794</v>
      </c>
      <c r="I20" s="72">
        <f>renewfix*E20</f>
        <v>170.03847390295309</v>
      </c>
      <c r="J20" s="72">
        <f>renewvari*p*E20</f>
        <v>16758.706165574938</v>
      </c>
      <c r="K20" s="72">
        <f t="shared" si="1"/>
        <v>16928.744639477893</v>
      </c>
      <c r="L20" s="72">
        <f t="shared" si="0"/>
        <v>-131222.72134919919</v>
      </c>
      <c r="M20" s="72">
        <f>((M21*VLOOKUP(C20,'Life tables'!$B$4:$D$118,3,FALSE)+VLOOKUP(C20,'Life tables'!$B$4:$D$118,2,FALSE)*sumassured)/(1+int))-12*p+12*(renewfix+renewvari*p)</f>
        <v>-6213832.1185203958</v>
      </c>
      <c r="N20" s="72">
        <f>M31*VLOOKUP(C20,'Life tables'!$B$3:$D$118,3,FALSE)-(1+int)*'Term 40'!M20</f>
        <v>2022692.1865781797</v>
      </c>
    </row>
    <row r="21" spans="2:14" x14ac:dyDescent="0.3">
      <c r="B21" s="6">
        <v>12</v>
      </c>
      <c r="C21" s="6">
        <f>age+B21</f>
        <v>30</v>
      </c>
      <c r="D21" s="6">
        <f>term40-B21</f>
        <v>28</v>
      </c>
      <c r="E21" s="60">
        <f>E22*'Term 40'!v*VLOOKUP(C21,'Life tables'!$B$4:$D$118,3,FALSE)+1-(monthly_conv*(1-v*VLOOKUP(C21,'Life tables'!$B$4:$D$118,3,FALSE)))</f>
        <v>16.67871763997093</v>
      </c>
      <c r="F21" s="6">
        <f>F22*v*VLOOKUP(C21,'Life tables'!$B$4:$D$118,3,FALSE)+v*VLOOKUP(C21,'Life tables'!$B$4:$D$118,2,FALSE)</f>
        <v>4.1773030595086275E-2</v>
      </c>
      <c r="G21" s="72">
        <f>F21*sumassured</f>
        <v>417730.30595086276</v>
      </c>
      <c r="H21" s="72">
        <f>p*E21</f>
        <v>547942.12496165745</v>
      </c>
      <c r="I21" s="72">
        <f>renewfix*E21</f>
        <v>166.7871763997093</v>
      </c>
      <c r="J21" s="72">
        <f>renewvari*p*E21</f>
        <v>16438.26374884972</v>
      </c>
      <c r="K21" s="72">
        <f t="shared" si="1"/>
        <v>16605.05092524943</v>
      </c>
      <c r="L21" s="72">
        <f t="shared" si="0"/>
        <v>-113606.76808554528</v>
      </c>
      <c r="M21" s="72">
        <f>((M22*VLOOKUP(C21,'Life tables'!$B$4:$D$118,3,FALSE)+VLOOKUP(C21,'Life tables'!$B$4:$D$118,2,FALSE)*sumassured)/(1+int))-12*p+12*(renewfix+renewvari*p)</f>
        <v>-6080180.3265309138</v>
      </c>
      <c r="N21" s="72">
        <f>M32*VLOOKUP(C21,'Life tables'!$B$3:$D$118,3,FALSE)-(1+int)*'Term 40'!M21</f>
        <v>2079479.5938591613</v>
      </c>
    </row>
    <row r="22" spans="2:14" x14ac:dyDescent="0.3">
      <c r="B22" s="6">
        <v>13</v>
      </c>
      <c r="C22" s="6">
        <f>age+B22</f>
        <v>31</v>
      </c>
      <c r="D22" s="6">
        <f>term40-B22</f>
        <v>27</v>
      </c>
      <c r="E22" s="60">
        <f>E23*'Term 40'!v*VLOOKUP(C22,'Life tables'!$B$4:$D$118,3,FALSE)+1-(monthly_conv*(1-v*VLOOKUP(C22,'Life tables'!$B$4:$D$118,3,FALSE)))</f>
        <v>16.340612248736786</v>
      </c>
      <c r="F22" s="6">
        <f>F23*v*VLOOKUP(C22,'Life tables'!$B$4:$D$118,3,FALSE)+v*VLOOKUP(C22,'Life tables'!$B$4:$D$118,2,FALSE)</f>
        <v>4.2508482606396177E-2</v>
      </c>
      <c r="G22" s="72">
        <f>F22*sumassured</f>
        <v>425084.82606396178</v>
      </c>
      <c r="H22" s="72">
        <f>p*E22</f>
        <v>536834.42528516403</v>
      </c>
      <c r="I22" s="72">
        <f>renewfix*E22</f>
        <v>163.40612248736787</v>
      </c>
      <c r="J22" s="72">
        <f>renewvari*p*E22</f>
        <v>16105.03275855492</v>
      </c>
      <c r="K22" s="72">
        <f t="shared" si="1"/>
        <v>16268.438881042288</v>
      </c>
      <c r="L22" s="72">
        <f t="shared" si="0"/>
        <v>-95481.160340159957</v>
      </c>
      <c r="M22" s="72">
        <f>((M23*VLOOKUP(C22,'Life tables'!$B$4:$D$118,3,FALSE)+VLOOKUP(C22,'Life tables'!$B$4:$D$118,2,FALSE)*sumassured)/(1+int))-12*p+12*(renewfix+renewvari*p)</f>
        <v>-5941384.543168365</v>
      </c>
      <c r="N22" s="72">
        <f>M33*VLOOKUP(C22,'Life tables'!$B$3:$D$118,3,FALSE)-(1+int)*'Term 40'!M22</f>
        <v>2137209.8474545879</v>
      </c>
    </row>
    <row r="23" spans="2:14" x14ac:dyDescent="0.3">
      <c r="B23" s="6">
        <v>14</v>
      </c>
      <c r="C23" s="6">
        <f>age+B23</f>
        <v>32</v>
      </c>
      <c r="D23" s="6">
        <f>term40-B23</f>
        <v>26</v>
      </c>
      <c r="E23" s="60">
        <f>E24*'Term 40'!v*VLOOKUP(C23,'Life tables'!$B$4:$D$118,3,FALSE)+1-(monthly_conv*(1-v*VLOOKUP(C23,'Life tables'!$B$4:$D$118,3,FALSE)))</f>
        <v>15.989099742260569</v>
      </c>
      <c r="F23" s="6">
        <f>F24*v*VLOOKUP(C23,'Life tables'!$B$4:$D$118,3,FALSE)+v*VLOOKUP(C23,'Life tables'!$B$4:$D$118,2,FALSE)</f>
        <v>4.3247285432511703E-2</v>
      </c>
      <c r="G23" s="72">
        <f>F23*sumassured</f>
        <v>432472.85432511702</v>
      </c>
      <c r="H23" s="72">
        <f>p*E23</f>
        <v>525286.26469471271</v>
      </c>
      <c r="I23" s="72">
        <f>renewfix*E23</f>
        <v>159.89099742260569</v>
      </c>
      <c r="J23" s="72">
        <f>renewvari*p*E23</f>
        <v>15758.587940841382</v>
      </c>
      <c r="K23" s="72">
        <f t="shared" si="1"/>
        <v>15918.478938263988</v>
      </c>
      <c r="L23" s="72">
        <f t="shared" si="0"/>
        <v>-76894.931431331672</v>
      </c>
      <c r="M23" s="72">
        <f>((M24*VLOOKUP(C23,'Life tables'!$B$4:$D$118,3,FALSE)+VLOOKUP(C23,'Life tables'!$B$4:$D$118,2,FALSE)*sumassured)/(1+int))-12*p+12*(renewfix+renewvari*p)</f>
        <v>-5797338.5209862301</v>
      </c>
      <c r="N23" s="72">
        <f>M34*VLOOKUP(C23,'Life tables'!$B$3:$D$118,3,FALSE)-(1+int)*'Term 40'!M23</f>
        <v>2195830.4697473561</v>
      </c>
    </row>
    <row r="24" spans="2:14" x14ac:dyDescent="0.3">
      <c r="B24" s="6">
        <v>15</v>
      </c>
      <c r="C24" s="6">
        <f>age+B24</f>
        <v>33</v>
      </c>
      <c r="D24" s="6">
        <f>term40-B24</f>
        <v>25</v>
      </c>
      <c r="E24" s="60">
        <f>E25*'Term 40'!v*VLOOKUP(C24,'Life tables'!$B$4:$D$118,3,FALSE)+1-(monthly_conv*(1-v*VLOOKUP(C24,'Life tables'!$B$4:$D$118,3,FALSE)))</f>
        <v>15.623754600911809</v>
      </c>
      <c r="F24" s="6">
        <f>F25*v*VLOOKUP(C24,'Life tables'!$B$4:$D$118,3,FALSE)+v*VLOOKUP(C24,'Life tables'!$B$4:$D$118,2,FALSE)</f>
        <v>4.3981005057081662E-2</v>
      </c>
      <c r="G24" s="72">
        <f>F24*sumassured</f>
        <v>439810.05057081662</v>
      </c>
      <c r="H24" s="72">
        <f>p*E24</f>
        <v>513283.66369046638</v>
      </c>
      <c r="I24" s="72">
        <f>renewfix*E24</f>
        <v>156.23754600911809</v>
      </c>
      <c r="J24" s="72">
        <f>renewvari*p*E24</f>
        <v>15398.50991071399</v>
      </c>
      <c r="K24" s="72">
        <f t="shared" si="1"/>
        <v>15554.747456723109</v>
      </c>
      <c r="L24" s="72">
        <f t="shared" si="0"/>
        <v>-57918.865662926633</v>
      </c>
      <c r="M24" s="72">
        <f>((M25*VLOOKUP(C24,'Life tables'!$B$4:$D$118,3,FALSE)+VLOOKUP(C24,'Life tables'!$B$4:$D$118,2,FALSE)*sumassured)/(1+int))-12*p+12*(renewfix+renewvari*p)</f>
        <v>-5647959.5065090014</v>
      </c>
      <c r="N24" s="72">
        <f>M35*VLOOKUP(C24,'Life tables'!$B$3:$D$118,3,FALSE)-(1+int)*'Term 40'!M24</f>
        <v>2255286.8147295462</v>
      </c>
    </row>
    <row r="25" spans="2:14" x14ac:dyDescent="0.3">
      <c r="B25" s="6">
        <v>16</v>
      </c>
      <c r="C25" s="6">
        <f>age+B25</f>
        <v>34</v>
      </c>
      <c r="D25" s="6">
        <f>term40-B25</f>
        <v>24</v>
      </c>
      <c r="E25" s="60">
        <f>E26*'Term 40'!v*VLOOKUP(C25,'Life tables'!$B$4:$D$118,3,FALSE)+1-(monthly_conv*(1-v*VLOOKUP(C25,'Life tables'!$B$4:$D$118,3,FALSE)))</f>
        <v>15.244090951054462</v>
      </c>
      <c r="F25" s="6">
        <f>F26*v*VLOOKUP(C25,'Life tables'!$B$4:$D$118,3,FALSE)+v*VLOOKUP(C25,'Life tables'!$B$4:$D$118,2,FALSE)</f>
        <v>4.4702792492011256E-2</v>
      </c>
      <c r="G25" s="72">
        <f>F25*sumassured</f>
        <v>447027.92492011253</v>
      </c>
      <c r="H25" s="72">
        <f>p*E25</f>
        <v>500810.65997614147</v>
      </c>
      <c r="I25" s="72">
        <f>renewfix*E25</f>
        <v>152.44090951054463</v>
      </c>
      <c r="J25" s="72">
        <f>renewvari*p*E25</f>
        <v>15024.319799284243</v>
      </c>
      <c r="K25" s="72">
        <f t="shared" si="1"/>
        <v>15176.760708794787</v>
      </c>
      <c r="L25" s="72">
        <f t="shared" si="0"/>
        <v>-38605.974347234122</v>
      </c>
      <c r="M25" s="72">
        <f>((M26*VLOOKUP(C25,'Life tables'!$B$4:$D$118,3,FALSE)+VLOOKUP(C25,'Life tables'!$B$4:$D$118,2,FALSE)*sumassured)/(1+int))-12*p+12*(renewfix+renewvari*p)</f>
        <v>-5493125.6921485746</v>
      </c>
      <c r="N25" s="72">
        <f>M26*VLOOKUP(C25,'Life tables'!$B$3:$D$118,3,FALSE)-(1+int)*'Term 40'!M25</f>
        <v>386177.72912246082</v>
      </c>
    </row>
    <row r="26" spans="2:14" x14ac:dyDescent="0.3">
      <c r="B26" s="6">
        <v>17</v>
      </c>
      <c r="C26" s="6">
        <f>age+B26</f>
        <v>35</v>
      </c>
      <c r="D26" s="6">
        <f>term40-B26</f>
        <v>23</v>
      </c>
      <c r="E26" s="60">
        <f>E27*'Term 40'!v*VLOOKUP(C26,'Life tables'!$B$4:$D$118,3,FALSE)+1-(monthly_conv*(1-v*VLOOKUP(C26,'Life tables'!$B$4:$D$118,3,FALSE)))</f>
        <v>14.849639010902404</v>
      </c>
      <c r="F26" s="6">
        <f>F27*v*VLOOKUP(C26,'Life tables'!$B$4:$D$118,3,FALSE)+v*VLOOKUP(C26,'Life tables'!$B$4:$D$118,2,FALSE)</f>
        <v>4.5402663227771374E-2</v>
      </c>
      <c r="G26" s="72">
        <f>F26*sumassured</f>
        <v>454026.63227771374</v>
      </c>
      <c r="H26" s="72">
        <f>p*E26</f>
        <v>487851.81991734763</v>
      </c>
      <c r="I26" s="72">
        <f>renewfix*E26</f>
        <v>148.49639010902405</v>
      </c>
      <c r="J26" s="72">
        <f>renewvari*p*E26</f>
        <v>14635.55459752043</v>
      </c>
      <c r="K26" s="72">
        <f t="shared" si="1"/>
        <v>14784.050987629453</v>
      </c>
      <c r="L26" s="72">
        <f t="shared" si="0"/>
        <v>-19041.136652004439</v>
      </c>
      <c r="M26" s="72">
        <f>((M27*VLOOKUP(C26,'Life tables'!$B$4:$D$118,3,FALSE)+VLOOKUP(C26,'Life tables'!$B$4:$D$118,2,FALSE)*sumassured)/(1+int))-12*p+12*(renewfix+renewvari*p)</f>
        <v>-5332752.3283663951</v>
      </c>
      <c r="N26" s="72">
        <f>M27*VLOOKUP(C26,'Life tables'!$B$3:$D$118,3,FALSE)-(1+int)*'Term 40'!M26</f>
        <v>385557.72912246082</v>
      </c>
    </row>
    <row r="27" spans="2:14" x14ac:dyDescent="0.3">
      <c r="B27" s="6">
        <v>18</v>
      </c>
      <c r="C27" s="6">
        <f>age+B27</f>
        <v>36</v>
      </c>
      <c r="D27" s="6">
        <f>term40-B27</f>
        <v>22</v>
      </c>
      <c r="E27" s="60">
        <f>E28*'Term 40'!v*VLOOKUP(C27,'Life tables'!$B$4:$D$118,3,FALSE)+1-(monthly_conv*(1-v*VLOOKUP(C27,'Life tables'!$B$4:$D$118,3,FALSE)))</f>
        <v>14.439865539717243</v>
      </c>
      <c r="F27" s="6">
        <f>F28*v*VLOOKUP(C27,'Life tables'!$B$4:$D$118,3,FALSE)+v*VLOOKUP(C27,'Life tables'!$B$4:$D$118,2,FALSE)</f>
        <v>4.6072148479354424E-2</v>
      </c>
      <c r="G27" s="72">
        <f>F27*sumassured</f>
        <v>460721.48479354422</v>
      </c>
      <c r="H27" s="72">
        <f>p*E27</f>
        <v>474389.62507713912</v>
      </c>
      <c r="I27" s="72">
        <f>renewfix*E27</f>
        <v>144.39865539717243</v>
      </c>
      <c r="J27" s="72">
        <f>renewvari*p*E27</f>
        <v>14231.688752314172</v>
      </c>
      <c r="K27" s="72">
        <f t="shared" si="1"/>
        <v>14376.087407711344</v>
      </c>
      <c r="L27" s="72">
        <f t="shared" si="0"/>
        <v>707.94712411647197</v>
      </c>
      <c r="M27" s="72">
        <f>((M28*VLOOKUP(C27,'Life tables'!$B$4:$D$118,3,FALSE)+VLOOKUP(C27,'Life tables'!$B$4:$D$118,2,FALSE)*sumassured)/(1+int))-12*p+12*(renewfix+renewvari*p)</f>
        <v>-5166715.0839094492</v>
      </c>
      <c r="N27" s="72">
        <f>M28*VLOOKUP(C27,'Life tables'!$B$3:$D$118,3,FALSE)-(1+int)*'Term 40'!M27</f>
        <v>384827.72912246082</v>
      </c>
    </row>
    <row r="28" spans="2:14" x14ac:dyDescent="0.3">
      <c r="B28" s="6">
        <v>19</v>
      </c>
      <c r="C28" s="6">
        <f>age+B28</f>
        <v>37</v>
      </c>
      <c r="D28" s="6">
        <f>term40-B28</f>
        <v>21</v>
      </c>
      <c r="E28" s="60">
        <f>E29*'Term 40'!v*VLOOKUP(C28,'Life tables'!$B$4:$D$118,3,FALSE)+1-(monthly_conv*(1-v*VLOOKUP(C28,'Life tables'!$B$4:$D$118,3,FALSE)))</f>
        <v>14.014246033331766</v>
      </c>
      <c r="F28" s="6">
        <f>F29*v*VLOOKUP(C28,'Life tables'!$B$4:$D$118,3,FALSE)+v*VLOOKUP(C28,'Life tables'!$B$4:$D$118,2,FALSE)</f>
        <v>4.6699576378411087E-2</v>
      </c>
      <c r="G28" s="72">
        <f>F28*sumassured</f>
        <v>466995.7637841109</v>
      </c>
      <c r="H28" s="72">
        <f>p*E28</f>
        <v>460406.84403916018</v>
      </c>
      <c r="I28" s="72">
        <f>renewfix*E28</f>
        <v>140.14246033331767</v>
      </c>
      <c r="J28" s="72">
        <f>renewvari*p*E28</f>
        <v>13812.205321174804</v>
      </c>
      <c r="K28" s="72">
        <f t="shared" si="1"/>
        <v>13952.347781508122</v>
      </c>
      <c r="L28" s="72">
        <f t="shared" si="0"/>
        <v>20541.267526458832</v>
      </c>
      <c r="M28" s="72">
        <f>((M29*VLOOKUP(C28,'Life tables'!$B$4:$D$118,3,FALSE)+VLOOKUP(C28,'Life tables'!$B$4:$D$118,2,FALSE)*sumassured)/(1+int))-12*p+12*(renewfix+renewvari*p)</f>
        <v>-4994924.4868641188</v>
      </c>
      <c r="N28" s="72">
        <f>M29*VLOOKUP(C28,'Life tables'!$B$3:$D$118,3,FALSE)-(1+int)*'Term 40'!M28</f>
        <v>383997.72912246082</v>
      </c>
    </row>
    <row r="29" spans="2:14" x14ac:dyDescent="0.3">
      <c r="B29" s="6">
        <v>20</v>
      </c>
      <c r="C29" s="6">
        <f>age+B29</f>
        <v>38</v>
      </c>
      <c r="D29" s="6">
        <f>term40-B29</f>
        <v>20</v>
      </c>
      <c r="E29" s="60">
        <f>E30*'Term 40'!v*VLOOKUP(C29,'Life tables'!$B$4:$D$118,3,FALSE)+1-(monthly_conv*(1-v*VLOOKUP(C29,'Life tables'!$B$4:$D$118,3,FALSE)))</f>
        <v>13.572202675898909</v>
      </c>
      <c r="F29" s="6">
        <f>F30*v*VLOOKUP(C29,'Life tables'!$B$4:$D$118,3,FALSE)+v*VLOOKUP(C29,'Life tables'!$B$4:$D$118,2,FALSE)</f>
        <v>4.7273757195819457E-2</v>
      </c>
      <c r="G29" s="72">
        <f>F29*sumassured</f>
        <v>472737.5719581946</v>
      </c>
      <c r="H29" s="72">
        <f>p*E29</f>
        <v>445884.49395053746</v>
      </c>
      <c r="I29" s="72">
        <f>renewfix*E29</f>
        <v>135.7220267589891</v>
      </c>
      <c r="J29" s="72">
        <f>renewvari*p*E29</f>
        <v>13376.534818516124</v>
      </c>
      <c r="K29" s="72">
        <f t="shared" si="1"/>
        <v>13512.256845275113</v>
      </c>
      <c r="L29" s="72">
        <f t="shared" si="0"/>
        <v>40365.334852932254</v>
      </c>
      <c r="M29" s="72">
        <f>((M30*VLOOKUP(C29,'Life tables'!$B$4:$D$118,3,FALSE)+VLOOKUP(C29,'Life tables'!$B$4:$D$118,2,FALSE)*sumassured)/(1+int))-12*p+12*(renewfix+renewvari*p)</f>
        <v>-4817265.5838791309</v>
      </c>
      <c r="N29" s="72">
        <f>M30*VLOOKUP(C29,'Life tables'!$B$3:$D$118,3,FALSE)-(1+int)*'Term 40'!M29</f>
        <v>383047.72912246082</v>
      </c>
    </row>
    <row r="30" spans="2:14" x14ac:dyDescent="0.3">
      <c r="B30" s="6">
        <v>21</v>
      </c>
      <c r="C30" s="6">
        <f>age+B30</f>
        <v>39</v>
      </c>
      <c r="D30" s="6">
        <f>term40-B30</f>
        <v>19</v>
      </c>
      <c r="E30" s="60">
        <f>E31*'Term 40'!v*VLOOKUP(C30,'Life tables'!$B$4:$D$118,3,FALSE)+1-(monthly_conv*(1-v*VLOOKUP(C30,'Life tables'!$B$4:$D$118,3,FALSE)))</f>
        <v>13.113143472066445</v>
      </c>
      <c r="F30" s="6">
        <f>F31*v*VLOOKUP(C30,'Life tables'!$B$4:$D$118,3,FALSE)+v*VLOOKUP(C30,'Life tables'!$B$4:$D$118,2,FALSE)</f>
        <v>4.7781133470585005E-2</v>
      </c>
      <c r="G30" s="72">
        <f>F30*sumassured</f>
        <v>477811.33470585005</v>
      </c>
      <c r="H30" s="72">
        <f>p*E30</f>
        <v>430803.12612233282</v>
      </c>
      <c r="I30" s="72">
        <f>renewfix*E30</f>
        <v>131.13143472066446</v>
      </c>
      <c r="J30" s="72">
        <f>renewvari*p*E30</f>
        <v>12924.093783669985</v>
      </c>
      <c r="K30" s="72">
        <f t="shared" si="1"/>
        <v>13055.225218390649</v>
      </c>
      <c r="L30" s="72">
        <f t="shared" si="0"/>
        <v>60063.433801907871</v>
      </c>
      <c r="M30" s="72">
        <f>((M31*VLOOKUP(C30,'Life tables'!$B$4:$D$118,3,FALSE)+VLOOKUP(C30,'Life tables'!$B$4:$D$118,2,FALSE)*sumassured)/(1+int))-12*p+12*(renewfix+renewvari*p)</f>
        <v>-4633641.1587154493</v>
      </c>
      <c r="N30" s="72">
        <f>M31*VLOOKUP(C30,'Life tables'!$B$3:$D$118,3,FALSE)-(1+int)*'Term 40'!M30</f>
        <v>381977.72912246082</v>
      </c>
    </row>
    <row r="31" spans="2:14" x14ac:dyDescent="0.3">
      <c r="B31" s="6">
        <v>22</v>
      </c>
      <c r="C31" s="6">
        <f>age+B31</f>
        <v>40</v>
      </c>
      <c r="D31" s="6">
        <f>term40-B31</f>
        <v>18</v>
      </c>
      <c r="E31" s="60">
        <f>E32*'Term 40'!v*VLOOKUP(C31,'Life tables'!$B$4:$D$118,3,FALSE)+1-(monthly_conv*(1-v*VLOOKUP(C31,'Life tables'!$B$4:$D$118,3,FALSE)))</f>
        <v>12.63643037566848</v>
      </c>
      <c r="F31" s="6">
        <f>F32*v*VLOOKUP(C31,'Life tables'!$B$4:$D$118,3,FALSE)+v*VLOOKUP(C31,'Life tables'!$B$4:$D$118,2,FALSE)</f>
        <v>4.8207582638324198E-2</v>
      </c>
      <c r="G31" s="72">
        <f>F31*sumassured</f>
        <v>482075.82638324198</v>
      </c>
      <c r="H31" s="72">
        <f>p*E31</f>
        <v>415141.77896867914</v>
      </c>
      <c r="I31" s="72">
        <f>renewfix*E31</f>
        <v>126.36430375668481</v>
      </c>
      <c r="J31" s="72">
        <f>renewvari*p*E31</f>
        <v>12454.253369060374</v>
      </c>
      <c r="K31" s="72">
        <f t="shared" si="1"/>
        <v>12580.617672817059</v>
      </c>
      <c r="L31" s="72">
        <f t="shared" si="0"/>
        <v>79514.665087379923</v>
      </c>
      <c r="M31" s="72">
        <f>((M32*VLOOKUP(C31,'Life tables'!$B$4:$D$118,3,FALSE)+VLOOKUP(C31,'Life tables'!$B$4:$D$118,2,FALSE)*sumassured)/(1+int))-12*p+12*(renewfix+renewvari*p)</f>
        <v>-4443941.6248764135</v>
      </c>
      <c r="N31" s="72">
        <f>M32*VLOOKUP(C31,'Life tables'!$B$3:$D$118,3,FALSE)-(1+int)*'Term 40'!M31</f>
        <v>380777.72912246082</v>
      </c>
    </row>
    <row r="32" spans="2:14" x14ac:dyDescent="0.3">
      <c r="B32" s="6">
        <v>23</v>
      </c>
      <c r="C32" s="6">
        <f>age+B32</f>
        <v>41</v>
      </c>
      <c r="D32" s="6">
        <f>term40-B32</f>
        <v>17</v>
      </c>
      <c r="E32" s="60">
        <f>E33*'Term 40'!v*VLOOKUP(C32,'Life tables'!$B$4:$D$118,3,FALSE)+1-(monthly_conv*(1-v*VLOOKUP(C32,'Life tables'!$B$4:$D$118,3,FALSE)))</f>
        <v>12.141388456635703</v>
      </c>
      <c r="F32" s="6">
        <f>F33*v*VLOOKUP(C32,'Life tables'!$B$4:$D$118,3,FALSE)+v*VLOOKUP(C32,'Life tables'!$B$4:$D$118,2,FALSE)</f>
        <v>4.8537428824281963E-2</v>
      </c>
      <c r="G32" s="72">
        <f>F32*sumassured</f>
        <v>485374.2882428196</v>
      </c>
      <c r="H32" s="72">
        <f>p*E32</f>
        <v>398878.27916520205</v>
      </c>
      <c r="I32" s="72">
        <f>renewfix*E32</f>
        <v>121.41388456635703</v>
      </c>
      <c r="J32" s="72">
        <f>renewvari*p*E32</f>
        <v>11966.348374956062</v>
      </c>
      <c r="K32" s="72">
        <f t="shared" si="1"/>
        <v>12087.762259522418</v>
      </c>
      <c r="L32" s="72">
        <f t="shared" si="0"/>
        <v>98583.771337139944</v>
      </c>
      <c r="M32" s="72">
        <f>((M33*VLOOKUP(C32,'Life tables'!$B$4:$D$118,3,FALSE)+VLOOKUP(C32,'Life tables'!$B$4:$D$118,2,FALSE)*sumassured)/(1+int))-12*p+12*(renewfix+renewvari*p)</f>
        <v>-4248058.2986908099</v>
      </c>
      <c r="N32" s="72">
        <f>M33*VLOOKUP(C32,'Life tables'!$B$3:$D$118,3,FALSE)-(1+int)*'Term 40'!M32</f>
        <v>379427.72912246082</v>
      </c>
    </row>
    <row r="33" spans="2:14" x14ac:dyDescent="0.3">
      <c r="B33" s="6">
        <v>24</v>
      </c>
      <c r="C33" s="6">
        <f>age+B33</f>
        <v>42</v>
      </c>
      <c r="D33" s="6">
        <f>term40-B33</f>
        <v>16</v>
      </c>
      <c r="E33" s="60">
        <f>E34*'Term 40'!v*VLOOKUP(C33,'Life tables'!$B$4:$D$118,3,FALSE)+1-(monthly_conv*(1-v*VLOOKUP(C33,'Life tables'!$B$4:$D$118,3,FALSE)))</f>
        <v>11.627312775922764</v>
      </c>
      <c r="F33" s="6">
        <f>F34*v*VLOOKUP(C33,'Life tables'!$B$4:$D$118,3,FALSE)+v*VLOOKUP(C33,'Life tables'!$B$4:$D$118,2,FALSE)</f>
        <v>4.875241160431508E-2</v>
      </c>
      <c r="G33" s="72">
        <f>F33*sumassured</f>
        <v>487524.11604315077</v>
      </c>
      <c r="H33" s="72">
        <f>p*E33</f>
        <v>381989.46750944882</v>
      </c>
      <c r="I33" s="72">
        <f>renewfix*E33</f>
        <v>116.27312775922763</v>
      </c>
      <c r="J33" s="72">
        <f>renewvari*p*E33</f>
        <v>11459.684025283465</v>
      </c>
      <c r="K33" s="72">
        <f t="shared" si="1"/>
        <v>11575.957153042693</v>
      </c>
      <c r="L33" s="72">
        <f t="shared" si="0"/>
        <v>117110.60568674468</v>
      </c>
      <c r="M33" s="72">
        <f>((M34*VLOOKUP(C33,'Life tables'!$B$4:$D$118,3,FALSE)+VLOOKUP(C33,'Life tables'!$B$4:$D$118,2,FALSE)*sumassured)/(1+int))-12*p+12*(renewfix+renewvari*p)</f>
        <v>-4045896.2031246526</v>
      </c>
      <c r="N33" s="72">
        <f>M34*VLOOKUP(C33,'Life tables'!$B$3:$D$118,3,FALSE)-(1+int)*'Term 40'!M33</f>
        <v>377887.72912246129</v>
      </c>
    </row>
    <row r="34" spans="2:14" x14ac:dyDescent="0.3">
      <c r="B34" s="6">
        <v>25</v>
      </c>
      <c r="C34" s="6">
        <f>age+B34</f>
        <v>43</v>
      </c>
      <c r="D34" s="6">
        <f>term40-B34</f>
        <v>15</v>
      </c>
      <c r="E34" s="60">
        <f>E35*'Term 40'!v*VLOOKUP(C34,'Life tables'!$B$4:$D$118,3,FALSE)+1-(monthly_conv*(1-v*VLOOKUP(C34,'Life tables'!$B$4:$D$118,3,FALSE)))</f>
        <v>11.093484148915557</v>
      </c>
      <c r="F34" s="6">
        <f>F35*v*VLOOKUP(C34,'Life tables'!$B$4:$D$118,3,FALSE)+v*VLOOKUP(C34,'Life tables'!$B$4:$D$118,2,FALSE)</f>
        <v>4.8829653656537401E-2</v>
      </c>
      <c r="G34" s="72">
        <f>F34*sumassured</f>
        <v>488296.536565374</v>
      </c>
      <c r="H34" s="72">
        <f>p*E34</f>
        <v>364451.71679252962</v>
      </c>
      <c r="I34" s="72">
        <f>renewfix*E34</f>
        <v>110.93484148915557</v>
      </c>
      <c r="J34" s="72">
        <f>renewvari*p*E34</f>
        <v>10933.551503775889</v>
      </c>
      <c r="K34" s="72">
        <f t="shared" si="1"/>
        <v>11044.486345265044</v>
      </c>
      <c r="L34" s="72">
        <f t="shared" si="0"/>
        <v>134889.30611810944</v>
      </c>
      <c r="M34" s="72">
        <f>((M35*VLOOKUP(C34,'Life tables'!$B$4:$D$118,3,FALSE)+VLOOKUP(C34,'Life tables'!$B$4:$D$118,2,FALSE)*sumassured)/(1+int))-12*p+12*(renewfix+renewvari*p)</f>
        <v>-3837400.1630482199</v>
      </c>
      <c r="N34" s="72">
        <f>M35*VLOOKUP(C34,'Life tables'!$B$3:$D$118,3,FALSE)-(1+int)*'Term 40'!M34</f>
        <v>376137.72912246082</v>
      </c>
    </row>
    <row r="35" spans="2:14" x14ac:dyDescent="0.3">
      <c r="B35" s="6">
        <v>26</v>
      </c>
      <c r="C35" s="6">
        <f>age+B35</f>
        <v>44</v>
      </c>
      <c r="D35" s="6">
        <f>term40-B35</f>
        <v>14</v>
      </c>
      <c r="E35" s="60">
        <f>E36*'Term 40'!v*VLOOKUP(C35,'Life tables'!$B$4:$D$118,3,FALSE)+1-(monthly_conv*(1-v*VLOOKUP(C35,'Life tables'!$B$4:$D$118,3,FALSE)))</f>
        <v>10.539135421215267</v>
      </c>
      <c r="F35" s="6">
        <f>F36*v*VLOOKUP(C35,'Life tables'!$B$4:$D$118,3,FALSE)+v*VLOOKUP(C35,'Life tables'!$B$4:$D$118,2,FALSE)</f>
        <v>4.8743345535627286E-2</v>
      </c>
      <c r="G35" s="72">
        <f>F35*sumassured</f>
        <v>487433.45535627287</v>
      </c>
      <c r="H35" s="72">
        <f>p*E35</f>
        <v>346239.82386510569</v>
      </c>
      <c r="I35" s="72">
        <f>renewfix*E35</f>
        <v>105.39135421215266</v>
      </c>
      <c r="J35" s="72">
        <f>renewvari*p*E35</f>
        <v>10387.19471595317</v>
      </c>
      <c r="K35" s="72">
        <f t="shared" si="1"/>
        <v>10492.586070165322</v>
      </c>
      <c r="L35" s="72">
        <f t="shared" si="0"/>
        <v>151686.21756133251</v>
      </c>
      <c r="M35" s="72">
        <f>((M36*VLOOKUP(C35,'Life tables'!$B$4:$D$118,3,FALSE)+VLOOKUP(C35,'Life tables'!$B$4:$D$118,2,FALSE)*sumassured)/(1+int))-12*p+12*(renewfix+renewvari*p)</f>
        <v>-3622525.1343357041</v>
      </c>
      <c r="N35" s="72">
        <f>M36*VLOOKUP(C35,'Life tables'!$B$3:$D$118,3,FALSE)-(1+int)*'Term 40'!M35</f>
        <v>374127.72912246082</v>
      </c>
    </row>
    <row r="36" spans="2:14" x14ac:dyDescent="0.3">
      <c r="B36" s="6">
        <v>27</v>
      </c>
      <c r="C36" s="6">
        <f>age+B36</f>
        <v>45</v>
      </c>
      <c r="D36" s="6">
        <f>term40-B36</f>
        <v>13</v>
      </c>
      <c r="E36" s="60">
        <f>E37*'Term 40'!v*VLOOKUP(C36,'Life tables'!$B$4:$D$118,3,FALSE)+1-(monthly_conv*(1-v*VLOOKUP(C36,'Life tables'!$B$4:$D$118,3,FALSE)))</f>
        <v>9.9634733079710713</v>
      </c>
      <c r="F36" s="6">
        <f>F37*v*VLOOKUP(C36,'Life tables'!$B$4:$D$118,3,FALSE)+v*VLOOKUP(C36,'Life tables'!$B$4:$D$118,2,FALSE)</f>
        <v>4.8461722095366012E-2</v>
      </c>
      <c r="G36" s="72">
        <f>F36*sumassured</f>
        <v>484617.22095366014</v>
      </c>
      <c r="H36" s="72">
        <f>p*E36</f>
        <v>327327.72712002922</v>
      </c>
      <c r="I36" s="72">
        <f>renewfix*E36</f>
        <v>99.634733079710713</v>
      </c>
      <c r="J36" s="72">
        <f>renewvari*p*E36</f>
        <v>9819.8318136008766</v>
      </c>
      <c r="K36" s="72">
        <f t="shared" si="1"/>
        <v>9919.4665466805873</v>
      </c>
      <c r="L36" s="72">
        <f t="shared" si="0"/>
        <v>167208.96038031153</v>
      </c>
      <c r="M36" s="72">
        <f>((M37*VLOOKUP(C36,'Life tables'!$B$4:$D$118,3,FALSE)+VLOOKUP(C36,'Life tables'!$B$4:$D$118,2,FALSE)*sumassured)/(1+int))-12*p+12*(renewfix+renewvari*p)</f>
        <v>-3401274.3990524495</v>
      </c>
      <c r="N36" s="72">
        <f>M37*VLOOKUP(C36,'Life tables'!$B$3:$D$118,3,FALSE)-(1+int)*'Term 40'!M36</f>
        <v>371787.72912246082</v>
      </c>
    </row>
    <row r="37" spans="2:14" x14ac:dyDescent="0.3">
      <c r="B37" s="6">
        <v>28</v>
      </c>
      <c r="C37" s="6">
        <f>age+B37</f>
        <v>46</v>
      </c>
      <c r="D37" s="6">
        <f>term40-B37</f>
        <v>12</v>
      </c>
      <c r="E37" s="60">
        <f>E38*'Term 40'!v*VLOOKUP(C37,'Life tables'!$B$4:$D$118,3,FALSE)+1-(monthly_conv*(1-v*VLOOKUP(C37,'Life tables'!$B$4:$D$118,3,FALSE)))</f>
        <v>9.3656817084159201</v>
      </c>
      <c r="F37" s="6">
        <f>F38*v*VLOOKUP(C37,'Life tables'!$B$4:$D$118,3,FALSE)+v*VLOOKUP(C37,'Life tables'!$B$4:$D$118,2,FALSE)</f>
        <v>4.7944840723406323E-2</v>
      </c>
      <c r="G37" s="72">
        <f>F37*sumassured</f>
        <v>479448.40723406326</v>
      </c>
      <c r="H37" s="72">
        <f>p*E37</f>
        <v>307688.61538403557</v>
      </c>
      <c r="I37" s="72">
        <f>renewfix*E37</f>
        <v>93.656817084159201</v>
      </c>
      <c r="J37" s="72">
        <f>renewvari*p*E37</f>
        <v>9230.6584615210668</v>
      </c>
      <c r="K37" s="72">
        <f t="shared" si="1"/>
        <v>9324.3152786052251</v>
      </c>
      <c r="L37" s="72">
        <f t="shared" si="0"/>
        <v>181084.1071286329</v>
      </c>
      <c r="M37" s="72">
        <f>((M38*VLOOKUP(C37,'Life tables'!$B$4:$D$118,3,FALSE)+VLOOKUP(C37,'Life tables'!$B$4:$D$118,2,FALSE)*sumassured)/(1+int))-12*p+12*(renewfix+renewvari*p)</f>
        <v>-3173722.6766752321</v>
      </c>
      <c r="N37" s="72">
        <f>M38*VLOOKUP(C37,'Life tables'!$B$3:$D$118,3,FALSE)-(1+int)*'Term 40'!M37</f>
        <v>369067.72912246035</v>
      </c>
    </row>
    <row r="38" spans="2:14" x14ac:dyDescent="0.3">
      <c r="B38" s="6">
        <v>29</v>
      </c>
      <c r="C38" s="6">
        <f>age+B38</f>
        <v>47</v>
      </c>
      <c r="D38" s="6">
        <f>term40-B38</f>
        <v>11</v>
      </c>
      <c r="E38" s="60">
        <f>E39*'Term 40'!v*VLOOKUP(C38,'Life tables'!$B$4:$D$118,3,FALSE)+1-(monthly_conv*(1-v*VLOOKUP(C38,'Life tables'!$B$4:$D$118,3,FALSE)))</f>
        <v>8.7448806732185691</v>
      </c>
      <c r="F38" s="6">
        <f>F39*v*VLOOKUP(C38,'Life tables'!$B$4:$D$118,3,FALSE)+v*VLOOKUP(C38,'Life tables'!$B$4:$D$118,2,FALSE)</f>
        <v>4.7146047734433448E-2</v>
      </c>
      <c r="G38" s="72">
        <f>F38*sumassured</f>
        <v>471460.47734433447</v>
      </c>
      <c r="H38" s="72">
        <f>p*E38</f>
        <v>287293.57988147245</v>
      </c>
      <c r="I38" s="72">
        <f>renewfix*E38</f>
        <v>87.448806732185687</v>
      </c>
      <c r="J38" s="72">
        <f>renewvari*p*E38</f>
        <v>8618.8073964441719</v>
      </c>
      <c r="K38" s="72">
        <f t="shared" si="1"/>
        <v>8706.2562031763573</v>
      </c>
      <c r="L38" s="72">
        <f t="shared" si="0"/>
        <v>192873.15366603836</v>
      </c>
      <c r="M38" s="72">
        <f>((M39*VLOOKUP(C38,'Life tables'!$B$4:$D$118,3,FALSE)+VLOOKUP(C38,'Life tables'!$B$4:$D$118,2,FALSE)*sumassured)/(1+int))-12*p+12*(renewfix+renewvari*p)</f>
        <v>-2939985.7540044477</v>
      </c>
      <c r="N38" s="72">
        <f>M39*VLOOKUP(C38,'Life tables'!$B$3:$D$118,3,FALSE)-(1+int)*'Term 40'!M38</f>
        <v>365897.72912246035</v>
      </c>
    </row>
    <row r="39" spans="2:14" x14ac:dyDescent="0.3">
      <c r="B39" s="6">
        <v>30</v>
      </c>
      <c r="C39" s="6">
        <f>age+B39</f>
        <v>48</v>
      </c>
      <c r="D39" s="6">
        <f>term40-B39</f>
        <v>10</v>
      </c>
      <c r="E39" s="60">
        <f>E40*'Term 40'!v*VLOOKUP(C39,'Life tables'!$B$4:$D$118,3,FALSE)+1-(monthly_conv*(1-v*VLOOKUP(C39,'Life tables'!$B$4:$D$118,3,FALSE)))</f>
        <v>8.1001224213113598</v>
      </c>
      <c r="F39" s="6">
        <f>F40*v*VLOOKUP(C39,'Life tables'!$B$4:$D$118,3,FALSE)+v*VLOOKUP(C39,'Life tables'!$B$4:$D$118,2,FALSE)</f>
        <v>4.6009648209337978E-2</v>
      </c>
      <c r="G39" s="72">
        <f>F39*sumassured</f>
        <v>460096.48209337977</v>
      </c>
      <c r="H39" s="72">
        <f>p*E39</f>
        <v>266111.48337604734</v>
      </c>
      <c r="I39" s="72">
        <f>renewfix*E39</f>
        <v>81.001224213113602</v>
      </c>
      <c r="J39" s="72">
        <f>renewvari*p*E39</f>
        <v>7983.3445012814209</v>
      </c>
      <c r="K39" s="72">
        <f t="shared" si="1"/>
        <v>8064.3457254945342</v>
      </c>
      <c r="L39" s="72">
        <f t="shared" si="0"/>
        <v>202049.34444282699</v>
      </c>
      <c r="M39" s="72">
        <f>((M40*VLOOKUP(C39,'Life tables'!$B$4:$D$118,3,FALSE)+VLOOKUP(C39,'Life tables'!$B$4:$D$118,2,FALSE)*sumassured)/(1+int))-12*p+12*(renewfix+renewvari*p)</f>
        <v>-2700241.8211315097</v>
      </c>
      <c r="N39" s="72">
        <f>M40*VLOOKUP(C39,'Life tables'!$B$3:$D$118,3,FALSE)-(1+int)*'Term 40'!M39</f>
        <v>362217.72912246082</v>
      </c>
    </row>
    <row r="40" spans="2:14" x14ac:dyDescent="0.3">
      <c r="B40" s="6">
        <v>31</v>
      </c>
      <c r="C40" s="6">
        <f>age+B40</f>
        <v>49</v>
      </c>
      <c r="D40" s="6">
        <f>term40-B40</f>
        <v>9</v>
      </c>
      <c r="E40" s="60">
        <f>E41*'Term 40'!v*VLOOKUP(C40,'Life tables'!$B$4:$D$118,3,FALSE)+1-(monthly_conv*(1-v*VLOOKUP(C40,'Life tables'!$B$4:$D$118,3,FALSE)))</f>
        <v>7.4303550536334626</v>
      </c>
      <c r="F40" s="6">
        <f>F41*v*VLOOKUP(C40,'Life tables'!$B$4:$D$118,3,FALSE)+v*VLOOKUP(C40,'Life tables'!$B$4:$D$118,2,FALSE)</f>
        <v>4.4471284600057302E-2</v>
      </c>
      <c r="G40" s="72">
        <f>F40*sumassured</f>
        <v>444712.84600057302</v>
      </c>
      <c r="H40" s="72">
        <f>p*E40</f>
        <v>244107.76806667048</v>
      </c>
      <c r="I40" s="72">
        <f>renewfix*E40</f>
        <v>74.303550536334626</v>
      </c>
      <c r="J40" s="72">
        <f>renewvari*p*E40</f>
        <v>7323.2330420001135</v>
      </c>
      <c r="K40" s="72">
        <f t="shared" si="1"/>
        <v>7397.5365925364486</v>
      </c>
      <c r="L40" s="72">
        <f t="shared" si="0"/>
        <v>208002.61452643896</v>
      </c>
      <c r="M40" s="72">
        <f>((M41*VLOOKUP(C40,'Life tables'!$B$4:$D$118,3,FALSE)+VLOOKUP(C40,'Life tables'!$B$4:$D$118,2,FALSE)*sumassured)/(1+int))-12*p+12*(renewfix+renewvari*p)</f>
        <v>-2454713.6322579738</v>
      </c>
      <c r="N40" s="72">
        <f>M41*VLOOKUP(C40,'Life tables'!$B$3:$D$118,3,FALSE)-(1+int)*'Term 40'!M40</f>
        <v>357997.72912246082</v>
      </c>
    </row>
    <row r="41" spans="2:14" x14ac:dyDescent="0.3">
      <c r="B41" s="6">
        <v>32</v>
      </c>
      <c r="C41" s="6">
        <f>age+B41</f>
        <v>50</v>
      </c>
      <c r="D41" s="6">
        <f>term40-B41</f>
        <v>8</v>
      </c>
      <c r="E41" s="60">
        <f>E42*'Term 40'!v*VLOOKUP(C41,'Life tables'!$B$4:$D$118,3,FALSE)+1-(monthly_conv*(1-v*VLOOKUP(C41,'Life tables'!$B$4:$D$118,3,FALSE)))</f>
        <v>6.7343713141067028</v>
      </c>
      <c r="F41" s="6">
        <f>F42*v*VLOOKUP(C41,'Life tables'!$B$4:$D$118,3,FALSE)+v*VLOOKUP(C41,'Life tables'!$B$4:$D$118,2,FALSE)</f>
        <v>4.2460193429654174E-2</v>
      </c>
      <c r="G41" s="72">
        <f>F41*sumassured</f>
        <v>424601.93429654173</v>
      </c>
      <c r="H41" s="72">
        <f>p*E41</f>
        <v>221242.77224342336</v>
      </c>
      <c r="I41" s="72">
        <f>renewfix*E41</f>
        <v>67.343713141067028</v>
      </c>
      <c r="J41" s="72">
        <f>renewvari*p*E41</f>
        <v>6637.2831673027003</v>
      </c>
      <c r="K41" s="72">
        <f t="shared" si="1"/>
        <v>6704.6268804437677</v>
      </c>
      <c r="L41" s="72">
        <f t="shared" si="0"/>
        <v>210063.78893356214</v>
      </c>
      <c r="M41" s="72">
        <f>((M42*VLOOKUP(C41,'Life tables'!$B$4:$D$118,3,FALSE)+VLOOKUP(C41,'Life tables'!$B$4:$D$118,2,FALSE)*sumassured)/(1+int))-12*p+12*(renewfix+renewvari*p)</f>
        <v>-2203626.4017238552</v>
      </c>
      <c r="N41" s="72">
        <f>M42*VLOOKUP(C41,'Life tables'!$B$3:$D$118,3,FALSE)-(1+int)*'Term 40'!M41</f>
        <v>353217.72912246082</v>
      </c>
    </row>
    <row r="42" spans="2:14" x14ac:dyDescent="0.3">
      <c r="B42" s="6">
        <v>33</v>
      </c>
      <c r="C42" s="6">
        <f>age+B42</f>
        <v>51</v>
      </c>
      <c r="D42" s="6">
        <f>term40-B42</f>
        <v>7</v>
      </c>
      <c r="E42" s="60">
        <f>E43*'Term 40'!v*VLOOKUP(C42,'Life tables'!$B$4:$D$118,3,FALSE)+1-(monthly_conv*(1-v*VLOOKUP(C42,'Life tables'!$B$4:$D$118,3,FALSE)))</f>
        <v>6.0107764710967571</v>
      </c>
      <c r="F42" s="6">
        <f>F43*v*VLOOKUP(C42,'Life tables'!$B$4:$D$118,3,FALSE)+v*VLOOKUP(C42,'Life tables'!$B$4:$D$118,2,FALSE)</f>
        <v>3.9899595773692439E-2</v>
      </c>
      <c r="G42" s="72">
        <f>F42*sumassured</f>
        <v>398995.95773692441</v>
      </c>
      <c r="H42" s="72">
        <f>p*E42</f>
        <v>197470.6751044938</v>
      </c>
      <c r="I42" s="72">
        <f>renewfix*E42</f>
        <v>60.107764710967572</v>
      </c>
      <c r="J42" s="72">
        <f>renewvari*p*E42</f>
        <v>5924.1202531348144</v>
      </c>
      <c r="K42" s="72">
        <f t="shared" si="1"/>
        <v>5984.2280178457822</v>
      </c>
      <c r="L42" s="72">
        <f t="shared" si="0"/>
        <v>207509.51065027638</v>
      </c>
      <c r="M42" s="72">
        <f>((M43*VLOOKUP(C42,'Life tables'!$B$4:$D$118,3,FALSE)+VLOOKUP(C42,'Life tables'!$B$4:$D$118,2,FALSE)*sumassured)/(1+int))-12*p+12*(renewfix+renewvari*p)</f>
        <v>-1947191.4700314077</v>
      </c>
      <c r="N42" s="72">
        <f>M43*VLOOKUP(C42,'Life tables'!$B$3:$D$118,3,FALSE)-(1+int)*'Term 40'!M42</f>
        <v>347887.72912246082</v>
      </c>
    </row>
    <row r="43" spans="2:14" x14ac:dyDescent="0.3">
      <c r="B43" s="6">
        <v>34</v>
      </c>
      <c r="C43" s="6">
        <f>age+B43</f>
        <v>52</v>
      </c>
      <c r="D43" s="6">
        <f>term40-B43</f>
        <v>6</v>
      </c>
      <c r="E43" s="60">
        <f>E44*'Term 40'!v*VLOOKUP(C43,'Life tables'!$B$4:$D$118,3,FALSE)+1-(monthly_conv*(1-v*VLOOKUP(C43,'Life tables'!$B$4:$D$118,3,FALSE)))</f>
        <v>5.2579450505635439</v>
      </c>
      <c r="F43" s="6">
        <f>F44*v*VLOOKUP(C43,'Life tables'!$B$4:$D$118,3,FALSE)+v*VLOOKUP(C43,'Life tables'!$B$4:$D$118,2,FALSE)</f>
        <v>3.6708986558851076E-2</v>
      </c>
      <c r="G43" s="72">
        <f>F43*sumassured</f>
        <v>367089.86558851076</v>
      </c>
      <c r="H43" s="72">
        <f>p*E43</f>
        <v>172738.07532018624</v>
      </c>
      <c r="I43" s="72">
        <f>renewfix*E43</f>
        <v>52.579450505635435</v>
      </c>
      <c r="J43" s="72">
        <f>renewvari*p*E43</f>
        <v>5182.1422596055872</v>
      </c>
      <c r="K43" s="72">
        <f t="shared" si="1"/>
        <v>5234.7217101112228</v>
      </c>
      <c r="L43" s="72">
        <f t="shared" si="0"/>
        <v>199586.51197843577</v>
      </c>
      <c r="M43" s="72">
        <f>((M44*VLOOKUP(C43,'Life tables'!$B$4:$D$118,3,FALSE)+VLOOKUP(C43,'Life tables'!$B$4:$D$118,2,FALSE)*sumassured)/(1+int))-12*p+12*(renewfix+renewvari*p)</f>
        <v>-1685566.9820439799</v>
      </c>
      <c r="N43" s="72">
        <f>M44*VLOOKUP(C43,'Life tables'!$B$3:$D$118,3,FALSE)-(1+int)*'Term 40'!M43</f>
        <v>342077.72912246082</v>
      </c>
    </row>
    <row r="44" spans="2:14" x14ac:dyDescent="0.3">
      <c r="B44" s="6">
        <v>35</v>
      </c>
      <c r="C44" s="6">
        <f>age+B44</f>
        <v>53</v>
      </c>
      <c r="D44" s="6">
        <f>term40-B44</f>
        <v>5</v>
      </c>
      <c r="E44" s="60">
        <f>E45*'Term 40'!v*VLOOKUP(C44,'Life tables'!$B$4:$D$118,3,FALSE)+1-(monthly_conv*(1-v*VLOOKUP(C44,'Life tables'!$B$4:$D$118,3,FALSE)))</f>
        <v>4.4739704720392375</v>
      </c>
      <c r="F44" s="6">
        <f>F45*v*VLOOKUP(C44,'Life tables'!$B$4:$D$118,3,FALSE)+v*VLOOKUP(C44,'Life tables'!$B$4:$D$118,2,FALSE)</f>
        <v>3.2809438404349259E-2</v>
      </c>
      <c r="G44" s="72">
        <f>F44*sumassured</f>
        <v>328094.38404349261</v>
      </c>
      <c r="H44" s="72">
        <f>p*E44</f>
        <v>146982.33643513866</v>
      </c>
      <c r="I44" s="72">
        <f>renewfix*E44</f>
        <v>44.739704720392375</v>
      </c>
      <c r="J44" s="72">
        <f>renewvari*p*E44</f>
        <v>4409.4700930541594</v>
      </c>
      <c r="K44" s="72">
        <f t="shared" si="1"/>
        <v>4454.2097977745516</v>
      </c>
      <c r="L44" s="72">
        <f t="shared" si="0"/>
        <v>185566.25740612851</v>
      </c>
      <c r="M44" s="72">
        <f>((M45*VLOOKUP(C44,'Life tables'!$B$4:$D$118,3,FALSE)+VLOOKUP(C44,'Life tables'!$B$4:$D$118,2,FALSE)*sumassured)/(1+int))-12*p+12*(renewfix+renewvari*p)</f>
        <v>-1418786.1955887964</v>
      </c>
      <c r="N44" s="72">
        <f>M45*VLOOKUP(C44,'Life tables'!$B$3:$D$118,3,FALSE)-(1+int)*'Term 40'!M44</f>
        <v>335837.72912246082</v>
      </c>
    </row>
    <row r="45" spans="2:14" x14ac:dyDescent="0.3">
      <c r="B45" s="6">
        <v>36</v>
      </c>
      <c r="C45" s="6">
        <f>age+B45</f>
        <v>54</v>
      </c>
      <c r="D45" s="6">
        <f>term40-B45</f>
        <v>4</v>
      </c>
      <c r="E45" s="60">
        <f>E46*'Term 40'!v*VLOOKUP(C45,'Life tables'!$B$4:$D$118,3,FALSE)+1-(monthly_conv*(1-v*VLOOKUP(C45,'Life tables'!$B$4:$D$118,3,FALSE)))</f>
        <v>3.6566686464774922</v>
      </c>
      <c r="F45" s="6">
        <f>F46*v*VLOOKUP(C45,'Life tables'!$B$4:$D$118,3,FALSE)+v*VLOOKUP(C45,'Life tables'!$B$4:$D$118,2,FALSE)</f>
        <v>2.8121437696863667E-2</v>
      </c>
      <c r="G45" s="72">
        <f>F45*sumassured</f>
        <v>281214.37696863664</v>
      </c>
      <c r="H45" s="72">
        <f>p*E45</f>
        <v>120131.70506764673</v>
      </c>
      <c r="I45" s="72">
        <f>renewfix*E45</f>
        <v>36.566686464774925</v>
      </c>
      <c r="J45" s="72">
        <f>renewvari*p*E45</f>
        <v>3603.9511520294018</v>
      </c>
      <c r="K45" s="72">
        <f t="shared" si="1"/>
        <v>3640.5178384941769</v>
      </c>
      <c r="L45" s="72">
        <f t="shared" si="0"/>
        <v>164723.18973948405</v>
      </c>
      <c r="M45" s="72">
        <f>((M46*VLOOKUP(C45,'Life tables'!$B$4:$D$118,3,FALSE)+VLOOKUP(C45,'Life tables'!$B$4:$D$118,2,FALSE)*sumassured)/(1+int))-12*p+12*(renewfix+renewvari*p)</f>
        <v>-1146780.1348424046</v>
      </c>
      <c r="N45" s="72">
        <f>M46*VLOOKUP(C45,'Life tables'!$B$3:$D$118,3,FALSE)-(1+int)*'Term 40'!M45</f>
        <v>329267.72912246094</v>
      </c>
    </row>
    <row r="46" spans="2:14" x14ac:dyDescent="0.3">
      <c r="B46" s="6">
        <v>37</v>
      </c>
      <c r="C46" s="6">
        <f>age+B46</f>
        <v>55</v>
      </c>
      <c r="D46" s="6">
        <f>term40-B46</f>
        <v>3</v>
      </c>
      <c r="E46" s="60">
        <f>E47*'Term 40'!v*VLOOKUP(C46,'Life tables'!$B$4:$D$118,3,FALSE)+1-(monthly_conv*(1-v*VLOOKUP(C46,'Life tables'!$B$4:$D$118,3,FALSE)))</f>
        <v>2.8035506551955662</v>
      </c>
      <c r="F46" s="6">
        <f>F47*v*VLOOKUP(C46,'Life tables'!$B$4:$D$118,3,FALSE)+v*VLOOKUP(C46,'Life tables'!$B$4:$D$118,2,FALSE)</f>
        <v>2.2569467235423392E-2</v>
      </c>
      <c r="G46" s="72">
        <f>F46*sumassured</f>
        <v>225694.67235423392</v>
      </c>
      <c r="H46" s="72">
        <f>p*E46</f>
        <v>92104.413337150472</v>
      </c>
      <c r="I46" s="72">
        <f>renewfix*E46</f>
        <v>28.035506551955663</v>
      </c>
      <c r="J46" s="72">
        <f>renewvari*p*E46</f>
        <v>2763.132400114514</v>
      </c>
      <c r="K46" s="72">
        <f t="shared" si="1"/>
        <v>2791.1679066664697</v>
      </c>
      <c r="L46" s="72">
        <f t="shared" si="0"/>
        <v>136381.42692374991</v>
      </c>
      <c r="M46" s="72">
        <f>((M47*VLOOKUP(C46,'Life tables'!$B$4:$D$118,3,FALSE)+VLOOKUP(C46,'Life tables'!$B$4:$D$118,2,FALSE)*sumassured)/(1+int))-12*p+12*(renewfix+renewvari*p)</f>
        <v>-869321.94934964739</v>
      </c>
      <c r="N46" s="72">
        <f>M47*VLOOKUP(C46,'Life tables'!$B$3:$D$118,3,FALSE)-(1+int)*'Term 40'!M46</f>
        <v>322447.72912246082</v>
      </c>
    </row>
    <row r="47" spans="2:14" x14ac:dyDescent="0.3">
      <c r="B47" s="6">
        <v>38</v>
      </c>
      <c r="C47" s="6">
        <f>age+B47</f>
        <v>56</v>
      </c>
      <c r="D47" s="6">
        <f>term40-B47</f>
        <v>2</v>
      </c>
      <c r="E47" s="60">
        <f>E48*'Term 40'!v*VLOOKUP(C47,'Life tables'!$B$4:$D$118,3,FALSE)+1-(monthly_conv*(1-v*VLOOKUP(C47,'Life tables'!$B$4:$D$118,3,FALSE)))</f>
        <v>1.9118330749622472</v>
      </c>
      <c r="F47" s="6">
        <f>F48*v*VLOOKUP(C47,'Life tables'!$B$4:$D$118,3,FALSE)+v*VLOOKUP(C47,'Life tables'!$B$4:$D$118,2,FALSE)</f>
        <v>1.6080055380917158E-2</v>
      </c>
      <c r="G47" s="72">
        <f>F47*sumassured</f>
        <v>160800.55380917157</v>
      </c>
      <c r="H47" s="72">
        <f>p*E47</f>
        <v>62809.018072004437</v>
      </c>
      <c r="I47" s="72">
        <f>renewfix*E47</f>
        <v>19.118330749622473</v>
      </c>
      <c r="J47" s="72">
        <f>renewvari*p*E47</f>
        <v>1884.2705421601331</v>
      </c>
      <c r="K47" s="72">
        <f t="shared" si="1"/>
        <v>1903.3888729097555</v>
      </c>
      <c r="L47" s="72">
        <f t="shared" si="0"/>
        <v>99894.924610076909</v>
      </c>
      <c r="M47" s="72">
        <f>((M48*VLOOKUP(C47,'Life tables'!$B$4:$D$118,3,FALSE)+VLOOKUP(C47,'Life tables'!$B$4:$D$118,2,FALSE)*sumassured)/(1+int))-12*p+12*(renewfix+renewvari*p)</f>
        <v>-586050.09254647419</v>
      </c>
      <c r="N47" s="72">
        <f>M48*VLOOKUP(C47,'Life tables'!$B$3:$D$118,3,FALSE)-(1+int)*'Term 40'!M47</f>
        <v>315457.72912246094</v>
      </c>
    </row>
    <row r="48" spans="2:14" x14ac:dyDescent="0.3">
      <c r="B48" s="6">
        <v>39</v>
      </c>
      <c r="C48" s="6">
        <f>age+B48</f>
        <v>57</v>
      </c>
      <c r="D48" s="6">
        <f>term40-B48</f>
        <v>1</v>
      </c>
      <c r="E48" s="60">
        <f>E49*'Term 40'!v*VLOOKUP(C48,'Life tables'!$B$4:$D$118,3,FALSE)+1-(monthly_conv*(1-v*VLOOKUP(C48,'Life tables'!$B$4:$D$118,3,FALSE)))</f>
        <v>0.97843850160256407</v>
      </c>
      <c r="F48" s="6">
        <f>v*VLOOKUP(C48,'Life tables'!$B$4:$D$118,2,FALSE)</f>
        <v>8.5817307692307686E-3</v>
      </c>
      <c r="G48" s="72">
        <f>F48*sumassured</f>
        <v>85817.307692307688</v>
      </c>
      <c r="H48" s="72">
        <f>p*E48</f>
        <v>32144.418011344391</v>
      </c>
      <c r="I48" s="72">
        <f>renewfix*E48</f>
        <v>9.7843850160256416</v>
      </c>
      <c r="J48" s="72">
        <f>renewvari*p*E48</f>
        <v>964.33254034033166</v>
      </c>
      <c r="K48" s="72">
        <f t="shared" si="1"/>
        <v>974.11692535635734</v>
      </c>
      <c r="L48" s="72">
        <f t="shared" si="0"/>
        <v>54647.006606319657</v>
      </c>
      <c r="M48" s="72">
        <f>((M49*VLOOKUP(C48,'Life tables'!$B$4:$D$118,3,FALSE)+VLOOKUP(C48,'Life tables'!$B$4:$D$118,2,FALSE)*sumassured)/(1+int))-12*p+12*(renewfix+renewvari*p)</f>
        <v>-296468.9703100585</v>
      </c>
      <c r="N48" s="72">
        <f>M49*VLOOKUP(C48,'Life tables'!$B$3:$D$118,3,FALSE)-(1+int)*'Term 40'!M48</f>
        <v>308327.72912246088</v>
      </c>
    </row>
    <row r="49" spans="2:14" x14ac:dyDescent="0.3">
      <c r="B49" s="6">
        <v>40</v>
      </c>
      <c r="C49" s="6">
        <f>age+B49</f>
        <v>58</v>
      </c>
      <c r="D49" s="6">
        <f>term40-B49</f>
        <v>0</v>
      </c>
      <c r="E49" s="80">
        <v>0</v>
      </c>
      <c r="F49" s="6">
        <v>0</v>
      </c>
      <c r="G49" s="72">
        <f>F49*sumassured</f>
        <v>0</v>
      </c>
      <c r="H49" s="72">
        <f>p*E49</f>
        <v>0</v>
      </c>
      <c r="I49" s="81">
        <f>renewfix*E49</f>
        <v>0</v>
      </c>
      <c r="J49" s="82">
        <f>renewvari*p*E49</f>
        <v>0</v>
      </c>
      <c r="K49" s="72">
        <f t="shared" si="1"/>
        <v>0</v>
      </c>
      <c r="L49" s="72">
        <f t="shared" si="0"/>
        <v>0</v>
      </c>
      <c r="M49" s="81">
        <f>G49+K49-H49</f>
        <v>0</v>
      </c>
      <c r="N49" s="72"/>
    </row>
    <row r="50" spans="2:14" x14ac:dyDescent="0.3">
      <c r="B50" s="45"/>
      <c r="C50" s="45"/>
      <c r="D50" s="45"/>
      <c r="E50" s="45"/>
      <c r="F50" s="6"/>
      <c r="G50" s="6"/>
      <c r="H50" s="6"/>
      <c r="K50" s="6"/>
      <c r="L50" s="6"/>
    </row>
    <row r="51" spans="2:14" x14ac:dyDescent="0.3">
      <c r="F51" s="6" t="s">
        <v>40</v>
      </c>
      <c r="G51" s="83">
        <f>SUM(G9:G49)</f>
        <v>16045908.121004235</v>
      </c>
      <c r="H51" s="83">
        <f>SUM(H9:H49)</f>
        <v>16608356.148846993</v>
      </c>
      <c r="K51" s="83">
        <f>SUM(K9:K49)</f>
        <v>562448.02784275333</v>
      </c>
      <c r="L51" s="83">
        <f>SUM(L9:L49)</f>
        <v>1.6298145055770874E-9</v>
      </c>
    </row>
    <row r="59" spans="2:14" x14ac:dyDescent="0.3">
      <c r="K59">
        <f>renewfix</f>
        <v>10</v>
      </c>
    </row>
    <row r="60" spans="2:14" x14ac:dyDescent="0.3">
      <c r="K60">
        <f>renewvari</f>
        <v>0.03</v>
      </c>
    </row>
  </sheetData>
  <mergeCells count="2">
    <mergeCell ref="C7:I7"/>
    <mergeCell ref="B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showGridLines="0" zoomScale="99" zoomScaleNormal="99" workbookViewId="0">
      <selection activeCell="E4" sqref="E4"/>
    </sheetView>
  </sheetViews>
  <sheetFormatPr defaultRowHeight="14.4" x14ac:dyDescent="0.3"/>
  <cols>
    <col min="2" max="2" width="13.5546875" bestFit="1" customWidth="1"/>
    <col min="3" max="3" width="10.6640625" bestFit="1" customWidth="1"/>
    <col min="4" max="4" width="14.33203125" bestFit="1" customWidth="1"/>
    <col min="5" max="5" width="16.44140625" bestFit="1" customWidth="1"/>
    <col min="6" max="6" width="20" bestFit="1" customWidth="1"/>
    <col min="7" max="8" width="14.5546875" bestFit="1" customWidth="1"/>
    <col min="9" max="9" width="19.21875" bestFit="1" customWidth="1"/>
    <col min="10" max="10" width="21.77734375" bestFit="1" customWidth="1"/>
    <col min="11" max="11" width="19.109375" bestFit="1" customWidth="1"/>
    <col min="12" max="12" width="12.6640625" bestFit="1" customWidth="1"/>
    <col min="13" max="13" width="15.5546875" bestFit="1" customWidth="1"/>
    <col min="14" max="14" width="13.6640625" bestFit="1" customWidth="1"/>
    <col min="15" max="15" width="12.88671875" bestFit="1" customWidth="1"/>
    <col min="16" max="16" width="19.109375" bestFit="1" customWidth="1"/>
    <col min="17" max="17" width="21.6640625" bestFit="1" customWidth="1"/>
    <col min="18" max="18" width="18.21875" bestFit="1" customWidth="1"/>
    <col min="19" max="19" width="14.21875" customWidth="1"/>
  </cols>
  <sheetData>
    <row r="1" spans="1:14" ht="36.6" x14ac:dyDescent="0.7">
      <c r="B1" s="85" t="s">
        <v>45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15" thickBot="1" x14ac:dyDescent="0.35"/>
    <row r="3" spans="1:14" ht="15" thickBot="1" x14ac:dyDescent="0.35">
      <c r="A3" s="59" t="s">
        <v>23</v>
      </c>
      <c r="B3" s="62">
        <f>int</f>
        <v>0.04</v>
      </c>
      <c r="F3" s="65" t="s">
        <v>39</v>
      </c>
      <c r="G3" s="66">
        <f>SUM(L9:L59)</f>
        <v>1.4551915228366852E-10</v>
      </c>
      <c r="J3" s="59" t="s">
        <v>26</v>
      </c>
      <c r="K3" s="61">
        <v>61976.47559165144</v>
      </c>
    </row>
    <row r="4" spans="1:14" ht="15" thickBot="1" x14ac:dyDescent="0.35">
      <c r="A4" s="8" t="s">
        <v>24</v>
      </c>
      <c r="B4" s="63">
        <f>1/(1+int)</f>
        <v>0.96153846153846145</v>
      </c>
      <c r="J4" s="8" t="s">
        <v>27</v>
      </c>
      <c r="K4" s="44">
        <f>p*12</f>
        <v>743717.70709981723</v>
      </c>
    </row>
    <row r="5" spans="1:14" x14ac:dyDescent="0.3">
      <c r="A5" s="45"/>
      <c r="B5" s="84"/>
    </row>
    <row r="6" spans="1:14" x14ac:dyDescent="0.3">
      <c r="A6" s="45"/>
      <c r="B6" s="45"/>
    </row>
    <row r="7" spans="1:14" ht="15" thickBot="1" x14ac:dyDescent="0.35">
      <c r="C7" s="46"/>
      <c r="D7" s="46"/>
      <c r="E7" s="46"/>
      <c r="F7" s="46"/>
      <c r="G7" s="46"/>
      <c r="H7" s="46"/>
      <c r="I7" s="46"/>
    </row>
    <row r="8" spans="1:14" ht="15" thickBot="1" x14ac:dyDescent="0.35">
      <c r="B8" s="76" t="s">
        <v>28</v>
      </c>
      <c r="C8" s="77" t="s">
        <v>29</v>
      </c>
      <c r="D8" s="78" t="s">
        <v>30</v>
      </c>
      <c r="E8" s="78" t="s">
        <v>31</v>
      </c>
      <c r="F8" s="78" t="s">
        <v>32</v>
      </c>
      <c r="G8" s="78" t="s">
        <v>34</v>
      </c>
      <c r="H8" s="78" t="s">
        <v>35</v>
      </c>
      <c r="I8" s="78" t="s">
        <v>36</v>
      </c>
      <c r="J8" s="78" t="s">
        <v>37</v>
      </c>
      <c r="K8" s="78" t="s">
        <v>38</v>
      </c>
      <c r="L8" s="78" t="s">
        <v>39</v>
      </c>
      <c r="M8" s="78" t="s">
        <v>41</v>
      </c>
      <c r="N8" s="79" t="s">
        <v>42</v>
      </c>
    </row>
    <row r="9" spans="1:14" x14ac:dyDescent="0.3">
      <c r="B9" s="73">
        <v>0</v>
      </c>
      <c r="C9" s="73">
        <f>age+B9</f>
        <v>18</v>
      </c>
      <c r="D9" s="73">
        <f>term50-B9</f>
        <v>50</v>
      </c>
      <c r="E9" s="74">
        <f>E10*'Term 50'!v*VLOOKUP(C9,'Life tables'!$B$4:$D$118,3,FALSE)+1-(monthly_conv*(1-v*VLOOKUP(C9,'Life tables'!$B$4:$D$118,3,FALSE)))</f>
        <v>21.317931888302397</v>
      </c>
      <c r="F9" s="73">
        <f>F10*v*VLOOKUP(C9,'Life tables'!$B$4:$D$118,3,FALSE)+v*VLOOKUP(C9,'Life tables'!$B$4:$D$118,2,FALSE)</f>
        <v>5.3652888878383223E-2</v>
      </c>
      <c r="G9" s="75">
        <f>F9*sumassured</f>
        <v>536528.8887838322</v>
      </c>
      <c r="H9" s="75">
        <f>p*E9</f>
        <v>1321210.2853398614</v>
      </c>
      <c r="I9" s="75">
        <f>inifixed</f>
        <v>50</v>
      </c>
      <c r="J9" s="75">
        <f>inivari*K4</f>
        <v>148743.54141996344</v>
      </c>
      <c r="K9" s="75">
        <f>SUM(I9:J9)</f>
        <v>148793.54141996344</v>
      </c>
      <c r="L9" s="75">
        <f>G9+K9-H9</f>
        <v>-635887.85513606574</v>
      </c>
      <c r="M9" s="75">
        <f>((M10*VLOOKUP(C9,'Life tables'!$B$4:$D$118,3,FALSE)+VLOOKUP(C9,'Life tables'!$B$4:$D$118,2,FALSE)*sumassured)/(1+int))-12*p+(inifixed+inivari*p*12)</f>
        <v>-15007415.121043524</v>
      </c>
      <c r="N9" s="72">
        <f>M10*VLOOKUP(C9,'Life tables'!$B$3:$D$118,3,FALSE)-(1+int)*'Term 50'!M9</f>
        <v>609981.13230704702</v>
      </c>
    </row>
    <row r="10" spans="1:14" x14ac:dyDescent="0.3">
      <c r="B10" s="6">
        <v>1</v>
      </c>
      <c r="C10" s="6">
        <f>age+B10</f>
        <v>19</v>
      </c>
      <c r="D10" s="6">
        <f>term50-B10</f>
        <v>49</v>
      </c>
      <c r="E10" s="60">
        <f>E11*'Term 50'!v*VLOOKUP(C10,'Life tables'!$B$4:$D$118,3,FALSE)+1-(monthly_conv*(1-v*VLOOKUP(C10,'Life tables'!$B$4:$D$118,3,FALSE)))</f>
        <v>21.167883810951935</v>
      </c>
      <c r="F10" s="6">
        <f>F11*v*VLOOKUP(C10,'Life tables'!$B$4:$D$118,3,FALSE)+v*VLOOKUP(C10,'Life tables'!$B$4:$D$118,2,FALSE)</f>
        <v>5.4973050879987669E-2</v>
      </c>
      <c r="G10" s="72">
        <f>F10*sumassured</f>
        <v>549730.50879987667</v>
      </c>
      <c r="H10" s="72">
        <f>p*E10</f>
        <v>1311910.8343363763</v>
      </c>
      <c r="I10" s="72">
        <f>renewfix*E10</f>
        <v>211.67883810951935</v>
      </c>
      <c r="J10" s="72">
        <f>renewvari*p*E10</f>
        <v>39357.325030091291</v>
      </c>
      <c r="K10" s="72">
        <f t="shared" ref="K10:K59" si="0">SUM(I10:J10)</f>
        <v>39569.003868200809</v>
      </c>
      <c r="L10" s="72">
        <f t="shared" ref="L10:M59" si="1">G10+K10-H10</f>
        <v>-722611.3216682988</v>
      </c>
      <c r="M10" s="72">
        <f>((M11*VLOOKUP(C10,'Life tables'!$B$4:$D$118,3,FALSE)+VLOOKUP(C10,'Life tables'!$B$4:$D$118,2,FALSE)*sumassured)/(1+int))-12*p+12*(renewfix+renewvari*p)</f>
        <v>-15010850.076545119</v>
      </c>
      <c r="N10" s="72">
        <f>M11*VLOOKUP(C10,'Life tables'!$B$3:$D$118,3,FALSE)-(1+int)*'Term 50'!M10</f>
        <v>741087.6229222957</v>
      </c>
    </row>
    <row r="11" spans="1:14" x14ac:dyDescent="0.3">
      <c r="B11" s="6">
        <v>2</v>
      </c>
      <c r="C11" s="6">
        <f>age+B11</f>
        <v>20</v>
      </c>
      <c r="D11" s="6">
        <f>term50-B11</f>
        <v>48</v>
      </c>
      <c r="E11" s="60">
        <f>E12*'Term 50'!v*VLOOKUP(C11,'Life tables'!$B$4:$D$118,3,FALSE)+1-(monthly_conv*(1-v*VLOOKUP(C11,'Life tables'!$B$4:$D$118,3,FALSE)))</f>
        <v>21.012363477337004</v>
      </c>
      <c r="F11" s="6">
        <f>F12*v*VLOOKUP(C11,'Life tables'!$B$4:$D$118,3,FALSE)+v*VLOOKUP(C11,'Life tables'!$B$4:$D$118,2,FALSE)</f>
        <v>5.6317940651476772E-2</v>
      </c>
      <c r="G11" s="72">
        <f>F11*sumassured</f>
        <v>563179.40651476767</v>
      </c>
      <c r="H11" s="72">
        <f>p*E11</f>
        <v>1302272.232176085</v>
      </c>
      <c r="I11" s="72">
        <f>renewfix*E11</f>
        <v>210.12363477337004</v>
      </c>
      <c r="J11" s="72">
        <f>renewvari*p*E11</f>
        <v>39068.166965282551</v>
      </c>
      <c r="K11" s="72">
        <f t="shared" si="0"/>
        <v>39278.290600055923</v>
      </c>
      <c r="L11" s="72">
        <f t="shared" si="1"/>
        <v>-699814.53506126138</v>
      </c>
      <c r="M11" s="72">
        <f>((M12*VLOOKUP(C11,'Life tables'!$B$4:$D$118,3,FALSE)+VLOOKUP(C11,'Life tables'!$B$4:$D$118,2,FALSE)*sumassured)/(1+int))-12*p+12*(renewfix+renewvari*p)</f>
        <v>-14883666.174572617</v>
      </c>
      <c r="N11" s="72">
        <f>M12*VLOOKUP(C11,'Life tables'!$B$3:$D$118,3,FALSE)-(1+int)*'Term 50'!M11</f>
        <v>740897.6229222957</v>
      </c>
    </row>
    <row r="12" spans="1:14" x14ac:dyDescent="0.3">
      <c r="B12" s="6">
        <v>3</v>
      </c>
      <c r="C12" s="6">
        <f>age+B12</f>
        <v>21</v>
      </c>
      <c r="D12" s="6">
        <f>term50-B12</f>
        <v>47</v>
      </c>
      <c r="E12" s="60">
        <f>E13*'Term 50'!v*VLOOKUP(C12,'Life tables'!$B$4:$D$118,3,FALSE)+1-(monthly_conv*(1-v*VLOOKUP(C12,'Life tables'!$B$4:$D$118,3,FALSE)))</f>
        <v>20.850881063866833</v>
      </c>
      <c r="F12" s="6">
        <f>F13*v*VLOOKUP(C12,'Life tables'!$B$4:$D$118,3,FALSE)+v*VLOOKUP(C12,'Life tables'!$B$4:$D$118,2,FALSE)</f>
        <v>5.7699973052636487E-2</v>
      </c>
      <c r="G12" s="72">
        <f>F12*sumassured</f>
        <v>576999.73052636487</v>
      </c>
      <c r="H12" s="72">
        <f>p*E12</f>
        <v>1292264.1213191699</v>
      </c>
      <c r="I12" s="72">
        <f>renewfix*E12</f>
        <v>208.50881063866834</v>
      </c>
      <c r="J12" s="72">
        <f>renewvari*p*E12</f>
        <v>38767.9236395751</v>
      </c>
      <c r="K12" s="72">
        <f t="shared" si="0"/>
        <v>38976.432450213768</v>
      </c>
      <c r="L12" s="72">
        <f t="shared" si="1"/>
        <v>-676287.95834259118</v>
      </c>
      <c r="M12" s="72">
        <f>((M13*VLOOKUP(C12,'Life tables'!$B$4:$D$118,3,FALSE)+VLOOKUP(C12,'Life tables'!$B$4:$D$118,2,FALSE)*sumassured)/(1+int))-12*p+12*(renewfix+renewvari*p)</f>
        <v>-14751745.811763296</v>
      </c>
      <c r="N12" s="72">
        <f>M13*VLOOKUP(C12,'Life tables'!$B$3:$D$118,3,FALSE)-(1+int)*'Term 50'!M12</f>
        <v>740797.6229222957</v>
      </c>
    </row>
    <row r="13" spans="1:14" x14ac:dyDescent="0.3">
      <c r="B13" s="6">
        <v>4</v>
      </c>
      <c r="C13" s="6">
        <f>age+B13</f>
        <v>22</v>
      </c>
      <c r="D13" s="6">
        <f>term50-B13</f>
        <v>46</v>
      </c>
      <c r="E13" s="60">
        <f>E14*'Term 50'!v*VLOOKUP(C13,'Life tables'!$B$4:$D$118,3,FALSE)+1-(monthly_conv*(1-v*VLOOKUP(C13,'Life tables'!$B$4:$D$118,3,FALSE)))</f>
        <v>20.682995641016884</v>
      </c>
      <c r="F13" s="6">
        <f>F14*v*VLOOKUP(C13,'Life tables'!$B$4:$D$118,3,FALSE)+v*VLOOKUP(C13,'Life tables'!$B$4:$D$118,2,FALSE)</f>
        <v>5.9129198646277574E-2</v>
      </c>
      <c r="G13" s="72">
        <f>F13*sumassured</f>
        <v>591291.98646277573</v>
      </c>
      <c r="H13" s="72">
        <f>p*E13</f>
        <v>1281859.174507716</v>
      </c>
      <c r="I13" s="72">
        <f>renewfix*E13</f>
        <v>206.82995641016885</v>
      </c>
      <c r="J13" s="72">
        <f>renewvari*p*E13</f>
        <v>38455.775235231478</v>
      </c>
      <c r="K13" s="72">
        <f t="shared" si="0"/>
        <v>38662.605191641647</v>
      </c>
      <c r="L13" s="72">
        <f t="shared" si="1"/>
        <v>-651904.58285329863</v>
      </c>
      <c r="M13" s="72">
        <f>((M14*VLOOKUP(C13,'Life tables'!$B$4:$D$118,3,FALSE)+VLOOKUP(C13,'Life tables'!$B$4:$D$118,2,FALSE)*sumassured)/(1+int))-12*p+12*(renewfix+renewvari*p)</f>
        <v>-14614668.121336861</v>
      </c>
      <c r="N13" s="72">
        <f>M14*VLOOKUP(C13,'Life tables'!$B$3:$D$118,3,FALSE)-(1+int)*'Term 50'!M13</f>
        <v>740767.6229222957</v>
      </c>
    </row>
    <row r="14" spans="1:14" x14ac:dyDescent="0.3">
      <c r="B14" s="6">
        <v>5</v>
      </c>
      <c r="C14" s="6">
        <f>age+B14</f>
        <v>23</v>
      </c>
      <c r="D14" s="6">
        <f>term50-B14</f>
        <v>45</v>
      </c>
      <c r="E14" s="60">
        <f>E15*'Term 50'!v*VLOOKUP(C14,'Life tables'!$B$4:$D$118,3,FALSE)+1-(monthly_conv*(1-v*VLOOKUP(C14,'Life tables'!$B$4:$D$118,3,FALSE)))</f>
        <v>20.508294530299118</v>
      </c>
      <c r="F14" s="6">
        <f>F15*v*VLOOKUP(C14,'Life tables'!$B$4:$D$118,3,FALSE)+v*VLOOKUP(C14,'Life tables'!$B$4:$D$118,2,FALSE)</f>
        <v>6.061416206198076E-2</v>
      </c>
      <c r="G14" s="72">
        <f>F14*sumassured</f>
        <v>606141.62061980763</v>
      </c>
      <c r="H14" s="72">
        <f>p*E14</f>
        <v>1271031.815383482</v>
      </c>
      <c r="I14" s="72">
        <f>renewfix*E14</f>
        <v>205.08294530299116</v>
      </c>
      <c r="J14" s="72">
        <f>renewvari*p*E14</f>
        <v>38130.954461504458</v>
      </c>
      <c r="K14" s="72">
        <f t="shared" si="0"/>
        <v>38336.037406807452</v>
      </c>
      <c r="L14" s="72">
        <f t="shared" si="1"/>
        <v>-626554.15735686698</v>
      </c>
      <c r="M14" s="72">
        <f>((M15*VLOOKUP(C14,'Life tables'!$B$4:$D$118,3,FALSE)+VLOOKUP(C14,'Life tables'!$B$4:$D$118,2,FALSE)*sumassured)/(1+int))-12*p+12*(renewfix+renewvari*p)</f>
        <v>-14472047.53180534</v>
      </c>
      <c r="N14" s="72">
        <f>M15*VLOOKUP(C14,'Life tables'!$B$3:$D$118,3,FALSE)-(1+int)*'Term 50'!M14</f>
        <v>740777.62292229757</v>
      </c>
    </row>
    <row r="15" spans="1:14" x14ac:dyDescent="0.3">
      <c r="B15" s="6">
        <v>6</v>
      </c>
      <c r="C15" s="6">
        <f>age+B15</f>
        <v>24</v>
      </c>
      <c r="D15" s="6">
        <f>term50-B15</f>
        <v>44</v>
      </c>
      <c r="E15" s="60">
        <f>E16*'Term 50'!v*VLOOKUP(C15,'Life tables'!$B$4:$D$118,3,FALSE)+1-(monthly_conv*(1-v*VLOOKUP(C15,'Life tables'!$B$4:$D$118,3,FALSE)))</f>
        <v>20.32641416850614</v>
      </c>
      <c r="F15" s="6">
        <f>F16*v*VLOOKUP(C15,'Life tables'!$B$4:$D$118,3,FALSE)+v*VLOOKUP(C15,'Life tables'!$B$4:$D$118,2,FALSE)</f>
        <v>6.2160911157303239E-2</v>
      </c>
      <c r="G15" s="72">
        <f>F15*sumassured</f>
        <v>621609.11157303234</v>
      </c>
      <c r="H15" s="72">
        <f>p*E15</f>
        <v>1259759.5115802188</v>
      </c>
      <c r="I15" s="72">
        <f>renewfix*E15</f>
        <v>203.26414168506142</v>
      </c>
      <c r="J15" s="72">
        <f>renewvari*p*E15</f>
        <v>37792.785347406563</v>
      </c>
      <c r="K15" s="72">
        <f t="shared" si="0"/>
        <v>37996.049489091623</v>
      </c>
      <c r="L15" s="72">
        <f t="shared" si="1"/>
        <v>-600154.35051809484</v>
      </c>
      <c r="M15" s="72">
        <f>((M16*VLOOKUP(C15,'Life tables'!$B$4:$D$118,3,FALSE)+VLOOKUP(C15,'Life tables'!$B$4:$D$118,2,FALSE)*sumassured)/(1+int))-12*p+12*(renewfix+renewvari*p)</f>
        <v>-14323558.661062011</v>
      </c>
      <c r="N15" s="72">
        <f>M16*VLOOKUP(C15,'Life tables'!$B$3:$D$118,3,FALSE)-(1+int)*'Term 50'!M15</f>
        <v>740807.6229222957</v>
      </c>
    </row>
    <row r="16" spans="1:14" x14ac:dyDescent="0.3">
      <c r="B16" s="6">
        <v>7</v>
      </c>
      <c r="C16" s="6">
        <f>age+B16</f>
        <v>25</v>
      </c>
      <c r="D16" s="6">
        <f>term50-B16</f>
        <v>43</v>
      </c>
      <c r="E16" s="60">
        <f>E17*'Term 50'!v*VLOOKUP(C16,'Life tables'!$B$4:$D$118,3,FALSE)+1-(monthly_conv*(1-v*VLOOKUP(C16,'Life tables'!$B$4:$D$118,3,FALSE)))</f>
        <v>20.137019532803826</v>
      </c>
      <c r="F16" s="6">
        <f>F17*v*VLOOKUP(C16,'Life tables'!$B$4:$D$118,3,FALSE)+v*VLOOKUP(C16,'Life tables'!$B$4:$D$118,2,FALSE)</f>
        <v>6.3773848604343222E-2</v>
      </c>
      <c r="G16" s="72">
        <f>F16*sumassured</f>
        <v>637738.48604343226</v>
      </c>
      <c r="H16" s="72">
        <f>p*E16</f>
        <v>1248021.4995634246</v>
      </c>
      <c r="I16" s="72">
        <f>renewfix*E16</f>
        <v>201.37019532803828</v>
      </c>
      <c r="J16" s="72">
        <f>renewvari*p*E16</f>
        <v>37440.644986902742</v>
      </c>
      <c r="K16" s="72">
        <f t="shared" si="0"/>
        <v>37642.015182230782</v>
      </c>
      <c r="L16" s="72">
        <f t="shared" si="1"/>
        <v>-572640.99833776162</v>
      </c>
      <c r="M16" s="72">
        <f>((M17*VLOOKUP(C16,'Life tables'!$B$4:$D$118,3,FALSE)+VLOOKUP(C16,'Life tables'!$B$4:$D$118,2,FALSE)*sumassured)/(1+int))-12*p+12*(renewfix+renewvari*p)</f>
        <v>-14168912.980392903</v>
      </c>
      <c r="N16" s="72">
        <f>M17*VLOOKUP(C16,'Life tables'!$B$3:$D$118,3,FALSE)-(1+int)*'Term 50'!M16</f>
        <v>740827.6229222957</v>
      </c>
    </row>
    <row r="17" spans="2:14" x14ac:dyDescent="0.3">
      <c r="B17" s="6">
        <v>8</v>
      </c>
      <c r="C17" s="6">
        <f>age+B17</f>
        <v>26</v>
      </c>
      <c r="D17" s="6">
        <f>term50-B17</f>
        <v>42</v>
      </c>
      <c r="E17" s="60">
        <f>E18*'Term 50'!v*VLOOKUP(C17,'Life tables'!$B$4:$D$118,3,FALSE)+1-(monthly_conv*(1-v*VLOOKUP(C17,'Life tables'!$B$4:$D$118,3,FALSE)))</f>
        <v>19.939824332235958</v>
      </c>
      <c r="F17" s="6">
        <f>F18*v*VLOOKUP(C17,'Life tables'!$B$4:$D$118,3,FALSE)+v*VLOOKUP(C17,'Life tables'!$B$4:$D$118,2,FALSE)</f>
        <v>6.5454740912306311E-2</v>
      </c>
      <c r="G17" s="72">
        <f>F17*sumassured</f>
        <v>654547.40912306309</v>
      </c>
      <c r="H17" s="72">
        <f>p*E17</f>
        <v>1235800.0360286394</v>
      </c>
      <c r="I17" s="72">
        <f>renewfix*E17</f>
        <v>199.39824332235958</v>
      </c>
      <c r="J17" s="72">
        <f>renewvari*p*E17</f>
        <v>37074.001080859176</v>
      </c>
      <c r="K17" s="72">
        <f t="shared" si="0"/>
        <v>37273.399324181533</v>
      </c>
      <c r="L17" s="72">
        <f t="shared" si="1"/>
        <v>-543979.22758139484</v>
      </c>
      <c r="M17" s="72">
        <f>((M18*VLOOKUP(C17,'Life tables'!$B$4:$D$118,3,FALSE)+VLOOKUP(C17,'Life tables'!$B$4:$D$118,2,FALSE)*sumassured)/(1+int))-12*p+12*(renewfix+renewvari*p)</f>
        <v>-14007883.215960383</v>
      </c>
      <c r="N17" s="72">
        <f>M18*VLOOKUP(C17,'Life tables'!$B$3:$D$118,3,FALSE)-(1+int)*'Term 50'!M17</f>
        <v>740827.6229222957</v>
      </c>
    </row>
    <row r="18" spans="2:14" x14ac:dyDescent="0.3">
      <c r="B18" s="6">
        <v>9</v>
      </c>
      <c r="C18" s="6">
        <f>age+B18</f>
        <v>27</v>
      </c>
      <c r="D18" s="6">
        <f>term50-B18</f>
        <v>41</v>
      </c>
      <c r="E18" s="60">
        <f>E19*'Term 50'!v*VLOOKUP(C18,'Life tables'!$B$4:$D$118,3,FALSE)+1-(monthly_conv*(1-v*VLOOKUP(C18,'Life tables'!$B$4:$D$118,3,FALSE)))</f>
        <v>19.734550213440777</v>
      </c>
      <c r="F18" s="6">
        <f>F19*v*VLOOKUP(C18,'Life tables'!$B$4:$D$118,3,FALSE)+v*VLOOKUP(C18,'Life tables'!$B$4:$D$118,2,FALSE)</f>
        <v>6.7204497936377353E-2</v>
      </c>
      <c r="G18" s="72">
        <f>F18*sumassured</f>
        <v>672044.97936377348</v>
      </c>
      <c r="H18" s="72">
        <f>p*E18</f>
        <v>1223077.869615532</v>
      </c>
      <c r="I18" s="72">
        <f>renewfix*E18</f>
        <v>197.34550213440775</v>
      </c>
      <c r="J18" s="72">
        <f>renewvari*p*E18</f>
        <v>36692.336088465963</v>
      </c>
      <c r="K18" s="72">
        <f t="shared" si="0"/>
        <v>36889.681590600369</v>
      </c>
      <c r="L18" s="72">
        <f t="shared" si="1"/>
        <v>-514143.2086611581</v>
      </c>
      <c r="M18" s="72">
        <f>((M19*VLOOKUP(C18,'Life tables'!$B$4:$D$118,3,FALSE)+VLOOKUP(C18,'Life tables'!$B$4:$D$118,2,FALSE)*sumassured)/(1+int))-12*p+12*(renewfix+renewvari*p)</f>
        <v>-13840256.200198889</v>
      </c>
      <c r="N18" s="72">
        <f>M19*VLOOKUP(C18,'Life tables'!$B$3:$D$118,3,FALSE)-(1+int)*'Term 50'!M18</f>
        <v>740797.62292229757</v>
      </c>
    </row>
    <row r="19" spans="2:14" x14ac:dyDescent="0.3">
      <c r="B19" s="6">
        <v>10</v>
      </c>
      <c r="C19" s="6">
        <f>age+B19</f>
        <v>28</v>
      </c>
      <c r="D19" s="6">
        <f>term50-B19</f>
        <v>40</v>
      </c>
      <c r="E19" s="60">
        <f>E20*'Term 50'!v*VLOOKUP(C19,'Life tables'!$B$4:$D$118,3,FALSE)+1-(monthly_conv*(1-v*VLOOKUP(C19,'Life tables'!$B$4:$D$118,3,FALSE)))</f>
        <v>19.520926183700652</v>
      </c>
      <c r="F19" s="6">
        <f>F20*v*VLOOKUP(C19,'Life tables'!$B$4:$D$118,3,FALSE)+v*VLOOKUP(C19,'Life tables'!$B$4:$D$118,2,FALSE)</f>
        <v>6.9023145471703032E-2</v>
      </c>
      <c r="G19" s="72">
        <f>F19*sumassured</f>
        <v>690231.45471703028</v>
      </c>
      <c r="H19" s="72">
        <f>p*E19</f>
        <v>1209838.205150553</v>
      </c>
      <c r="I19" s="72">
        <f>renewfix*E19</f>
        <v>195.20926183700652</v>
      </c>
      <c r="J19" s="72">
        <f>renewvari*p*E19</f>
        <v>36295.146154516588</v>
      </c>
      <c r="K19" s="72">
        <f t="shared" si="0"/>
        <v>36490.355416353596</v>
      </c>
      <c r="L19" s="72">
        <f t="shared" si="1"/>
        <v>-483116.39501716918</v>
      </c>
      <c r="M19" s="72">
        <f>((M20*VLOOKUP(C19,'Life tables'!$B$4:$D$118,3,FALSE)+VLOOKUP(C19,'Life tables'!$B$4:$D$118,2,FALSE)*sumassured)/(1+int))-12*p+12*(renewfix+renewvari*p)</f>
        <v>-13665832.713038526</v>
      </c>
      <c r="N19" s="72">
        <f>M20*VLOOKUP(C19,'Life tables'!$B$3:$D$118,3,FALSE)-(1+int)*'Term 50'!M19</f>
        <v>740717.6229222957</v>
      </c>
    </row>
    <row r="20" spans="2:14" x14ac:dyDescent="0.3">
      <c r="B20" s="6">
        <v>11</v>
      </c>
      <c r="C20" s="6">
        <f>age+B20</f>
        <v>29</v>
      </c>
      <c r="D20" s="6">
        <f>term50-B20</f>
        <v>39</v>
      </c>
      <c r="E20" s="60">
        <f>E21*'Term 50'!v*VLOOKUP(C20,'Life tables'!$B$4:$D$118,3,FALSE)+1-(monthly_conv*(1-v*VLOOKUP(C20,'Life tables'!$B$4:$D$118,3,FALSE)))</f>
        <v>19.298707697032622</v>
      </c>
      <c r="F20" s="6">
        <f>F21*v*VLOOKUP(C20,'Life tables'!$B$4:$D$118,3,FALSE)+v*VLOOKUP(C20,'Life tables'!$B$4:$D$118,2,FALSE)</f>
        <v>7.090886744370313E-2</v>
      </c>
      <c r="G20" s="72">
        <f>F20*sumassured</f>
        <v>709088.67443703127</v>
      </c>
      <c r="H20" s="72">
        <f>p*E20</f>
        <v>1196065.8865355582</v>
      </c>
      <c r="I20" s="72">
        <f>renewfix*E20</f>
        <v>192.98707697032623</v>
      </c>
      <c r="J20" s="72">
        <f>renewvari*p*E20</f>
        <v>35881.976596066743</v>
      </c>
      <c r="K20" s="72">
        <f t="shared" si="0"/>
        <v>36074.963673037069</v>
      </c>
      <c r="L20" s="72">
        <f t="shared" si="1"/>
        <v>-450902.24842548976</v>
      </c>
      <c r="M20" s="72">
        <f>((M21*VLOOKUP(C20,'Life tables'!$B$4:$D$118,3,FALSE)+VLOOKUP(C20,'Life tables'!$B$4:$D$118,2,FALSE)*sumassured)/(1+int))-12*p+12*(renewfix+renewvari*p)</f>
        <v>-13484450.751245445</v>
      </c>
      <c r="N20" s="72">
        <f>M21*VLOOKUP(C20,'Life tables'!$B$3:$D$118,3,FALSE)-(1+int)*'Term 50'!M20</f>
        <v>740577.6229222957</v>
      </c>
    </row>
    <row r="21" spans="2:14" x14ac:dyDescent="0.3">
      <c r="B21" s="6">
        <v>12</v>
      </c>
      <c r="C21" s="6">
        <f>age+B21</f>
        <v>30</v>
      </c>
      <c r="D21" s="6">
        <f>term50-B21</f>
        <v>38</v>
      </c>
      <c r="E21" s="60">
        <f>E22*'Term 50'!v*VLOOKUP(C21,'Life tables'!$B$4:$D$118,3,FALSE)+1-(monthly_conv*(1-v*VLOOKUP(C21,'Life tables'!$B$4:$D$118,3,FALSE)))</f>
        <v>19.067656184226045</v>
      </c>
      <c r="F21" s="6">
        <f>F22*v*VLOOKUP(C21,'Life tables'!$B$4:$D$118,3,FALSE)+v*VLOOKUP(C21,'Life tables'!$B$4:$D$118,2,FALSE)</f>
        <v>7.2858875226167477E-2</v>
      </c>
      <c r="G21" s="72">
        <f>F21*sumassured</f>
        <v>728588.75226167473</v>
      </c>
      <c r="H21" s="72">
        <f>p*E21</f>
        <v>1181746.1280916871</v>
      </c>
      <c r="I21" s="72">
        <f>renewfix*E21</f>
        <v>190.67656184226047</v>
      </c>
      <c r="J21" s="72">
        <f>renewvari*p*E21</f>
        <v>35452.383842750613</v>
      </c>
      <c r="K21" s="72">
        <f t="shared" si="0"/>
        <v>35643.06040459287</v>
      </c>
      <c r="L21" s="72">
        <f t="shared" si="1"/>
        <v>-417514.31542541948</v>
      </c>
      <c r="M21" s="72">
        <f>((M22*VLOOKUP(C21,'Life tables'!$B$4:$D$118,3,FALSE)+VLOOKUP(C21,'Life tables'!$B$4:$D$118,2,FALSE)*sumassured)/(1+int))-12*p+12*(renewfix+renewvari*p)</f>
        <v>-13295962.098138787</v>
      </c>
      <c r="N21" s="72">
        <f>M22*VLOOKUP(C21,'Life tables'!$B$3:$D$118,3,FALSE)-(1+int)*'Term 50'!M21</f>
        <v>740367.6229222957</v>
      </c>
    </row>
    <row r="22" spans="2:14" x14ac:dyDescent="0.3">
      <c r="B22" s="6">
        <v>13</v>
      </c>
      <c r="C22" s="6">
        <f>age+B22</f>
        <v>31</v>
      </c>
      <c r="D22" s="6">
        <f>term50-B22</f>
        <v>37</v>
      </c>
      <c r="E22" s="60">
        <f>E23*'Term 50'!v*VLOOKUP(C22,'Life tables'!$B$4:$D$118,3,FALSE)+1-(monthly_conv*(1-v*VLOOKUP(C22,'Life tables'!$B$4:$D$118,3,FALSE)))</f>
        <v>18.827538061280961</v>
      </c>
      <c r="F22" s="6">
        <f>F23*v*VLOOKUP(C22,'Life tables'!$B$4:$D$118,3,FALSE)+v*VLOOKUP(C22,'Life tables'!$B$4:$D$118,2,FALSE)</f>
        <v>7.4869377617146141E-2</v>
      </c>
      <c r="G22" s="72">
        <f>F22*sumassured</f>
        <v>748693.77617146145</v>
      </c>
      <c r="H22" s="72">
        <f>p*E22</f>
        <v>1166864.4531058681</v>
      </c>
      <c r="I22" s="72">
        <f>renewfix*E22</f>
        <v>188.27538061280961</v>
      </c>
      <c r="J22" s="72">
        <f>renewvari*p*E22</f>
        <v>35005.933593176036</v>
      </c>
      <c r="K22" s="72">
        <f t="shared" si="0"/>
        <v>35194.208973788845</v>
      </c>
      <c r="L22" s="72">
        <f t="shared" si="1"/>
        <v>-382976.46796061774</v>
      </c>
      <c r="M22" s="72">
        <f>((M23*VLOOKUP(C22,'Life tables'!$B$4:$D$118,3,FALSE)+VLOOKUP(C22,'Life tables'!$B$4:$D$118,2,FALSE)*sumassured)/(1+int))-12*p+12*(renewfix+renewvari*p)</f>
        <v>-13100231.885694366</v>
      </c>
      <c r="N22" s="72">
        <f>M23*VLOOKUP(C22,'Life tables'!$B$3:$D$118,3,FALSE)-(1+int)*'Term 50'!M22</f>
        <v>740087.6229222957</v>
      </c>
    </row>
    <row r="23" spans="2:14" x14ac:dyDescent="0.3">
      <c r="B23" s="6">
        <v>14</v>
      </c>
      <c r="C23" s="6">
        <f>age+B23</f>
        <v>32</v>
      </c>
      <c r="D23" s="6">
        <f>term50-B23</f>
        <v>36</v>
      </c>
      <c r="E23" s="60">
        <f>E24*'Term 50'!v*VLOOKUP(C23,'Life tables'!$B$4:$D$118,3,FALSE)+1-(monthly_conv*(1-v*VLOOKUP(C23,'Life tables'!$B$4:$D$118,3,FALSE)))</f>
        <v>18.578104537125348</v>
      </c>
      <c r="F23" s="6">
        <f>F24*v*VLOOKUP(C23,'Life tables'!$B$4:$D$118,3,FALSE)+v*VLOOKUP(C23,'Life tables'!$B$4:$D$118,2,FALSE)</f>
        <v>7.6936473878079462E-2</v>
      </c>
      <c r="G23" s="72">
        <f>F23*sumassured</f>
        <v>769364.73878079467</v>
      </c>
      <c r="H23" s="72">
        <f>p*E23</f>
        <v>1151405.442384298</v>
      </c>
      <c r="I23" s="72">
        <f>renewfix*E23</f>
        <v>185.78104537125347</v>
      </c>
      <c r="J23" s="72">
        <f>renewvari*p*E23</f>
        <v>34542.163271528938</v>
      </c>
      <c r="K23" s="72">
        <f t="shared" si="0"/>
        <v>34727.94431690019</v>
      </c>
      <c r="L23" s="72">
        <f t="shared" si="1"/>
        <v>-347312.75928660308</v>
      </c>
      <c r="M23" s="72">
        <f>((M24*VLOOKUP(C23,'Life tables'!$B$4:$D$118,3,FALSE)+VLOOKUP(C23,'Life tables'!$B$4:$D$118,2,FALSE)*sumassured)/(1+int))-12*p+12*(renewfix+renewvari*p)</f>
        <v>-12897115.138914455</v>
      </c>
      <c r="N23" s="72">
        <f>M24*VLOOKUP(C23,'Life tables'!$B$3:$D$118,3,FALSE)-(1+int)*'Term 50'!M23</f>
        <v>739717.6229222957</v>
      </c>
    </row>
    <row r="24" spans="2:14" x14ac:dyDescent="0.3">
      <c r="B24" s="6">
        <v>15</v>
      </c>
      <c r="C24" s="6">
        <f>age+B24</f>
        <v>33</v>
      </c>
      <c r="D24" s="6">
        <f>term50-B24</f>
        <v>35</v>
      </c>
      <c r="E24" s="60">
        <f>E25*'Term 50'!v*VLOOKUP(C24,'Life tables'!$B$4:$D$118,3,FALSE)+1-(monthly_conv*(1-v*VLOOKUP(C24,'Life tables'!$B$4:$D$118,3,FALSE)))</f>
        <v>18.319128166826861</v>
      </c>
      <c r="F24" s="6">
        <f>F25*v*VLOOKUP(C24,'Life tables'!$B$4:$D$118,3,FALSE)+v*VLOOKUP(C24,'Life tables'!$B$4:$D$118,2,FALSE)</f>
        <v>7.9054307421535894E-2</v>
      </c>
      <c r="G24" s="72">
        <f>F24*sumassured</f>
        <v>790543.07421535894</v>
      </c>
      <c r="H24" s="72">
        <f>p*E24</f>
        <v>1135354.9996916794</v>
      </c>
      <c r="I24" s="72">
        <f>renewfix*E24</f>
        <v>183.1912816682686</v>
      </c>
      <c r="J24" s="72">
        <f>renewvari*p*E24</f>
        <v>34060.649990750382</v>
      </c>
      <c r="K24" s="72">
        <f t="shared" si="0"/>
        <v>34243.841272418649</v>
      </c>
      <c r="L24" s="72">
        <f t="shared" si="1"/>
        <v>-310568.08420390182</v>
      </c>
      <c r="M24" s="72">
        <f>((M25*VLOOKUP(C24,'Life tables'!$B$4:$D$118,3,FALSE)+VLOOKUP(C24,'Life tables'!$B$4:$D$118,2,FALSE)*sumassured)/(1+int))-12*p+12*(renewfix+renewvari*p)</f>
        <v>-12686501.456065958</v>
      </c>
      <c r="N24" s="72">
        <f>M25*VLOOKUP(C24,'Life tables'!$B$3:$D$118,3,FALSE)-(1+int)*'Term 50'!M24</f>
        <v>739277.6229222957</v>
      </c>
    </row>
    <row r="25" spans="2:14" x14ac:dyDescent="0.3">
      <c r="B25" s="6">
        <v>16</v>
      </c>
      <c r="C25" s="6">
        <f>age+B25</f>
        <v>34</v>
      </c>
      <c r="D25" s="6">
        <f>term50-B25</f>
        <v>34</v>
      </c>
      <c r="E25" s="60">
        <f>E26*'Term 50'!v*VLOOKUP(C25,'Life tables'!$B$4:$D$118,3,FALSE)+1-(monthly_conv*(1-v*VLOOKUP(C25,'Life tables'!$B$4:$D$118,3,FALSE)))</f>
        <v>18.050327031990012</v>
      </c>
      <c r="F25" s="6">
        <f>F26*v*VLOOKUP(C25,'Life tables'!$B$4:$D$118,3,FALSE)+v*VLOOKUP(C25,'Life tables'!$B$4:$D$118,2,FALSE)</f>
        <v>8.1218683208361619E-2</v>
      </c>
      <c r="G25" s="72">
        <f>F25*sumassured</f>
        <v>812186.83208361617</v>
      </c>
      <c r="H25" s="72">
        <f>p*E25</f>
        <v>1118695.6527194551</v>
      </c>
      <c r="I25" s="72">
        <f>renewfix*E25</f>
        <v>180.50327031990011</v>
      </c>
      <c r="J25" s="72">
        <f>renewvari*p*E25</f>
        <v>33560.869581583655</v>
      </c>
      <c r="K25" s="72">
        <f t="shared" si="0"/>
        <v>33741.372851903558</v>
      </c>
      <c r="L25" s="72">
        <f t="shared" si="1"/>
        <v>-272767.44778393535</v>
      </c>
      <c r="M25" s="72">
        <f>((M26*VLOOKUP(C25,'Life tables'!$B$4:$D$118,3,FALSE)+VLOOKUP(C25,'Life tables'!$B$4:$D$118,2,FALSE)*sumassured)/(1+int))-12*p+12*(renewfix+renewvari*p)</f>
        <v>-12468224.383066313</v>
      </c>
      <c r="N25" s="72">
        <f>M26*VLOOKUP(C25,'Life tables'!$B$3:$D$118,3,FALSE)-(1+int)*'Term 50'!M25</f>
        <v>738737.6229222957</v>
      </c>
    </row>
    <row r="26" spans="2:14" x14ac:dyDescent="0.3">
      <c r="B26" s="6">
        <v>17</v>
      </c>
      <c r="C26" s="6">
        <f>age+B26</f>
        <v>35</v>
      </c>
      <c r="D26" s="6">
        <f>term50-B26</f>
        <v>33</v>
      </c>
      <c r="E26" s="60">
        <f>E27*'Term 50'!v*VLOOKUP(C26,'Life tables'!$B$4:$D$118,3,FALSE)+1-(monthly_conv*(1-v*VLOOKUP(C26,'Life tables'!$B$4:$D$118,3,FALSE)))</f>
        <v>17.771455405765522</v>
      </c>
      <c r="F26" s="6">
        <f>F27*v*VLOOKUP(C26,'Life tables'!$B$4:$D$118,3,FALSE)+v*VLOOKUP(C26,'Life tables'!$B$4:$D$118,2,FALSE)</f>
        <v>8.3422532223430809E-2</v>
      </c>
      <c r="G26" s="72">
        <f>F26*sumassured</f>
        <v>834225.32223430811</v>
      </c>
      <c r="H26" s="72">
        <f>p*E26</f>
        <v>1101412.172183549</v>
      </c>
      <c r="I26" s="72">
        <f>renewfix*E26</f>
        <v>177.71455405765522</v>
      </c>
      <c r="J26" s="72">
        <f>renewvari*p*E26</f>
        <v>33042.365165506468</v>
      </c>
      <c r="K26" s="72">
        <f t="shared" si="0"/>
        <v>33220.079719564121</v>
      </c>
      <c r="L26" s="72">
        <f t="shared" si="1"/>
        <v>-233966.77022967674</v>
      </c>
      <c r="M26" s="72">
        <f>((M27*VLOOKUP(C26,'Life tables'!$B$4:$D$118,3,FALSE)+VLOOKUP(C26,'Life tables'!$B$4:$D$118,2,FALSE)*sumassured)/(1+int))-12*p+12*(renewfix+renewvari*p)</f>
        <v>-12242171.811331589</v>
      </c>
      <c r="N26" s="72">
        <f>M27*VLOOKUP(C26,'Life tables'!$B$3:$D$118,3,FALSE)-(1+int)*'Term 50'!M26</f>
        <v>738117.62292229757</v>
      </c>
    </row>
    <row r="27" spans="2:14" x14ac:dyDescent="0.3">
      <c r="B27" s="6">
        <v>18</v>
      </c>
      <c r="C27" s="6">
        <f>age+B27</f>
        <v>36</v>
      </c>
      <c r="D27" s="6">
        <f>term50-B27</f>
        <v>32</v>
      </c>
      <c r="E27" s="60">
        <f>E28*'Term 50'!v*VLOOKUP(C27,'Life tables'!$B$4:$D$118,3,FALSE)+1-(monthly_conv*(1-v*VLOOKUP(C27,'Life tables'!$B$4:$D$118,3,FALSE)))</f>
        <v>17.482211490207376</v>
      </c>
      <c r="F27" s="6">
        <f>F28*v*VLOOKUP(C27,'Life tables'!$B$4:$D$118,3,FALSE)+v*VLOOKUP(C27,'Life tables'!$B$4:$D$118,2,FALSE)</f>
        <v>8.5660397309934605E-2</v>
      </c>
      <c r="G27" s="72">
        <f>F27*sumassured</f>
        <v>856603.97309934604</v>
      </c>
      <c r="H27" s="72">
        <f>p*E27</f>
        <v>1083485.8537109259</v>
      </c>
      <c r="I27" s="72">
        <f>renewfix*E27</f>
        <v>174.82211490207376</v>
      </c>
      <c r="J27" s="72">
        <f>renewvari*p*E27</f>
        <v>32504.575611327775</v>
      </c>
      <c r="K27" s="72">
        <f t="shared" si="0"/>
        <v>32679.39772622985</v>
      </c>
      <c r="L27" s="72">
        <f t="shared" si="1"/>
        <v>-194202.48288535001</v>
      </c>
      <c r="M27" s="72">
        <f>((M28*VLOOKUP(C27,'Life tables'!$B$4:$D$118,3,FALSE)+VLOOKUP(C27,'Life tables'!$B$4:$D$118,2,FALSE)*sumassured)/(1+int))-12*p+12*(renewfix+renewvari*p)</f>
        <v>-12008174.887076823</v>
      </c>
      <c r="N27" s="72">
        <f>M28*VLOOKUP(C27,'Life tables'!$B$3:$D$118,3,FALSE)-(1+int)*'Term 50'!M27</f>
        <v>737387.6229222957</v>
      </c>
    </row>
    <row r="28" spans="2:14" x14ac:dyDescent="0.3">
      <c r="B28" s="6">
        <v>19</v>
      </c>
      <c r="C28" s="6">
        <f>age+B28</f>
        <v>37</v>
      </c>
      <c r="D28" s="6">
        <f>term50-B28</f>
        <v>31</v>
      </c>
      <c r="E28" s="60">
        <f>E29*'Term 50'!v*VLOOKUP(C28,'Life tables'!$B$4:$D$118,3,FALSE)+1-(monthly_conv*(1-v*VLOOKUP(C28,'Life tables'!$B$4:$D$118,3,FALSE)))</f>
        <v>17.182325122680425</v>
      </c>
      <c r="F28" s="6">
        <f>F29*v*VLOOKUP(C28,'Life tables'!$B$4:$D$118,3,FALSE)+v*VLOOKUP(C28,'Life tables'!$B$4:$D$118,2,FALSE)</f>
        <v>8.7923916195481247E-2</v>
      </c>
      <c r="G28" s="72">
        <f>F28*sumassured</f>
        <v>879239.16195481247</v>
      </c>
      <c r="H28" s="72">
        <f>p*E28</f>
        <v>1064899.9535736227</v>
      </c>
      <c r="I28" s="72">
        <f>renewfix*E28</f>
        <v>171.82325122680425</v>
      </c>
      <c r="J28" s="72">
        <f>renewvari*p*E28</f>
        <v>31946.998607208679</v>
      </c>
      <c r="K28" s="72">
        <f t="shared" si="0"/>
        <v>32118.821858435484</v>
      </c>
      <c r="L28" s="72">
        <f t="shared" si="1"/>
        <v>-153541.96976037475</v>
      </c>
      <c r="M28" s="72">
        <f>((M29*VLOOKUP(C28,'Life tables'!$B$4:$D$118,3,FALSE)+VLOOKUP(C28,'Life tables'!$B$4:$D$118,2,FALSE)*sumassured)/(1+int))-12*p+12*(renewfix+renewvari*p)</f>
        <v>-11766116.057611054</v>
      </c>
      <c r="N28" s="72">
        <f>M29*VLOOKUP(C28,'Life tables'!$B$3:$D$118,3,FALSE)-(1+int)*'Term 50'!M28</f>
        <v>736557.6229222957</v>
      </c>
    </row>
    <row r="29" spans="2:14" x14ac:dyDescent="0.3">
      <c r="B29" s="6">
        <v>20</v>
      </c>
      <c r="C29" s="6">
        <f>age+B29</f>
        <v>38</v>
      </c>
      <c r="D29" s="6">
        <f>term50-B29</f>
        <v>30</v>
      </c>
      <c r="E29" s="60">
        <f>E30*'Term 50'!v*VLOOKUP(C29,'Life tables'!$B$4:$D$118,3,FALSE)+1-(monthly_conv*(1-v*VLOOKUP(C29,'Life tables'!$B$4:$D$118,3,FALSE)))</f>
        <v>16.871485354699328</v>
      </c>
      <c r="F29" s="6">
        <f>F30*v*VLOOKUP(C29,'Life tables'!$B$4:$D$118,3,FALSE)+v*VLOOKUP(C29,'Life tables'!$B$4:$D$118,2,FALSE)</f>
        <v>9.0205371738120876E-2</v>
      </c>
      <c r="G29" s="72">
        <f>F29*sumassured</f>
        <v>902053.71738120879</v>
      </c>
      <c r="H29" s="72">
        <f>p*E29</f>
        <v>1045635.2002804276</v>
      </c>
      <c r="I29" s="72">
        <f>renewfix*E29</f>
        <v>168.71485354699328</v>
      </c>
      <c r="J29" s="72">
        <f>renewvari*p*E29</f>
        <v>31369.05600841283</v>
      </c>
      <c r="K29" s="72">
        <f t="shared" si="0"/>
        <v>31537.770861959823</v>
      </c>
      <c r="L29" s="72">
        <f t="shared" si="1"/>
        <v>-112043.71203725901</v>
      </c>
      <c r="M29" s="72">
        <f>((M30*VLOOKUP(C29,'Life tables'!$B$4:$D$118,3,FALSE)+VLOOKUP(C29,'Life tables'!$B$4:$D$118,2,FALSE)*sumassured)/(1+int))-12*p+12*(renewfix+renewvari*p)</f>
        <v>-11515841.589872247</v>
      </c>
      <c r="N29" s="72">
        <f>M30*VLOOKUP(C29,'Life tables'!$B$3:$D$118,3,FALSE)-(1+int)*'Term 50'!M29</f>
        <v>735607.6229222957</v>
      </c>
    </row>
    <row r="30" spans="2:14" x14ac:dyDescent="0.3">
      <c r="B30" s="6">
        <v>21</v>
      </c>
      <c r="C30" s="6">
        <f>age+B30</f>
        <v>39</v>
      </c>
      <c r="D30" s="6">
        <f>term50-B30</f>
        <v>29</v>
      </c>
      <c r="E30" s="60">
        <f>E31*'Term 50'!v*VLOOKUP(C30,'Life tables'!$B$4:$D$118,3,FALSE)+1-(monthly_conv*(1-v*VLOOKUP(C30,'Life tables'!$B$4:$D$118,3,FALSE)))</f>
        <v>16.549390324695754</v>
      </c>
      <c r="F30" s="6">
        <f>F31*v*VLOOKUP(C30,'Life tables'!$B$4:$D$118,3,FALSE)+v*VLOOKUP(C30,'Life tables'!$B$4:$D$118,2,FALSE)</f>
        <v>9.2494981816224689E-2</v>
      </c>
      <c r="G30" s="72">
        <f>F30*sumassured</f>
        <v>924949.81816224684</v>
      </c>
      <c r="H30" s="72">
        <f>p*E30</f>
        <v>1025672.8855152188</v>
      </c>
      <c r="I30" s="72">
        <f>renewfix*E30</f>
        <v>165.49390324695753</v>
      </c>
      <c r="J30" s="72">
        <f>renewvari*p*E30</f>
        <v>30770.186565456566</v>
      </c>
      <c r="K30" s="72">
        <f t="shared" si="0"/>
        <v>30935.680468703526</v>
      </c>
      <c r="L30" s="72">
        <f t="shared" si="1"/>
        <v>-69787.38688426849</v>
      </c>
      <c r="M30" s="72">
        <f>((M31*VLOOKUP(C30,'Life tables'!$B$4:$D$118,3,FALSE)+VLOOKUP(C30,'Life tables'!$B$4:$D$118,2,FALSE)*sumassured)/(1+int))-12*p+12*(renewfix+renewvari*p)</f>
        <v>-11257224.377565444</v>
      </c>
      <c r="N30" s="72">
        <f>M31*VLOOKUP(C30,'Life tables'!$B$3:$D$118,3,FALSE)-(1+int)*'Term 50'!M30</f>
        <v>734537.6229222957</v>
      </c>
    </row>
    <row r="31" spans="2:14" x14ac:dyDescent="0.3">
      <c r="B31" s="6">
        <v>22</v>
      </c>
      <c r="C31" s="6">
        <f>age+B31</f>
        <v>40</v>
      </c>
      <c r="D31" s="6">
        <f>term50-B31</f>
        <v>28</v>
      </c>
      <c r="E31" s="60">
        <f>E32*'Term 50'!v*VLOOKUP(C31,'Life tables'!$B$4:$D$118,3,FALSE)+1-(monthly_conv*(1-v*VLOOKUP(C31,'Life tables'!$B$4:$D$118,3,FALSE)))</f>
        <v>16.215710779833461</v>
      </c>
      <c r="F31" s="6">
        <f>F32*v*VLOOKUP(C31,'Life tables'!$B$4:$D$118,3,FALSE)+v*VLOOKUP(C31,'Life tables'!$B$4:$D$118,2,FALSE)</f>
        <v>9.4782642010409923E-2</v>
      </c>
      <c r="G31" s="72">
        <f>F31*sumassured</f>
        <v>947826.4201040992</v>
      </c>
      <c r="H31" s="72">
        <f>p*E31</f>
        <v>1004992.6033476277</v>
      </c>
      <c r="I31" s="72">
        <f>renewfix*E31</f>
        <v>162.15710779833461</v>
      </c>
      <c r="J31" s="72">
        <f>renewvari*p*E31</f>
        <v>30149.77810042883</v>
      </c>
      <c r="K31" s="72">
        <f t="shared" si="0"/>
        <v>30311.935208227165</v>
      </c>
      <c r="L31" s="72">
        <f t="shared" si="1"/>
        <v>-26854.248035301338</v>
      </c>
      <c r="M31" s="72">
        <f>((M32*VLOOKUP(C31,'Life tables'!$B$4:$D$118,3,FALSE)+VLOOKUP(C31,'Life tables'!$B$4:$D$118,2,FALSE)*sumassured)/(1+int))-12*p+12*(renewfix+renewvari*p)</f>
        <v>-10990120.317440974</v>
      </c>
      <c r="N31" s="72">
        <f>M32*VLOOKUP(C31,'Life tables'!$B$3:$D$118,3,FALSE)-(1+int)*'Term 50'!M31</f>
        <v>733337.6229222957</v>
      </c>
    </row>
    <row r="32" spans="2:14" x14ac:dyDescent="0.3">
      <c r="B32" s="6">
        <v>23</v>
      </c>
      <c r="C32" s="6">
        <f>age+B32</f>
        <v>41</v>
      </c>
      <c r="D32" s="6">
        <f>term50-B32</f>
        <v>27</v>
      </c>
      <c r="E32" s="60">
        <f>E33*'Term 50'!v*VLOOKUP(C32,'Life tables'!$B$4:$D$118,3,FALSE)+1-(monthly_conv*(1-v*VLOOKUP(C32,'Life tables'!$B$4:$D$118,3,FALSE)))</f>
        <v>15.870104319617095</v>
      </c>
      <c r="F32" s="6">
        <f>F33*v*VLOOKUP(C32,'Life tables'!$B$4:$D$118,3,FALSE)+v*VLOOKUP(C32,'Life tables'!$B$4:$D$118,2,FALSE)</f>
        <v>9.705700345663347E-2</v>
      </c>
      <c r="G32" s="72">
        <f>F32*sumassured</f>
        <v>970570.03456633468</v>
      </c>
      <c r="H32" s="72">
        <f>p*E32</f>
        <v>983573.13300171099</v>
      </c>
      <c r="I32" s="72">
        <f>renewfix*E32</f>
        <v>158.70104319617096</v>
      </c>
      <c r="J32" s="72">
        <f>renewvari*p*E32</f>
        <v>29507.193990051328</v>
      </c>
      <c r="K32" s="72">
        <f t="shared" si="0"/>
        <v>29665.8950332475</v>
      </c>
      <c r="L32" s="72">
        <f t="shared" si="1"/>
        <v>16662.796597871231</v>
      </c>
      <c r="M32" s="72">
        <f>((M33*VLOOKUP(C32,'Life tables'!$B$4:$D$118,3,FALSE)+VLOOKUP(C32,'Life tables'!$B$4:$D$118,2,FALSE)*sumassured)/(1+int))-12*p+12*(renewfix+renewvari*p)</f>
        <v>-10714387.678516226</v>
      </c>
      <c r="N32" s="72">
        <f>M33*VLOOKUP(C32,'Life tables'!$B$3:$D$118,3,FALSE)-(1+int)*'Term 50'!M32</f>
        <v>731987.6229222957</v>
      </c>
    </row>
    <row r="33" spans="2:14" x14ac:dyDescent="0.3">
      <c r="B33" s="6">
        <v>24</v>
      </c>
      <c r="C33" s="6">
        <f>age+B33</f>
        <v>42</v>
      </c>
      <c r="D33" s="6">
        <f>term50-B33</f>
        <v>26</v>
      </c>
      <c r="E33" s="60">
        <f>E34*'Term 50'!v*VLOOKUP(C33,'Life tables'!$B$4:$D$118,3,FALSE)+1-(monthly_conv*(1-v*VLOOKUP(C33,'Life tables'!$B$4:$D$118,3,FALSE)))</f>
        <v>15.512228395272533</v>
      </c>
      <c r="F33" s="6">
        <f>F34*v*VLOOKUP(C33,'Life tables'!$B$4:$D$118,3,FALSE)+v*VLOOKUP(C33,'Life tables'!$B$4:$D$118,2,FALSE)</f>
        <v>9.9304521301060253E-2</v>
      </c>
      <c r="G33" s="72">
        <f>F33*sumassured</f>
        <v>993045.21301060251</v>
      </c>
      <c r="H33" s="72">
        <f>p*E33</f>
        <v>961393.2445117305</v>
      </c>
      <c r="I33" s="72">
        <f>renewfix*E33</f>
        <v>155.12228395272533</v>
      </c>
      <c r="J33" s="72">
        <f>renewvari*p*E33</f>
        <v>28841.797335351916</v>
      </c>
      <c r="K33" s="72">
        <f t="shared" si="0"/>
        <v>28996.919619304641</v>
      </c>
      <c r="L33" s="72">
        <f t="shared" si="1"/>
        <v>60648.888118176605</v>
      </c>
      <c r="M33" s="72">
        <f>((M34*VLOOKUP(C33,'Life tables'!$B$4:$D$118,3,FALSE)+VLOOKUP(C33,'Life tables'!$B$4:$D$118,2,FALSE)*sumassured)/(1+int))-12*p+12*(renewfix+renewvari*p)</f>
        <v>-10429905.841837514</v>
      </c>
      <c r="N33" s="72">
        <f>M34*VLOOKUP(C33,'Life tables'!$B$3:$D$118,3,FALSE)-(1+int)*'Term 50'!M33</f>
        <v>730447.62292229757</v>
      </c>
    </row>
    <row r="34" spans="2:14" x14ac:dyDescent="0.3">
      <c r="B34" s="6">
        <v>25</v>
      </c>
      <c r="C34" s="6">
        <f>age+B34</f>
        <v>43</v>
      </c>
      <c r="D34" s="6">
        <f>term50-B34</f>
        <v>25</v>
      </c>
      <c r="E34" s="60">
        <f>E35*'Term 50'!v*VLOOKUP(C34,'Life tables'!$B$4:$D$118,3,FALSE)+1-(monthly_conv*(1-v*VLOOKUP(C34,'Life tables'!$B$4:$D$118,3,FALSE)))</f>
        <v>15.141767462884522</v>
      </c>
      <c r="F34" s="6">
        <f>F35*v*VLOOKUP(C34,'Life tables'!$B$4:$D$118,3,FALSE)+v*VLOOKUP(C34,'Life tables'!$B$4:$D$118,2,FALSE)</f>
        <v>0.1015075705595344</v>
      </c>
      <c r="G34" s="72">
        <f>F34*sumassured</f>
        <v>1015075.705595344</v>
      </c>
      <c r="H34" s="72">
        <f>p*E34</f>
        <v>938433.38157792448</v>
      </c>
      <c r="I34" s="72">
        <f>renewfix*E34</f>
        <v>151.41767462884522</v>
      </c>
      <c r="J34" s="72">
        <f>renewvari*p*E34</f>
        <v>28153.001447337734</v>
      </c>
      <c r="K34" s="72">
        <f t="shared" si="0"/>
        <v>28304.419121966581</v>
      </c>
      <c r="L34" s="72">
        <f t="shared" si="1"/>
        <v>104946.74313938606</v>
      </c>
      <c r="M34" s="72">
        <f>((M35*VLOOKUP(C34,'Life tables'!$B$4:$D$118,3,FALSE)+VLOOKUP(C34,'Life tables'!$B$4:$D$118,2,FALSE)*sumassured)/(1+int))-12*p+12*(renewfix+renewvari*p)</f>
        <v>-10136613.444460861</v>
      </c>
      <c r="N34" s="72">
        <f>M35*VLOOKUP(C34,'Life tables'!$B$3:$D$118,3,FALSE)-(1+int)*'Term 50'!M34</f>
        <v>728697.6229222957</v>
      </c>
    </row>
    <row r="35" spans="2:14" x14ac:dyDescent="0.3">
      <c r="B35" s="6">
        <v>26</v>
      </c>
      <c r="C35" s="6">
        <f>age+B35</f>
        <v>44</v>
      </c>
      <c r="D35" s="6">
        <f>term50-B35</f>
        <v>24</v>
      </c>
      <c r="E35" s="60">
        <f>E36*'Term 50'!v*VLOOKUP(C35,'Life tables'!$B$4:$D$118,3,FALSE)+1-(monthly_conv*(1-v*VLOOKUP(C35,'Life tables'!$B$4:$D$118,3,FALSE)))</f>
        <v>14.75839616277289</v>
      </c>
      <c r="F35" s="6">
        <f>F36*v*VLOOKUP(C35,'Life tables'!$B$4:$D$118,3,FALSE)+v*VLOOKUP(C35,'Life tables'!$B$4:$D$118,2,FALSE)</f>
        <v>0.10364609060016253</v>
      </c>
      <c r="G35" s="72">
        <f>F35*sumassured</f>
        <v>1036460.9060016252</v>
      </c>
      <c r="H35" s="72">
        <f>p*E35</f>
        <v>914673.37955401628</v>
      </c>
      <c r="I35" s="72">
        <f>renewfix*E35</f>
        <v>147.58396162772891</v>
      </c>
      <c r="J35" s="72">
        <f>renewvari*p*E35</f>
        <v>27440.201386620487</v>
      </c>
      <c r="K35" s="72">
        <f t="shared" si="0"/>
        <v>27587.785348248217</v>
      </c>
      <c r="L35" s="72">
        <f t="shared" si="1"/>
        <v>149375.31179585727</v>
      </c>
      <c r="M35" s="72">
        <f>((M36*VLOOKUP(C35,'Life tables'!$B$4:$D$118,3,FALSE)+VLOOKUP(C35,'Life tables'!$B$4:$D$118,2,FALSE)*sumassured)/(1+int))-12*p+12*(renewfix+renewvari*p)</f>
        <v>-9834465.4532487672</v>
      </c>
      <c r="N35" s="72">
        <f>M36*VLOOKUP(C35,'Life tables'!$B$3:$D$118,3,FALSE)-(1+int)*'Term 50'!M35</f>
        <v>726687.6229222957</v>
      </c>
    </row>
    <row r="36" spans="2:14" x14ac:dyDescent="0.3">
      <c r="B36" s="6">
        <v>27</v>
      </c>
      <c r="C36" s="6">
        <f>age+B36</f>
        <v>45</v>
      </c>
      <c r="D36" s="6">
        <f>term50-B36</f>
        <v>23</v>
      </c>
      <c r="E36" s="60">
        <f>E37*'Term 50'!v*VLOOKUP(C36,'Life tables'!$B$4:$D$118,3,FALSE)+1-(monthly_conv*(1-v*VLOOKUP(C36,'Life tables'!$B$4:$D$118,3,FALSE)))</f>
        <v>14.361818598898225</v>
      </c>
      <c r="F36" s="6">
        <f>F37*v*VLOOKUP(C36,'Life tables'!$B$4:$D$118,3,FALSE)+v*VLOOKUP(C36,'Life tables'!$B$4:$D$118,2,FALSE)</f>
        <v>0.10569478850320907</v>
      </c>
      <c r="G36" s="72">
        <f>F36*sumassured</f>
        <v>1056947.8850320906</v>
      </c>
      <c r="H36" s="72">
        <f>p*E36</f>
        <v>890094.89984634146</v>
      </c>
      <c r="I36" s="72">
        <f>renewfix*E36</f>
        <v>143.61818598898225</v>
      </c>
      <c r="J36" s="72">
        <f>renewvari*p*E36</f>
        <v>26702.846995390246</v>
      </c>
      <c r="K36" s="72">
        <f t="shared" si="0"/>
        <v>26846.46518137923</v>
      </c>
      <c r="L36" s="72">
        <f t="shared" si="1"/>
        <v>193699.45036712848</v>
      </c>
      <c r="M36" s="72">
        <f>((M37*VLOOKUP(C36,'Life tables'!$B$4:$D$118,3,FALSE)+VLOOKUP(C36,'Life tables'!$B$4:$D$118,2,FALSE)*sumassured)/(1+int))-12*p+12*(renewfix+renewvari*p)</f>
        <v>-9523489.0302323177</v>
      </c>
      <c r="N36" s="72">
        <f>M37*VLOOKUP(C36,'Life tables'!$B$3:$D$118,3,FALSE)-(1+int)*'Term 50'!M36</f>
        <v>724347.6229222957</v>
      </c>
    </row>
    <row r="37" spans="2:14" x14ac:dyDescent="0.3">
      <c r="B37" s="6">
        <v>28</v>
      </c>
      <c r="C37" s="6">
        <f>age+B37</f>
        <v>46</v>
      </c>
      <c r="D37" s="6">
        <f>term50-B37</f>
        <v>22</v>
      </c>
      <c r="E37" s="60">
        <f>E38*'Term 50'!v*VLOOKUP(C37,'Life tables'!$B$4:$D$118,3,FALSE)+1-(monthly_conv*(1-v*VLOOKUP(C37,'Life tables'!$B$4:$D$118,3,FALSE)))</f>
        <v>13.951788380086398</v>
      </c>
      <c r="F37" s="6">
        <f>F38*v*VLOOKUP(C37,'Life tables'!$B$4:$D$118,3,FALSE)+v*VLOOKUP(C37,'Life tables'!$B$4:$D$118,2,FALSE)</f>
        <v>0.10762113495037444</v>
      </c>
      <c r="G37" s="72">
        <f>F37*sumassured</f>
        <v>1076211.3495037444</v>
      </c>
      <c r="H37" s="72">
        <f>p*E37</f>
        <v>864682.67199831083</v>
      </c>
      <c r="I37" s="72">
        <f>renewfix*E37</f>
        <v>139.51788380086398</v>
      </c>
      <c r="J37" s="72">
        <f>renewvari*p*E37</f>
        <v>25940.480159949326</v>
      </c>
      <c r="K37" s="72">
        <f t="shared" si="0"/>
        <v>26079.998043750191</v>
      </c>
      <c r="L37" s="72">
        <f t="shared" si="1"/>
        <v>237608.67554918374</v>
      </c>
      <c r="M37" s="72">
        <f>((M38*VLOOKUP(C37,'Life tables'!$B$4:$D$118,3,FALSE)+VLOOKUP(C37,'Life tables'!$B$4:$D$118,2,FALSE)*sumassured)/(1+int))-12*p+12*(renewfix+renewvari*p)</f>
        <v>-9203817.6141461991</v>
      </c>
      <c r="N37" s="72">
        <f>M38*VLOOKUP(C37,'Life tables'!$B$3:$D$118,3,FALSE)-(1+int)*'Term 50'!M37</f>
        <v>721627.6229222957</v>
      </c>
    </row>
    <row r="38" spans="2:14" x14ac:dyDescent="0.3">
      <c r="B38" s="6">
        <v>29</v>
      </c>
      <c r="C38" s="6">
        <f>age+B38</f>
        <v>47</v>
      </c>
      <c r="D38" s="6">
        <f>term50-B38</f>
        <v>21</v>
      </c>
      <c r="E38" s="60">
        <f>E39*'Term 50'!v*VLOOKUP(C38,'Life tables'!$B$4:$D$118,3,FALSE)+1-(monthly_conv*(1-v*VLOOKUP(C38,'Life tables'!$B$4:$D$118,3,FALSE)))</f>
        <v>13.528068480193555</v>
      </c>
      <c r="F38" s="6">
        <f>F39*v*VLOOKUP(C38,'Life tables'!$B$4:$D$118,3,FALSE)+v*VLOOKUP(C38,'Life tables'!$B$4:$D$118,2,FALSE)</f>
        <v>0.10938684223560313</v>
      </c>
      <c r="G38" s="72">
        <f>F38*sumassured</f>
        <v>1093868.4223560314</v>
      </c>
      <c r="H38" s="72">
        <f>p*E38</f>
        <v>838422.00596490502</v>
      </c>
      <c r="I38" s="72">
        <f>renewfix*E38</f>
        <v>135.28068480193556</v>
      </c>
      <c r="J38" s="72">
        <f>renewvari*p*E38</f>
        <v>25152.660178947153</v>
      </c>
      <c r="K38" s="72">
        <f t="shared" si="0"/>
        <v>25287.940863749089</v>
      </c>
      <c r="L38" s="72">
        <f t="shared" si="1"/>
        <v>280734.35725487536</v>
      </c>
      <c r="M38" s="72">
        <f>((M39*VLOOKUP(C38,'Life tables'!$B$4:$D$118,3,FALSE)+VLOOKUP(C38,'Life tables'!$B$4:$D$118,2,FALSE)*sumassured)/(1+int))-12*p+12*(renewfix+renewvari*p)</f>
        <v>-8875647.1658596192</v>
      </c>
      <c r="N38" s="72">
        <f>M39*VLOOKUP(C38,'Life tables'!$B$3:$D$118,3,FALSE)-(1+int)*'Term 50'!M38</f>
        <v>718457.6229222957</v>
      </c>
    </row>
    <row r="39" spans="2:14" x14ac:dyDescent="0.3">
      <c r="B39" s="6">
        <v>30</v>
      </c>
      <c r="C39" s="6">
        <f>age+B39</f>
        <v>48</v>
      </c>
      <c r="D39" s="6">
        <f>term50-B39</f>
        <v>20</v>
      </c>
      <c r="E39" s="60">
        <f>E40*'Term 50'!v*VLOOKUP(C39,'Life tables'!$B$4:$D$118,3,FALSE)+1-(monthly_conv*(1-v*VLOOKUP(C39,'Life tables'!$B$4:$D$118,3,FALSE)))</f>
        <v>13.090447089112942</v>
      </c>
      <c r="F39" s="6">
        <f>F40*v*VLOOKUP(C39,'Life tables'!$B$4:$D$118,3,FALSE)+v*VLOOKUP(C39,'Life tables'!$B$4:$D$118,2,FALSE)</f>
        <v>0.11094579219470006</v>
      </c>
      <c r="G39" s="72">
        <f>F39*sumassured</f>
        <v>1109457.9219470005</v>
      </c>
      <c r="H39" s="72">
        <f>p*E39</f>
        <v>811299.77450221288</v>
      </c>
      <c r="I39" s="72">
        <f>renewfix*E39</f>
        <v>130.90447089112942</v>
      </c>
      <c r="J39" s="72">
        <f>renewvari*p*E39</f>
        <v>24338.993235066388</v>
      </c>
      <c r="K39" s="72">
        <f t="shared" si="0"/>
        <v>24469.897705957515</v>
      </c>
      <c r="L39" s="72">
        <f t="shared" si="1"/>
        <v>322628.04515074519</v>
      </c>
      <c r="M39" s="72">
        <f>((M40*VLOOKUP(C39,'Life tables'!$B$4:$D$118,3,FALSE)+VLOOKUP(C39,'Life tables'!$B$4:$D$118,2,FALSE)*sumassured)/(1+int))-12*p+12*(renewfix+renewvari*p)</f>
        <v>-8539267.8300573304</v>
      </c>
      <c r="N39" s="72">
        <f>M40*VLOOKUP(C39,'Life tables'!$B$3:$D$118,3,FALSE)-(1+int)*'Term 50'!M39</f>
        <v>714777.6229222957</v>
      </c>
    </row>
    <row r="40" spans="2:14" x14ac:dyDescent="0.3">
      <c r="B40" s="6">
        <v>31</v>
      </c>
      <c r="C40" s="6">
        <f>age+B40</f>
        <v>49</v>
      </c>
      <c r="D40" s="6">
        <f>term50-B40</f>
        <v>19</v>
      </c>
      <c r="E40" s="60">
        <f>E41*'Term 50'!v*VLOOKUP(C40,'Life tables'!$B$4:$D$118,3,FALSE)+1-(monthly_conv*(1-v*VLOOKUP(C40,'Life tables'!$B$4:$D$118,3,FALSE)))</f>
        <v>12.638709449290149</v>
      </c>
      <c r="F40" s="6">
        <f>F41*v*VLOOKUP(C40,'Life tables'!$B$4:$D$118,3,FALSE)+v*VLOOKUP(C40,'Life tables'!$B$4:$D$118,2,FALSE)</f>
        <v>0.11224452050700083</v>
      </c>
      <c r="G40" s="72">
        <f>F40*sumassured</f>
        <v>1122445.2050700083</v>
      </c>
      <c r="H40" s="72">
        <f>p*E40</f>
        <v>783302.6676939053</v>
      </c>
      <c r="I40" s="72">
        <f>renewfix*E40</f>
        <v>126.38709449290148</v>
      </c>
      <c r="J40" s="72">
        <f>renewvari*p*E40</f>
        <v>23499.08003081716</v>
      </c>
      <c r="K40" s="72">
        <f t="shared" si="0"/>
        <v>23625.467125310061</v>
      </c>
      <c r="L40" s="72">
        <f t="shared" si="1"/>
        <v>362768.00450141309</v>
      </c>
      <c r="M40" s="72">
        <f>((M41*VLOOKUP(C40,'Life tables'!$B$4:$D$118,3,FALSE)+VLOOKUP(C40,'Life tables'!$B$4:$D$118,2,FALSE)*sumassured)/(1+int))-12*p+12*(renewfix+renewvari*p)</f>
        <v>-8195038.576744698</v>
      </c>
      <c r="N40" s="72">
        <f>M41*VLOOKUP(C40,'Life tables'!$B$3:$D$118,3,FALSE)-(1+int)*'Term 50'!M40</f>
        <v>710557.62292229384</v>
      </c>
    </row>
    <row r="41" spans="2:14" x14ac:dyDescent="0.3">
      <c r="B41" s="6">
        <v>32</v>
      </c>
      <c r="C41" s="6">
        <f>age+B41</f>
        <v>50</v>
      </c>
      <c r="D41" s="6">
        <f>term50-B41</f>
        <v>18</v>
      </c>
      <c r="E41" s="60">
        <f>E42*'Term 50'!v*VLOOKUP(C41,'Life tables'!$B$4:$D$118,3,FALSE)+1-(monthly_conv*(1-v*VLOOKUP(C41,'Life tables'!$B$4:$D$118,3,FALSE)))</f>
        <v>12.172584332717317</v>
      </c>
      <c r="F41" s="6">
        <f>F42*v*VLOOKUP(C41,'Life tables'!$B$4:$D$118,3,FALSE)+v*VLOOKUP(C41,'Life tables'!$B$4:$D$118,2,FALSE)</f>
        <v>0.11322444367534791</v>
      </c>
      <c r="G41" s="72">
        <f>F41*sumassured</f>
        <v>1132244.4367534791</v>
      </c>
      <c r="H41" s="72">
        <f>p*E41</f>
        <v>754413.87578397361</v>
      </c>
      <c r="I41" s="72">
        <f>renewfix*E41</f>
        <v>121.72584332717318</v>
      </c>
      <c r="J41" s="72">
        <f>renewvari*p*E41</f>
        <v>22632.416273519208</v>
      </c>
      <c r="K41" s="72">
        <f t="shared" si="0"/>
        <v>22754.142116846382</v>
      </c>
      <c r="L41" s="72">
        <f t="shared" si="1"/>
        <v>400584.70308635174</v>
      </c>
      <c r="M41" s="72">
        <f>((M42*VLOOKUP(C41,'Life tables'!$B$4:$D$118,3,FALSE)+VLOOKUP(C41,'Life tables'!$B$4:$D$118,2,FALSE)*sumassured)/(1+int))-12*p+12*(renewfix+renewvari*p)</f>
        <v>-7843326.3827149775</v>
      </c>
      <c r="N41" s="72">
        <f>M42*VLOOKUP(C41,'Life tables'!$B$3:$D$118,3,FALSE)-(1+int)*'Term 50'!M41</f>
        <v>705777.6229222957</v>
      </c>
    </row>
    <row r="42" spans="2:14" x14ac:dyDescent="0.3">
      <c r="B42" s="6">
        <v>33</v>
      </c>
      <c r="C42" s="6">
        <f>age+B42</f>
        <v>51</v>
      </c>
      <c r="D42" s="6">
        <f>term50-B42</f>
        <v>17</v>
      </c>
      <c r="E42" s="60">
        <f>E43*'Term 50'!v*VLOOKUP(C42,'Life tables'!$B$4:$D$118,3,FALSE)+1-(monthly_conv*(1-v*VLOOKUP(C42,'Life tables'!$B$4:$D$118,3,FALSE)))</f>
        <v>11.691718670046336</v>
      </c>
      <c r="F42" s="6">
        <f>F43*v*VLOOKUP(C42,'Life tables'!$B$4:$D$118,3,FALSE)+v*VLOOKUP(C42,'Life tables'!$B$4:$D$118,2,FALSE)</f>
        <v>0.11382233731067197</v>
      </c>
      <c r="G42" s="72">
        <f>F42*sumassured</f>
        <v>1138223.3731067197</v>
      </c>
      <c r="H42" s="72">
        <f>p*E42</f>
        <v>724611.51677858224</v>
      </c>
      <c r="I42" s="72">
        <f>renewfix*E42</f>
        <v>116.91718670046336</v>
      </c>
      <c r="J42" s="72">
        <f>renewvari*p*E42</f>
        <v>21738.345503357468</v>
      </c>
      <c r="K42" s="72">
        <f t="shared" si="0"/>
        <v>21855.262690057931</v>
      </c>
      <c r="L42" s="72">
        <f t="shared" si="1"/>
        <v>435467.11901819543</v>
      </c>
      <c r="M42" s="72">
        <f>((M43*VLOOKUP(C42,'Life tables'!$B$4:$D$118,3,FALSE)+VLOOKUP(C42,'Life tables'!$B$4:$D$118,2,FALSE)*sumassured)/(1+int))-12*p+12*(renewfix+renewvari*p)</f>
        <v>-7484482.9816076923</v>
      </c>
      <c r="N42" s="72">
        <f>M43*VLOOKUP(C42,'Life tables'!$B$3:$D$118,3,FALSE)-(1+int)*'Term 50'!M42</f>
        <v>700447.6229222957</v>
      </c>
    </row>
    <row r="43" spans="2:14" x14ac:dyDescent="0.3">
      <c r="B43" s="6">
        <v>34</v>
      </c>
      <c r="C43" s="6">
        <f>age+B43</f>
        <v>52</v>
      </c>
      <c r="D43" s="6">
        <f>term50-B43</f>
        <v>16</v>
      </c>
      <c r="E43" s="60">
        <f>E44*'Term 50'!v*VLOOKUP(C43,'Life tables'!$B$4:$D$118,3,FALSE)+1-(monthly_conv*(1-v*VLOOKUP(C43,'Life tables'!$B$4:$D$118,3,FALSE)))</f>
        <v>11.195629290459149</v>
      </c>
      <c r="F43" s="6">
        <f>F44*v*VLOOKUP(C43,'Life tables'!$B$4:$D$118,3,FALSE)+v*VLOOKUP(C43,'Life tables'!$B$4:$D$118,2,FALSE)</f>
        <v>0.11397256045600475</v>
      </c>
      <c r="G43" s="72">
        <f>F43*sumassured</f>
        <v>1139725.6045600474</v>
      </c>
      <c r="H43" s="72">
        <f>p*E43</f>
        <v>693865.6454533193</v>
      </c>
      <c r="I43" s="72">
        <f>renewfix*E43</f>
        <v>111.95629290459149</v>
      </c>
      <c r="J43" s="72">
        <f>renewvari*p*E43</f>
        <v>20815.969363599579</v>
      </c>
      <c r="K43" s="72">
        <f t="shared" si="0"/>
        <v>20927.925656504172</v>
      </c>
      <c r="L43" s="72">
        <f t="shared" si="1"/>
        <v>466787.88476323232</v>
      </c>
      <c r="M43" s="72">
        <f>((M44*VLOOKUP(C43,'Life tables'!$B$4:$D$118,3,FALSE)+VLOOKUP(C43,'Life tables'!$B$4:$D$118,2,FALSE)*sumassured)/(1+int))-12*p+12*(renewfix+renewvari*p)</f>
        <v>-7118787.9351997115</v>
      </c>
      <c r="N43" s="72">
        <f>M44*VLOOKUP(C43,'Life tables'!$B$3:$D$118,3,FALSE)-(1+int)*'Term 50'!M43</f>
        <v>694637.6229222957</v>
      </c>
    </row>
    <row r="44" spans="2:14" x14ac:dyDescent="0.3">
      <c r="B44" s="6">
        <v>35</v>
      </c>
      <c r="C44" s="6">
        <f>age+B44</f>
        <v>53</v>
      </c>
      <c r="D44" s="6">
        <f>term50-B44</f>
        <v>15</v>
      </c>
      <c r="E44" s="60">
        <f>E45*'Term 50'!v*VLOOKUP(C44,'Life tables'!$B$4:$D$118,3,FALSE)+1-(monthly_conv*(1-v*VLOOKUP(C44,'Life tables'!$B$4:$D$118,3,FALSE)))</f>
        <v>10.683625667867515</v>
      </c>
      <c r="F44" s="6">
        <f>F45*v*VLOOKUP(C44,'Life tables'!$B$4:$D$118,3,FALSE)+v*VLOOKUP(C44,'Life tables'!$B$4:$D$118,2,FALSE)</f>
        <v>0.11361200952712047</v>
      </c>
      <c r="G44" s="72">
        <f>F44*sumassured</f>
        <v>1136120.0952712048</v>
      </c>
      <c r="H44" s="72">
        <f>p*E44</f>
        <v>662133.46543493192</v>
      </c>
      <c r="I44" s="72">
        <f>renewfix*E44</f>
        <v>106.83625667867516</v>
      </c>
      <c r="J44" s="72">
        <f>renewvari*p*E44</f>
        <v>19864.003963047955</v>
      </c>
      <c r="K44" s="72">
        <f t="shared" si="0"/>
        <v>19970.84021972663</v>
      </c>
      <c r="L44" s="72">
        <f t="shared" si="1"/>
        <v>493957.47005599947</v>
      </c>
      <c r="M44" s="72">
        <f>((M45*VLOOKUP(C44,'Life tables'!$B$4:$D$118,3,FALSE)+VLOOKUP(C44,'Life tables'!$B$4:$D$118,2,FALSE)*sumassured)/(1+int))-12*p+12*(renewfix+renewvari*p)</f>
        <v>-6746344.0391024239</v>
      </c>
      <c r="N44" s="72">
        <f>M45*VLOOKUP(C44,'Life tables'!$B$3:$D$118,3,FALSE)-(1+int)*'Term 50'!M44</f>
        <v>688397.62292229477</v>
      </c>
    </row>
    <row r="45" spans="2:14" x14ac:dyDescent="0.3">
      <c r="B45" s="6">
        <v>36</v>
      </c>
      <c r="C45" s="6">
        <f>age+B45</f>
        <v>54</v>
      </c>
      <c r="D45" s="6">
        <f>term50-B45</f>
        <v>14</v>
      </c>
      <c r="E45" s="60">
        <f>E46*'Term 50'!v*VLOOKUP(C45,'Life tables'!$B$4:$D$118,3,FALSE)+1-(monthly_conv*(1-v*VLOOKUP(C45,'Life tables'!$B$4:$D$118,3,FALSE)))</f>
        <v>10.154829696461505</v>
      </c>
      <c r="F45" s="6">
        <f>F46*v*VLOOKUP(C45,'Life tables'!$B$4:$D$118,3,FALSE)+v*VLOOKUP(C45,'Life tables'!$B$4:$D$118,2,FALSE)</f>
        <v>0.11267816489828733</v>
      </c>
      <c r="G45" s="72">
        <f>F45*sumassured</f>
        <v>1126781.6489828734</v>
      </c>
      <c r="H45" s="72">
        <f>p*E45</f>
        <v>629360.55482012371</v>
      </c>
      <c r="I45" s="72">
        <f>renewfix*E45</f>
        <v>101.54829696461505</v>
      </c>
      <c r="J45" s="72">
        <f>renewvari*p*E45</f>
        <v>18880.81664460371</v>
      </c>
      <c r="K45" s="72">
        <f t="shared" si="0"/>
        <v>18982.364941568325</v>
      </c>
      <c r="L45" s="72">
        <f t="shared" si="1"/>
        <v>516403.45910431806</v>
      </c>
      <c r="M45" s="72">
        <f>((M46*VLOOKUP(C45,'Life tables'!$B$4:$D$118,3,FALSE)+VLOOKUP(C45,'Life tables'!$B$4:$D$118,2,FALSE)*sumassured)/(1+int))-12*p+12*(renewfix+renewvari*p)</f>
        <v>-6367110.7193253413</v>
      </c>
      <c r="N45" s="72">
        <f>M46*VLOOKUP(C45,'Life tables'!$B$3:$D$118,3,FALSE)-(1+int)*'Term 50'!M45</f>
        <v>681827.62292229477</v>
      </c>
    </row>
    <row r="46" spans="2:14" x14ac:dyDescent="0.3">
      <c r="B46" s="6">
        <v>37</v>
      </c>
      <c r="C46" s="6">
        <f>age+B46</f>
        <v>55</v>
      </c>
      <c r="D46" s="6">
        <f>term50-B46</f>
        <v>13</v>
      </c>
      <c r="E46" s="60">
        <f>E47*'Term 50'!v*VLOOKUP(C46,'Life tables'!$B$4:$D$118,3,FALSE)+1-(monthly_conv*(1-v*VLOOKUP(C46,'Life tables'!$B$4:$D$118,3,FALSE)))</f>
        <v>9.6081201614763447</v>
      </c>
      <c r="F46" s="6">
        <f>F47*v*VLOOKUP(C46,'Life tables'!$B$4:$D$118,3,FALSE)+v*VLOOKUP(C46,'Life tables'!$B$4:$D$118,2,FALSE)</f>
        <v>0.11111330649085789</v>
      </c>
      <c r="G46" s="72">
        <f>F46*sumassured</f>
        <v>1111133.064908579</v>
      </c>
      <c r="H46" s="72">
        <f>p*E46</f>
        <v>595477.42466939276</v>
      </c>
      <c r="I46" s="72">
        <f>renewfix*E46</f>
        <v>96.081201614763444</v>
      </c>
      <c r="J46" s="72">
        <f>renewvari*p*E46</f>
        <v>17864.322740081785</v>
      </c>
      <c r="K46" s="72">
        <f t="shared" si="0"/>
        <v>17960.40394169655</v>
      </c>
      <c r="L46" s="72">
        <f t="shared" si="1"/>
        <v>533616.04418088275</v>
      </c>
      <c r="M46" s="72">
        <f>((M47*VLOOKUP(C46,'Life tables'!$B$4:$D$118,3,FALSE)+VLOOKUP(C46,'Life tables'!$B$4:$D$118,2,FALSE)*sumassured)/(1+int))-12*p+12*(renewfix+renewvari*p)</f>
        <v>-5980822.5238363873</v>
      </c>
      <c r="N46" s="72">
        <f>M47*VLOOKUP(C46,'Life tables'!$B$3:$D$118,3,FALSE)-(1+int)*'Term 50'!M46</f>
        <v>675007.6229222957</v>
      </c>
    </row>
    <row r="47" spans="2:14" x14ac:dyDescent="0.3">
      <c r="B47" s="6">
        <v>38</v>
      </c>
      <c r="C47" s="6">
        <f>age+B47</f>
        <v>56</v>
      </c>
      <c r="D47" s="6">
        <f>term50-B47</f>
        <v>12</v>
      </c>
      <c r="E47" s="60">
        <f>E48*'Term 50'!v*VLOOKUP(C47,'Life tables'!$B$4:$D$118,3,FALSE)+1-(monthly_conv*(1-v*VLOOKUP(C47,'Life tables'!$B$4:$D$118,3,FALSE)))</f>
        <v>9.042155473675793</v>
      </c>
      <c r="F47" s="6">
        <f>F48*v*VLOOKUP(C47,'Life tables'!$B$4:$D$118,3,FALSE)+v*VLOOKUP(C47,'Life tables'!$B$4:$D$118,2,FALSE)</f>
        <v>0.10886272439890116</v>
      </c>
      <c r="G47" s="72">
        <f>F47*sumassured</f>
        <v>1088627.2439890115</v>
      </c>
      <c r="H47" s="72">
        <f>p*E47</f>
        <v>560400.92801018525</v>
      </c>
      <c r="I47" s="72">
        <f>renewfix*E47</f>
        <v>90.421554736757926</v>
      </c>
      <c r="J47" s="72">
        <f>renewvari*p*E47</f>
        <v>16812.027840305556</v>
      </c>
      <c r="K47" s="72">
        <f t="shared" si="0"/>
        <v>16902.449395042313</v>
      </c>
      <c r="L47" s="72">
        <f t="shared" si="1"/>
        <v>545128.76537386863</v>
      </c>
      <c r="M47" s="72">
        <f>((M48*VLOOKUP(C47,'Life tables'!$B$4:$D$118,3,FALSE)+VLOOKUP(C47,'Life tables'!$B$4:$D$118,2,FALSE)*sumassured)/(1+int))-12*p+12*(renewfix+renewvari*p)</f>
        <v>-5587023.1064664293</v>
      </c>
      <c r="N47" s="72">
        <f>M48*VLOOKUP(C47,'Life tables'!$B$3:$D$118,3,FALSE)-(1+int)*'Term 50'!M47</f>
        <v>668017.62292229477</v>
      </c>
    </row>
    <row r="48" spans="2:14" x14ac:dyDescent="0.3">
      <c r="B48" s="6">
        <v>39</v>
      </c>
      <c r="C48" s="6">
        <f>age+B48</f>
        <v>57</v>
      </c>
      <c r="D48" s="6">
        <f>term50-B48</f>
        <v>11</v>
      </c>
      <c r="E48" s="60">
        <f>E49*'Term 50'!v*VLOOKUP(C48,'Life tables'!$B$4:$D$118,3,FALSE)+1-(monthly_conv*(1-v*VLOOKUP(C48,'Life tables'!$B$4:$D$118,3,FALSE)))</f>
        <v>8.4553743938114714</v>
      </c>
      <c r="F48" s="6">
        <f>F49*v*VLOOKUP(C48,'Life tables'!$B$4:$D$118,3,FALSE)+v*VLOOKUP(C48,'Life tables'!$B$4:$D$118,2,FALSE)</f>
        <v>0.10587467621594253</v>
      </c>
      <c r="G48" s="72">
        <f>F48*sumassured</f>
        <v>1058746.7621594253</v>
      </c>
      <c r="H48" s="72">
        <f>p*E48</f>
        <v>524034.30473633122</v>
      </c>
      <c r="I48" s="72">
        <f>renewfix*E48</f>
        <v>84.553743938114707</v>
      </c>
      <c r="J48" s="72">
        <f>renewvari*p*E48</f>
        <v>15721.029142089938</v>
      </c>
      <c r="K48" s="72">
        <f t="shared" si="0"/>
        <v>15805.582886028053</v>
      </c>
      <c r="L48" s="72">
        <f t="shared" si="1"/>
        <v>550518.04030912218</v>
      </c>
      <c r="M48" s="72">
        <f>((M49*VLOOKUP(C48,'Life tables'!$B$4:$D$118,3,FALSE)+VLOOKUP(C48,'Life tables'!$B$4:$D$118,2,FALSE)*sumassured)/(1+int))-12*p+12*(renewfix+renewvari*p)</f>
        <v>-5185066.1712006927</v>
      </c>
      <c r="N48" s="72">
        <f>M49*VLOOKUP(C48,'Life tables'!$B$3:$D$118,3,FALSE)-(1+int)*'Term 50'!M48</f>
        <v>660887.6229222957</v>
      </c>
    </row>
    <row r="49" spans="2:17" x14ac:dyDescent="0.3">
      <c r="B49" s="6">
        <v>40</v>
      </c>
      <c r="C49" s="6">
        <f>age+B49</f>
        <v>58</v>
      </c>
      <c r="D49" s="6">
        <f>term50-B49</f>
        <v>10</v>
      </c>
      <c r="E49" s="60">
        <f>E50*'Term 50'!v*VLOOKUP(C49,'Life tables'!$B$4:$D$118,3,FALSE)+1-(monthly_conv*(1-v*VLOOKUP(C49,'Life tables'!$B$4:$D$118,3,FALSE)))</f>
        <v>7.8460392280072275</v>
      </c>
      <c r="F49" s="6">
        <f>F50*v*VLOOKUP(C49,'Life tables'!$B$4:$D$118,3,FALSE)+v*VLOOKUP(C49,'Life tables'!$B$4:$D$118,2,FALSE)</f>
        <v>0.10209586889446332</v>
      </c>
      <c r="G49" s="72">
        <f>F49*sumassured</f>
        <v>1020958.6889446331</v>
      </c>
      <c r="H49" s="72">
        <f>p*E49</f>
        <v>486269.85870572965</v>
      </c>
      <c r="I49" s="72">
        <f>renewfix*E49</f>
        <v>78.46039228007227</v>
      </c>
      <c r="J49" s="72">
        <f>renewvari*p*E49</f>
        <v>14588.09576117189</v>
      </c>
      <c r="K49" s="72">
        <f t="shared" si="0"/>
        <v>14666.556153451962</v>
      </c>
      <c r="L49" s="72">
        <f t="shared" si="1"/>
        <v>549355.38639235543</v>
      </c>
      <c r="M49" s="72">
        <f>((M50*VLOOKUP(C49,'Life tables'!$B$4:$D$118,3,FALSE)+VLOOKUP(C49,'Life tables'!$B$4:$D$118,2,FALSE)*sumassured)/(1+int))-12*p+12*(renewfix+renewvari*p)</f>
        <v>-4774190.8484488297</v>
      </c>
      <c r="N49" s="72">
        <f>M50*VLOOKUP(C49,'Life tables'!$B$3:$D$118,3,FALSE)-(1+int)*'Term 50'!M49</f>
        <v>653627.62292229477</v>
      </c>
    </row>
    <row r="50" spans="2:17" x14ac:dyDescent="0.3">
      <c r="B50" s="6">
        <v>41</v>
      </c>
      <c r="C50" s="6">
        <f>age+B50</f>
        <v>59</v>
      </c>
      <c r="D50" s="6">
        <f>term50-B50</f>
        <v>9</v>
      </c>
      <c r="E50" s="60">
        <f>E51*'Term 50'!v*VLOOKUP(C50,'Life tables'!$B$4:$D$118,3,FALSE)+1-(monthly_conv*(1-v*VLOOKUP(C50,'Life tables'!$B$4:$D$118,3,FALSE)))</f>
        <v>7.2122428613154055</v>
      </c>
      <c r="F50" s="6">
        <f>F51*v*VLOOKUP(C50,'Life tables'!$B$4:$D$118,3,FALSE)+v*VLOOKUP(C50,'Life tables'!$B$4:$D$118,2,FALSE)</f>
        <v>9.7469380642825759E-2</v>
      </c>
      <c r="G50" s="72">
        <f>F50*sumassured</f>
        <v>974693.80642825761</v>
      </c>
      <c r="H50" s="72">
        <f>p*E50</f>
        <v>446989.39365537657</v>
      </c>
      <c r="I50" s="72">
        <f>renewfix*E50</f>
        <v>72.122428613154057</v>
      </c>
      <c r="J50" s="72">
        <f>renewvari*p*E50</f>
        <v>13409.681809661297</v>
      </c>
      <c r="K50" s="72">
        <f t="shared" si="0"/>
        <v>13481.804238274452</v>
      </c>
      <c r="L50" s="72">
        <f t="shared" si="1"/>
        <v>541186.21701115556</v>
      </c>
      <c r="M50" s="72">
        <f>((M51*VLOOKUP(C50,'Life tables'!$B$4:$D$118,3,FALSE)+VLOOKUP(C50,'Life tables'!$B$4:$D$118,2,FALSE)*sumassured)/(1+int))-12*p+12*(renewfix+renewvari*p)</f>
        <v>-4353546.9409920014</v>
      </c>
      <c r="N50" s="72">
        <f>M51*VLOOKUP(C50,'Life tables'!$B$3:$D$118,3,FALSE)-(1+int)*'Term 50'!M50</f>
        <v>646207.62292229524</v>
      </c>
      <c r="Q50">
        <f>((M78*VLOOKUP(C57,'Life tables'!$B$4:$D$118,3,FALSE)))</f>
        <v>0</v>
      </c>
    </row>
    <row r="51" spans="2:17" x14ac:dyDescent="0.3">
      <c r="B51" s="6">
        <v>42</v>
      </c>
      <c r="C51" s="6">
        <f>age+B51</f>
        <v>60</v>
      </c>
      <c r="D51" s="6">
        <f>term50-B51</f>
        <v>8</v>
      </c>
      <c r="E51" s="60">
        <f>E52*'Term 50'!v*VLOOKUP(C51,'Life tables'!$B$4:$D$118,3,FALSE)+1-(monthly_conv*(1-v*VLOOKUP(C51,'Life tables'!$B$4:$D$118,3,FALSE)))</f>
        <v>6.5519235084580938</v>
      </c>
      <c r="F51" s="6">
        <f>F52*v*VLOOKUP(C51,'Life tables'!$B$4:$D$118,3,FALSE)+v*VLOOKUP(C51,'Life tables'!$B$4:$D$118,2,FALSE)</f>
        <v>9.1930590495559128E-2</v>
      </c>
      <c r="G51" s="72">
        <f>F51*sumassured</f>
        <v>919305.90495559131</v>
      </c>
      <c r="H51" s="72">
        <f>p*E51</f>
        <v>406065.12740032031</v>
      </c>
      <c r="I51" s="72">
        <f>renewfix*E51</f>
        <v>65.519235084580941</v>
      </c>
      <c r="J51" s="72">
        <f>renewvari*p*E51</f>
        <v>12181.953822009609</v>
      </c>
      <c r="K51" s="72">
        <f t="shared" si="0"/>
        <v>12247.47305709419</v>
      </c>
      <c r="L51" s="72">
        <f t="shared" si="1"/>
        <v>525488.25061236508</v>
      </c>
      <c r="M51" s="72">
        <f>((M52*VLOOKUP(C51,'Life tables'!$B$4:$D$118,3,FALSE)+VLOOKUP(C51,'Life tables'!$B$4:$D$118,2,FALSE)*sumassured)/(1+int))-12*p+12*(renewfix+renewvari*p)</f>
        <v>-3922245.0889185164</v>
      </c>
      <c r="N51" s="72">
        <f>M52*VLOOKUP(C51,'Life tables'!$B$3:$D$118,3,FALSE)-(1+int)*'Term 50'!M51</f>
        <v>638517.6229222957</v>
      </c>
    </row>
    <row r="52" spans="2:17" x14ac:dyDescent="0.3">
      <c r="B52" s="6">
        <v>43</v>
      </c>
      <c r="C52" s="6">
        <f>age+B52</f>
        <v>61</v>
      </c>
      <c r="D52" s="6">
        <f>term50-B52</f>
        <v>7</v>
      </c>
      <c r="E52" s="60">
        <f>E53*'Term 50'!v*VLOOKUP(C52,'Life tables'!$B$4:$D$118,3,FALSE)+1-(monthly_conv*(1-v*VLOOKUP(C52,'Life tables'!$B$4:$D$118,3,FALSE)))</f>
        <v>5.8628912913909232</v>
      </c>
      <c r="F52" s="6">
        <f>F53*v*VLOOKUP(C52,'Life tables'!$B$4:$D$118,3,FALSE)+v*VLOOKUP(C52,'Life tables'!$B$4:$D$118,2,FALSE)</f>
        <v>8.5399038179541545E-2</v>
      </c>
      <c r="G52" s="72">
        <f>F52*sumassured</f>
        <v>853990.38179541542</v>
      </c>
      <c r="H52" s="72">
        <f>p*E52</f>
        <v>363361.33901739534</v>
      </c>
      <c r="I52" s="72">
        <f>renewfix*E52</f>
        <v>58.628912913909232</v>
      </c>
      <c r="J52" s="72">
        <f>renewvari*p*E52</f>
        <v>10900.84017052186</v>
      </c>
      <c r="K52" s="72">
        <f t="shared" si="0"/>
        <v>10959.46908343577</v>
      </c>
      <c r="L52" s="72">
        <f t="shared" si="1"/>
        <v>501588.5118614558</v>
      </c>
      <c r="M52" s="72">
        <f>((M53*VLOOKUP(C52,'Life tables'!$B$4:$D$118,3,FALSE)+VLOOKUP(C52,'Life tables'!$B$4:$D$118,2,FALSE)*sumassured)/(1+int))-12*p+12*(renewfix+renewvari*p)</f>
        <v>-3479454.9456563778</v>
      </c>
      <c r="N52" s="72">
        <f>M53*VLOOKUP(C52,'Life tables'!$B$3:$D$118,3,FALSE)-(1+int)*'Term 50'!M52</f>
        <v>630447.6229222957</v>
      </c>
    </row>
    <row r="53" spans="2:17" x14ac:dyDescent="0.3">
      <c r="B53" s="6">
        <v>44</v>
      </c>
      <c r="C53" s="6">
        <f>age+B53</f>
        <v>62</v>
      </c>
      <c r="D53" s="6">
        <f>term50-B53</f>
        <v>6</v>
      </c>
      <c r="E53" s="60">
        <f>E54*'Term 50'!v*VLOOKUP(C53,'Life tables'!$B$4:$D$118,3,FALSE)+1-(monthly_conv*(1-v*VLOOKUP(C53,'Life tables'!$B$4:$D$118,3,FALSE)))</f>
        <v>5.1427800018891725</v>
      </c>
      <c r="F53" s="6">
        <f>F54*v*VLOOKUP(C53,'Life tables'!$B$4:$D$118,3,FALSE)+v*VLOOKUP(C53,'Life tables'!$B$4:$D$118,2,FALSE)</f>
        <v>7.7776911561199202E-2</v>
      </c>
      <c r="G53" s="72">
        <f>F53*sumassured</f>
        <v>777769.11561199208</v>
      </c>
      <c r="H53" s="72">
        <f>p*E53</f>
        <v>318731.37926031742</v>
      </c>
      <c r="I53" s="72">
        <f>renewfix*E53</f>
        <v>51.427800018891723</v>
      </c>
      <c r="J53" s="72">
        <f>renewvari*p*E53</f>
        <v>9561.9413778095241</v>
      </c>
      <c r="K53" s="72">
        <f t="shared" si="0"/>
        <v>9613.3691778284156</v>
      </c>
      <c r="L53" s="72">
        <f t="shared" si="1"/>
        <v>468651.10552950308</v>
      </c>
      <c r="M53" s="72">
        <f>((M54*VLOOKUP(C53,'Life tables'!$B$4:$D$118,3,FALSE)+VLOOKUP(C53,'Life tables'!$B$4:$D$118,2,FALSE)*sumassured)/(1+int))-12*p+12*(renewfix+renewvari*p)</f>
        <v>-3024384.3771706931</v>
      </c>
      <c r="N53" s="72">
        <f>M54*VLOOKUP(C53,'Life tables'!$B$3:$D$118,3,FALSE)-(1+int)*'Term 50'!M53</f>
        <v>621827.6229222957</v>
      </c>
    </row>
    <row r="54" spans="2:17" x14ac:dyDescent="0.3">
      <c r="B54" s="6">
        <v>45</v>
      </c>
      <c r="C54" s="6">
        <f>age+B54</f>
        <v>63</v>
      </c>
      <c r="D54" s="6">
        <f>term50-B54</f>
        <v>5</v>
      </c>
      <c r="E54" s="60">
        <f>E55*'Term 50'!v*VLOOKUP(C54,'Life tables'!$B$4:$D$118,3,FALSE)+1-(monthly_conv*(1-v*VLOOKUP(C54,'Life tables'!$B$4:$D$118,3,FALSE)))</f>
        <v>4.3890209379529477</v>
      </c>
      <c r="F54" s="6">
        <f>F55*v*VLOOKUP(C54,'Life tables'!$B$4:$D$118,3,FALSE)+v*VLOOKUP(C54,'Life tables'!$B$4:$D$118,2,FALSE)</f>
        <v>6.8941577403309029E-2</v>
      </c>
      <c r="G54" s="72">
        <f>F54*sumassured</f>
        <v>689415.77403309033</v>
      </c>
      <c r="H54" s="72">
        <f>p*E54</f>
        <v>272016.04903228796</v>
      </c>
      <c r="I54" s="72">
        <f>renewfix*E54</f>
        <v>43.89020937952948</v>
      </c>
      <c r="J54" s="72">
        <f>renewvari*p*E54</f>
        <v>8160.4814709686389</v>
      </c>
      <c r="K54" s="72">
        <f t="shared" si="0"/>
        <v>8204.3716803481675</v>
      </c>
      <c r="L54" s="72">
        <f t="shared" si="1"/>
        <v>425604.09668115055</v>
      </c>
      <c r="M54" s="72">
        <f>((M55*VLOOKUP(C54,'Life tables'!$B$4:$D$118,3,FALSE)+VLOOKUP(C54,'Life tables'!$B$4:$D$118,2,FALSE)*sumassured)/(1+int))-12*p+12*(renewfix+renewvari*p)</f>
        <v>-2556332.4307542327</v>
      </c>
      <c r="N54" s="72">
        <f>M55*VLOOKUP(C54,'Life tables'!$B$3:$D$118,3,FALSE)-(1+int)*'Term 50'!M54</f>
        <v>612487.62292229547</v>
      </c>
    </row>
    <row r="55" spans="2:17" x14ac:dyDescent="0.3">
      <c r="B55" s="6">
        <v>46</v>
      </c>
      <c r="C55" s="6">
        <f>age+B55</f>
        <v>64</v>
      </c>
      <c r="D55" s="6">
        <f>term50-B55</f>
        <v>4</v>
      </c>
      <c r="E55" s="60">
        <f>E56*'Term 50'!v*VLOOKUP(C55,'Life tables'!$B$4:$D$118,3,FALSE)+1-(monthly_conv*(1-v*VLOOKUP(C55,'Life tables'!$B$4:$D$118,3,FALSE)))</f>
        <v>3.5987610124744434</v>
      </c>
      <c r="F55" s="6">
        <f>F56*v*VLOOKUP(C55,'Life tables'!$B$4:$D$118,3,FALSE)+v*VLOOKUP(C55,'Life tables'!$B$4:$D$118,2,FALSE)</f>
        <v>5.8742835631914708E-2</v>
      </c>
      <c r="G55" s="72">
        <f>F55*sumassured</f>
        <v>587428.35631914705</v>
      </c>
      <c r="H55" s="72">
        <f>p*E55</f>
        <v>223038.52404980917</v>
      </c>
      <c r="I55" s="72">
        <f>renewfix*E55</f>
        <v>35.987610124744435</v>
      </c>
      <c r="J55" s="72">
        <f>renewvari*p*E55</f>
        <v>6691.155721494275</v>
      </c>
      <c r="K55" s="72">
        <f t="shared" si="0"/>
        <v>6727.1433316190196</v>
      </c>
      <c r="L55" s="72">
        <f t="shared" si="1"/>
        <v>371116.97560095682</v>
      </c>
      <c r="M55" s="72">
        <f>((M56*VLOOKUP(C55,'Life tables'!$B$4:$D$118,3,FALSE)+VLOOKUP(C55,'Life tables'!$B$4:$D$118,2,FALSE)*sumassured)/(1+int))-12*p+12*(renewfix+renewvari*p)</f>
        <v>-2074655.7413416747</v>
      </c>
      <c r="N55" s="72">
        <f>M56*VLOOKUP(C55,'Life tables'!$B$3:$D$118,3,FALSE)-(1+int)*'Term 50'!M55</f>
        <v>602217.6229222957</v>
      </c>
    </row>
    <row r="56" spans="2:17" x14ac:dyDescent="0.3">
      <c r="B56" s="6">
        <v>47</v>
      </c>
      <c r="C56" s="6">
        <f>age+B56</f>
        <v>65</v>
      </c>
      <c r="D56" s="6">
        <f>term50-B56</f>
        <v>3</v>
      </c>
      <c r="E56" s="60">
        <f>E57*'Term 50'!v*VLOOKUP(C56,'Life tables'!$B$4:$D$118,3,FALSE)+1-(monthly_conv*(1-v*VLOOKUP(C56,'Life tables'!$B$4:$D$118,3,FALSE)))</f>
        <v>2.7687802504378989</v>
      </c>
      <c r="F56" s="6">
        <f>F57*v*VLOOKUP(C56,'Life tables'!$B$4:$D$118,3,FALSE)+v*VLOOKUP(C56,'Life tables'!$B$4:$D$118,2,FALSE)</f>
        <v>4.699570959349833E-2</v>
      </c>
      <c r="G56" s="72">
        <f>F56*sumassured</f>
        <v>469957.09593498328</v>
      </c>
      <c r="H56" s="72">
        <f>p*E56</f>
        <v>171599.241609911</v>
      </c>
      <c r="I56" s="72">
        <f>renewfix*E56</f>
        <v>27.68780250437899</v>
      </c>
      <c r="J56" s="72">
        <f>renewvari*p*E56</f>
        <v>5147.9772482973303</v>
      </c>
      <c r="K56" s="72">
        <f t="shared" si="0"/>
        <v>5175.6650508017092</v>
      </c>
      <c r="L56" s="72">
        <f t="shared" si="1"/>
        <v>303533.51937587396</v>
      </c>
      <c r="M56" s="72">
        <f>((M57*VLOOKUP(C56,'Life tables'!$B$4:$D$118,3,FALSE)+VLOOKUP(C56,'Life tables'!$B$4:$D$118,2,FALSE)*sumassured)/(1+int))-12*p+12*(renewfix+renewvari*p)</f>
        <v>-1578777.6267276008</v>
      </c>
      <c r="N56" s="72">
        <f>M57*VLOOKUP(C56,'Life tables'!$B$3:$D$118,3,FALSE)-(1+int)*'Term 50'!M56</f>
        <v>590817.6229222957</v>
      </c>
    </row>
    <row r="57" spans="2:17" x14ac:dyDescent="0.3">
      <c r="B57" s="6">
        <v>48</v>
      </c>
      <c r="C57" s="6">
        <f>age+B57</f>
        <v>66</v>
      </c>
      <c r="D57" s="6">
        <f>term50-B57</f>
        <v>2</v>
      </c>
      <c r="E57" s="60">
        <f>E58*'Term 50'!v*VLOOKUP(C57,'Life tables'!$B$4:$D$118,3,FALSE)+1-(monthly_conv*(1-v*VLOOKUP(C57,'Life tables'!$B$4:$D$118,3,FALSE)))</f>
        <v>1.8953638980796195</v>
      </c>
      <c r="F57" s="6">
        <f>F58*v*VLOOKUP(C57,'Life tables'!$B$4:$D$118,3,FALSE)+v*VLOOKUP(C57,'Life tables'!$B$4:$D$118,2,FALSE)</f>
        <v>3.3476891817677504E-2</v>
      </c>
      <c r="G57" s="72">
        <f>F57*sumassured</f>
        <v>334768.91817677504</v>
      </c>
      <c r="H57" s="72">
        <f>p*E57</f>
        <v>117467.97436662887</v>
      </c>
      <c r="I57" s="72">
        <f>renewfix*E57</f>
        <v>18.953638980796196</v>
      </c>
      <c r="J57" s="72">
        <f>renewvari*p*E57</f>
        <v>3524.0392309988661</v>
      </c>
      <c r="K57" s="72">
        <f t="shared" si="0"/>
        <v>3542.9928699796624</v>
      </c>
      <c r="L57" s="72">
        <f t="shared" si="1"/>
        <v>220843.93668012583</v>
      </c>
      <c r="M57" s="72">
        <f>((M58*VLOOKUP(C57,'Life tables'!$B$4:$D$118,3,FALSE)+VLOOKUP(C57,'Life tables'!$B$4:$D$118,2,FALSE)*sumassured)/(1+int))-12*p+12*(renewfix+renewvari*p)</f>
        <v>-1068128.5326566957</v>
      </c>
      <c r="N57" s="72">
        <f>M58*VLOOKUP(C57,'Life tables'!$B$3:$D$118,3,FALSE)-(1+int)*'Term 50'!M57</f>
        <v>578077.62292229559</v>
      </c>
    </row>
    <row r="58" spans="2:17" x14ac:dyDescent="0.3">
      <c r="B58" s="6">
        <v>49</v>
      </c>
      <c r="C58" s="6">
        <f>age+B58</f>
        <v>67</v>
      </c>
      <c r="D58" s="6">
        <f>term50-B58</f>
        <v>1</v>
      </c>
      <c r="E58" s="60">
        <f>E59*'Term 50'!v*VLOOKUP(C58,'Life tables'!$B$4:$D$118,3,FALSE)+1-(monthly_conv*(1-v*VLOOKUP(C58,'Life tables'!$B$4:$D$118,3,FALSE)))</f>
        <v>0.97415925480769228</v>
      </c>
      <c r="F58" s="6">
        <f>v*VLOOKUP(C58,'Life tables'!$B$4:$D$118,2,FALSE)</f>
        <v>1.7918269230769227E-2</v>
      </c>
      <c r="G58" s="72">
        <f>F58*sumassured</f>
        <v>179182.69230769228</v>
      </c>
      <c r="H58" s="72">
        <f>p*E58</f>
        <v>60374.957277970294</v>
      </c>
      <c r="I58" s="72">
        <f>renewfix*E58</f>
        <v>9.7415925480769232</v>
      </c>
      <c r="J58" s="72">
        <f>renewvari*p*E58</f>
        <v>1811.248718339109</v>
      </c>
      <c r="K58" s="72">
        <f t="shared" si="0"/>
        <v>1820.9903108871858</v>
      </c>
      <c r="L58" s="72">
        <f t="shared" si="1"/>
        <v>120628.72534060918</v>
      </c>
      <c r="M58" s="72">
        <f>((M59*VLOOKUP(C58,'Life tables'!$B$4:$D$118,3,FALSE)+VLOOKUP(C58,'Life tables'!$B$4:$D$118,2,FALSE)*sumassured)/(1+int))-12*p+12*(renewfix+renewvari*p)</f>
        <v>-542103.48357913049</v>
      </c>
      <c r="N58" s="72">
        <f>M59*VLOOKUP(C58,'Life tables'!$B$3:$D$118,3,FALSE)-(1+int)*'Term 50'!M58</f>
        <v>563787.6229222957</v>
      </c>
    </row>
    <row r="59" spans="2:17" x14ac:dyDescent="0.3">
      <c r="B59" s="6">
        <v>50</v>
      </c>
      <c r="C59" s="6">
        <f>age+B59</f>
        <v>68</v>
      </c>
      <c r="D59" s="6">
        <f>term50-B59</f>
        <v>0</v>
      </c>
      <c r="E59" s="6">
        <v>0</v>
      </c>
      <c r="F59" s="6">
        <v>0</v>
      </c>
      <c r="G59" s="72">
        <f>F59*sumassured</f>
        <v>0</v>
      </c>
      <c r="H59" s="72">
        <f>p*E59</f>
        <v>0</v>
      </c>
      <c r="I59" s="72">
        <f>renewfix*E59</f>
        <v>0</v>
      </c>
      <c r="J59" s="82">
        <f>renewvari*p*E59</f>
        <v>0</v>
      </c>
      <c r="K59" s="72">
        <f t="shared" si="0"/>
        <v>0</v>
      </c>
      <c r="L59" s="72">
        <f t="shared" si="1"/>
        <v>0</v>
      </c>
      <c r="M59" s="81">
        <f>G59+K59-H59</f>
        <v>0</v>
      </c>
      <c r="N59" s="72"/>
    </row>
    <row r="60" spans="2:17" x14ac:dyDescent="0.3">
      <c r="B60" s="45"/>
      <c r="C60" s="45"/>
      <c r="D60" s="45"/>
      <c r="E60" s="45"/>
      <c r="F60" s="6"/>
      <c r="G60" s="6"/>
      <c r="H60" s="6"/>
      <c r="K60" s="6"/>
      <c r="L60" s="6"/>
    </row>
    <row r="61" spans="2:17" x14ac:dyDescent="0.3">
      <c r="F61" s="6" t="s">
        <v>40</v>
      </c>
      <c r="G61" s="83">
        <f>SUM(G9:G59)</f>
        <v>41816563.450735405</v>
      </c>
      <c r="H61" s="83">
        <f>SUM(H9:H59)</f>
        <v>43229363.534854621</v>
      </c>
      <c r="K61" s="83">
        <f>SUM(K9:K59)</f>
        <v>1412800.0841192063</v>
      </c>
      <c r="L61" s="83">
        <f>SUM(L9:L59)</f>
        <v>1.4551915228366852E-10</v>
      </c>
    </row>
  </sheetData>
  <mergeCells count="2">
    <mergeCell ref="C7:I7"/>
    <mergeCell ref="B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54"/>
  <sheetViews>
    <sheetView workbookViewId="0">
      <selection activeCell="U11" sqref="U11"/>
    </sheetView>
  </sheetViews>
  <sheetFormatPr defaultRowHeight="14.4" x14ac:dyDescent="0.3"/>
  <cols>
    <col min="2" max="2" width="13.44140625" bestFit="1" customWidth="1"/>
    <col min="3" max="4" width="13.6640625" bestFit="1" customWidth="1"/>
    <col min="5" max="5" width="15.109375" bestFit="1" customWidth="1"/>
  </cols>
  <sheetData>
    <row r="3" spans="2:5" x14ac:dyDescent="0.3">
      <c r="B3" t="s">
        <v>28</v>
      </c>
      <c r="C3" t="s">
        <v>46</v>
      </c>
      <c r="D3" t="s">
        <v>47</v>
      </c>
      <c r="E3" t="s">
        <v>48</v>
      </c>
    </row>
    <row r="4" spans="2:5" x14ac:dyDescent="0.3">
      <c r="B4">
        <v>0</v>
      </c>
      <c r="C4" s="64">
        <f>'Term 30'!M9</f>
        <v>-3157914.5279379515</v>
      </c>
      <c r="D4" s="64">
        <f>'Term 40'!M9</f>
        <v>-7316248.3500159485</v>
      </c>
      <c r="E4" s="64">
        <f>'Term 50'!M9</f>
        <v>-15007415.121043524</v>
      </c>
    </row>
    <row r="5" spans="2:5" x14ac:dyDescent="0.3">
      <c r="B5">
        <v>1</v>
      </c>
      <c r="C5" s="64">
        <f>'Term 30'!M10</f>
        <v>-3131550.6038054852</v>
      </c>
      <c r="D5" s="64">
        <f>'Term 40'!M10</f>
        <v>-7296064.9589164853</v>
      </c>
      <c r="E5" s="64">
        <f>'Term 50'!M10</f>
        <v>-15010850.076545119</v>
      </c>
    </row>
    <row r="6" spans="2:5" x14ac:dyDescent="0.3">
      <c r="B6">
        <v>2</v>
      </c>
      <c r="C6" s="64">
        <f>'Term 30'!M11</f>
        <v>-3069661.4765147269</v>
      </c>
      <c r="D6" s="64">
        <f>'Term 40'!M11</f>
        <v>-7205901.1687083654</v>
      </c>
      <c r="E6" s="64">
        <f>'Term 50'!M11</f>
        <v>-14883666.174572617</v>
      </c>
    </row>
    <row r="7" spans="2:5" x14ac:dyDescent="0.3">
      <c r="B7">
        <v>3</v>
      </c>
      <c r="C7" s="64">
        <f>'Term 30'!M12</f>
        <v>-3005485.8093839628</v>
      </c>
      <c r="D7" s="64">
        <f>'Term 40'!M12</f>
        <v>-7112371.3174315458</v>
      </c>
      <c r="E7" s="64">
        <f>'Term 50'!M12</f>
        <v>-14751745.811763296</v>
      </c>
    </row>
    <row r="8" spans="2:5" x14ac:dyDescent="0.3">
      <c r="B8">
        <v>4</v>
      </c>
      <c r="C8" s="64">
        <f>'Term 30'!M13</f>
        <v>-2938810.8960570148</v>
      </c>
      <c r="D8" s="64">
        <f>'Term 40'!M13</f>
        <v>-7015180.6197051508</v>
      </c>
      <c r="E8" s="64">
        <f>'Term 50'!M13</f>
        <v>-14614668.121336861</v>
      </c>
    </row>
    <row r="9" spans="2:5" x14ac:dyDescent="0.3">
      <c r="B9">
        <v>5</v>
      </c>
      <c r="C9" s="64">
        <f>'Term 30'!M14</f>
        <v>-2869442.8047281015</v>
      </c>
      <c r="D9" s="64">
        <f>'Term 40'!M14</f>
        <v>-6914058.5882681031</v>
      </c>
      <c r="E9" s="64">
        <f>'Term 50'!M14</f>
        <v>-14472047.53180534</v>
      </c>
    </row>
    <row r="10" spans="2:5" x14ac:dyDescent="0.3">
      <c r="B10">
        <v>6</v>
      </c>
      <c r="C10" s="64">
        <f>'Term 30'!M15</f>
        <v>-2797219.5193080744</v>
      </c>
      <c r="D10" s="64">
        <f>'Term 40'!M15</f>
        <v>-6808776.2172156805</v>
      </c>
      <c r="E10" s="64">
        <f>'Term 50'!M15</f>
        <v>-14323558.661062011</v>
      </c>
    </row>
    <row r="11" spans="2:5" x14ac:dyDescent="0.3">
      <c r="B11">
        <v>7</v>
      </c>
      <c r="C11" s="64">
        <f>'Term 30'!M16</f>
        <v>-2721998.7298160917</v>
      </c>
      <c r="D11" s="64">
        <f>'Term 40'!M16</f>
        <v>-6699129.8249084856</v>
      </c>
      <c r="E11" s="64">
        <f>'Term 50'!M16</f>
        <v>-14168912.980392903</v>
      </c>
    </row>
    <row r="12" spans="2:5" x14ac:dyDescent="0.3">
      <c r="B12">
        <v>8</v>
      </c>
      <c r="C12" s="64">
        <f>'Term 30'!M17</f>
        <v>-2643670.7413897449</v>
      </c>
      <c r="D12" s="64">
        <f>'Term 40'!M17</f>
        <v>-6584957.8845729008</v>
      </c>
      <c r="E12" s="64">
        <f>'Term 50'!M17</f>
        <v>-14007883.215960383</v>
      </c>
    </row>
    <row r="13" spans="2:5" x14ac:dyDescent="0.3">
      <c r="B13">
        <v>9</v>
      </c>
      <c r="C13" s="64">
        <f>'Term 30'!M18</f>
        <v>-2562133.7224617228</v>
      </c>
      <c r="D13" s="64">
        <f>'Term 40'!M18</f>
        <v>-6466108.4177703001</v>
      </c>
      <c r="E13" s="64">
        <f>'Term 50'!M18</f>
        <v>-13840256.200198889</v>
      </c>
    </row>
    <row r="14" spans="2:5" x14ac:dyDescent="0.3">
      <c r="B14">
        <v>10</v>
      </c>
      <c r="C14" s="64">
        <f>'Term 30'!M19</f>
        <v>-2477293.6685674097</v>
      </c>
      <c r="D14" s="64">
        <f>'Term 40'!M19</f>
        <v>-6342438.8632569332</v>
      </c>
      <c r="E14" s="64">
        <f>'Term 50'!M19</f>
        <v>-13665832.713038526</v>
      </c>
    </row>
    <row r="15" spans="2:5" x14ac:dyDescent="0.3">
      <c r="B15">
        <v>11</v>
      </c>
      <c r="C15" s="64">
        <f>'Term 30'!M20</f>
        <v>-2389076.7305110237</v>
      </c>
      <c r="D15" s="64">
        <f>'Term 40'!M20</f>
        <v>-6213832.1185203958</v>
      </c>
      <c r="E15" s="64">
        <f>'Term 50'!M20</f>
        <v>-13484450.751245445</v>
      </c>
    </row>
    <row r="16" spans="2:5" x14ac:dyDescent="0.3">
      <c r="B16">
        <v>12</v>
      </c>
      <c r="C16" s="64">
        <f>'Term 30'!M21</f>
        <v>-2297416.9352423321</v>
      </c>
      <c r="D16" s="64">
        <f>'Term 40'!M21</f>
        <v>-6080180.3265309138</v>
      </c>
      <c r="E16" s="64">
        <f>'Term 50'!M21</f>
        <v>-13295962.098138787</v>
      </c>
    </row>
    <row r="17" spans="2:5" x14ac:dyDescent="0.3">
      <c r="B17">
        <v>13</v>
      </c>
      <c r="C17" s="64">
        <f>'Term 30'!M22</f>
        <v>-2202256.0217060084</v>
      </c>
      <c r="D17" s="64">
        <f>'Term 40'!M22</f>
        <v>-5941384.543168365</v>
      </c>
      <c r="E17" s="64">
        <f>'Term 50'!M22</f>
        <v>-13100231.885694366</v>
      </c>
    </row>
    <row r="18" spans="2:5" x14ac:dyDescent="0.3">
      <c r="B18">
        <v>14</v>
      </c>
      <c r="C18" s="64">
        <f>'Term 30'!M23</f>
        <v>-2103531.1162668732</v>
      </c>
      <c r="D18" s="64">
        <f>'Term 40'!M23</f>
        <v>-5797338.5209862301</v>
      </c>
      <c r="E18" s="64">
        <f>'Term 50'!M23</f>
        <v>-12897115.138914455</v>
      </c>
    </row>
    <row r="19" spans="2:5" x14ac:dyDescent="0.3">
      <c r="B19">
        <v>15</v>
      </c>
      <c r="C19" s="64">
        <f>'Term 30'!M24</f>
        <v>-2001198.4145863231</v>
      </c>
      <c r="D19" s="64">
        <f>'Term 40'!M24</f>
        <v>-5647959.5065090014</v>
      </c>
      <c r="E19" s="64">
        <f>'Term 50'!M24</f>
        <v>-12686501.456065958</v>
      </c>
    </row>
    <row r="20" spans="2:5" x14ac:dyDescent="0.3">
      <c r="B20">
        <v>16</v>
      </c>
      <c r="C20" s="64">
        <f>'Term 30'!M25</f>
        <v>-1895185.3273560605</v>
      </c>
      <c r="D20" s="64">
        <f>'Term 40'!M25</f>
        <v>-5493125.6921485746</v>
      </c>
      <c r="E20" s="64">
        <f>'Term 50'!M25</f>
        <v>-12468224.383066313</v>
      </c>
    </row>
    <row r="21" spans="2:5" x14ac:dyDescent="0.3">
      <c r="B21">
        <v>17</v>
      </c>
      <c r="C21" s="64">
        <f>'Term 30'!M26</f>
        <v>-1785448.9571822665</v>
      </c>
      <c r="D21" s="64">
        <f>'Term 40'!M26</f>
        <v>-5332752.3283663951</v>
      </c>
      <c r="E21" s="64">
        <f>'Term 50'!M26</f>
        <v>-12242171.811331589</v>
      </c>
    </row>
    <row r="22" spans="2:5" x14ac:dyDescent="0.3">
      <c r="B22">
        <v>18</v>
      </c>
      <c r="C22" s="64">
        <f>'Term 30'!M27</f>
        <v>-1671917.3650631388</v>
      </c>
      <c r="D22" s="64">
        <f>'Term 40'!M27</f>
        <v>-5166715.0839094492</v>
      </c>
      <c r="E22" s="64">
        <f>'Term 50'!M27</f>
        <v>-12008174.887076823</v>
      </c>
    </row>
    <row r="23" spans="2:5" x14ac:dyDescent="0.3">
      <c r="B23">
        <v>19</v>
      </c>
      <c r="C23" s="64">
        <f>'Term 30'!M28</f>
        <v>-1554546.9118991112</v>
      </c>
      <c r="D23" s="64">
        <f>'Term 40'!M28</f>
        <v>-4994924.4868641188</v>
      </c>
      <c r="E23" s="64">
        <f>'Term 50'!M28</f>
        <v>-11766116.057611054</v>
      </c>
    </row>
    <row r="24" spans="2:5" x14ac:dyDescent="0.3">
      <c r="B24">
        <v>20</v>
      </c>
      <c r="C24" s="64">
        <f>'Term 30'!M29</f>
        <v>-1433275.9820795155</v>
      </c>
      <c r="D24" s="64">
        <f>'Term 40'!M29</f>
        <v>-4817265.5838791309</v>
      </c>
      <c r="E24" s="64">
        <f>'Term 50'!M29</f>
        <v>-11515841.589872247</v>
      </c>
    </row>
    <row r="25" spans="2:5" x14ac:dyDescent="0.3">
      <c r="B25">
        <v>21</v>
      </c>
      <c r="C25" s="64">
        <f>'Term 30'!M30</f>
        <v>-1308058.4351898024</v>
      </c>
      <c r="D25" s="64">
        <f>'Term 40'!M30</f>
        <v>-4633641.1587154493</v>
      </c>
      <c r="E25" s="64">
        <f>'Term 50'!M30</f>
        <v>-11257224.377565444</v>
      </c>
    </row>
    <row r="26" spans="2:5" x14ac:dyDescent="0.3">
      <c r="B26">
        <v>22</v>
      </c>
      <c r="C26" s="64">
        <f>'Term 30'!M31</f>
        <v>-1178840.5688055069</v>
      </c>
      <c r="D26" s="64">
        <f>'Term 40'!M31</f>
        <v>-4443941.6248764135</v>
      </c>
      <c r="E26" s="64">
        <f>'Term 50'!M31</f>
        <v>-10990120.317440974</v>
      </c>
    </row>
    <row r="27" spans="2:5" x14ac:dyDescent="0.3">
      <c r="B27">
        <v>23</v>
      </c>
      <c r="C27" s="64">
        <f>'Term 30'!M32</f>
        <v>-1045571.5566937483</v>
      </c>
      <c r="D27" s="64">
        <f>'Term 40'!M32</f>
        <v>-4248058.2986908099</v>
      </c>
      <c r="E27" s="64">
        <f>'Term 50'!M32</f>
        <v>-10714387.678516226</v>
      </c>
    </row>
    <row r="28" spans="2:5" x14ac:dyDescent="0.3">
      <c r="B28">
        <v>24</v>
      </c>
      <c r="C28" s="64">
        <f>'Term 30'!M33</f>
        <v>-908213.63162367092</v>
      </c>
      <c r="D28" s="64">
        <f>'Term 40'!M33</f>
        <v>-4045896.2031246526</v>
      </c>
      <c r="E28" s="64">
        <f>'Term 50'!M33</f>
        <v>-10429905.841837514</v>
      </c>
    </row>
    <row r="29" spans="2:5" x14ac:dyDescent="0.3">
      <c r="B29">
        <v>25</v>
      </c>
      <c r="C29" s="64">
        <f>'Term 30'!M34</f>
        <v>-766762.73763980623</v>
      </c>
      <c r="D29" s="64">
        <f>'Term 40'!M34</f>
        <v>-3837400.1630482199</v>
      </c>
      <c r="E29" s="64">
        <f>'Term 50'!M34</f>
        <v>-10136613.444460861</v>
      </c>
    </row>
    <row r="30" spans="2:5" x14ac:dyDescent="0.3">
      <c r="B30">
        <v>26</v>
      </c>
      <c r="C30" s="64">
        <f>'Term 30'!M35</f>
        <v>-621225.9605255411</v>
      </c>
      <c r="D30" s="64">
        <f>'Term 40'!M35</f>
        <v>-3622525.1343357041</v>
      </c>
      <c r="E30" s="64">
        <f>'Term 50'!M35</f>
        <v>-9834465.4532487672</v>
      </c>
    </row>
    <row r="31" spans="2:5" x14ac:dyDescent="0.3">
      <c r="B31">
        <v>27</v>
      </c>
      <c r="C31" s="64">
        <f>'Term 30'!M36</f>
        <v>-471651.8274025977</v>
      </c>
      <c r="D31" s="64">
        <f>'Term 40'!M36</f>
        <v>-3401274.3990524495</v>
      </c>
      <c r="E31" s="64">
        <f>'Term 50'!M36</f>
        <v>-9523489.0302323177</v>
      </c>
    </row>
    <row r="32" spans="2:5" x14ac:dyDescent="0.3">
      <c r="B32">
        <v>28</v>
      </c>
      <c r="C32" s="64">
        <f>'Term 30'!M37</f>
        <v>-318149.21223783883</v>
      </c>
      <c r="D32" s="64">
        <f>'Term 40'!M37</f>
        <v>-3173722.6766752321</v>
      </c>
      <c r="E32" s="64">
        <f>'Term 50'!M37</f>
        <v>-9203817.6141461991</v>
      </c>
    </row>
    <row r="33" spans="2:5" x14ac:dyDescent="0.3">
      <c r="B33">
        <v>29</v>
      </c>
      <c r="C33" s="64">
        <f>'Term 30'!M38</f>
        <v>-160864.61065310019</v>
      </c>
      <c r="D33" s="64">
        <f>'Term 40'!M38</f>
        <v>-2939985.7540044477</v>
      </c>
      <c r="E33" s="64">
        <f>'Term 50'!M38</f>
        <v>-8875647.1658596192</v>
      </c>
    </row>
    <row r="34" spans="2:5" x14ac:dyDescent="0.3">
      <c r="B34">
        <v>30</v>
      </c>
      <c r="C34" s="64">
        <f>'Term 30'!M39</f>
        <v>0</v>
      </c>
      <c r="D34" s="64">
        <f>'Term 40'!M39</f>
        <v>-2700241.8211315097</v>
      </c>
      <c r="E34" s="64">
        <f>'Term 50'!M39</f>
        <v>-8539267.8300573304</v>
      </c>
    </row>
    <row r="35" spans="2:5" x14ac:dyDescent="0.3">
      <c r="B35">
        <v>31</v>
      </c>
      <c r="D35" s="64">
        <f>'Term 40'!M40</f>
        <v>-2454713.6322579738</v>
      </c>
      <c r="E35" s="64">
        <f>'Term 50'!M40</f>
        <v>-8195038.576744698</v>
      </c>
    </row>
    <row r="36" spans="2:5" x14ac:dyDescent="0.3">
      <c r="B36">
        <v>32</v>
      </c>
      <c r="D36" s="64">
        <f>'Term 40'!M41</f>
        <v>-2203626.4017238552</v>
      </c>
      <c r="E36" s="64">
        <f>'Term 50'!M41</f>
        <v>-7843326.3827149775</v>
      </c>
    </row>
    <row r="37" spans="2:5" x14ac:dyDescent="0.3">
      <c r="B37">
        <v>33</v>
      </c>
      <c r="D37" s="64">
        <f>'Term 40'!M42</f>
        <v>-1947191.4700314077</v>
      </c>
      <c r="E37" s="64">
        <f>'Term 50'!M42</f>
        <v>-7484482.9816076923</v>
      </c>
    </row>
    <row r="38" spans="2:5" x14ac:dyDescent="0.3">
      <c r="B38">
        <v>34</v>
      </c>
      <c r="D38" s="64">
        <f>'Term 40'!M43</f>
        <v>-1685566.9820439799</v>
      </c>
      <c r="E38" s="64">
        <f>'Term 50'!M43</f>
        <v>-7118787.9351997115</v>
      </c>
    </row>
    <row r="39" spans="2:5" x14ac:dyDescent="0.3">
      <c r="B39">
        <v>35</v>
      </c>
      <c r="D39" s="64">
        <f>'Term 40'!M44</f>
        <v>-1418786.1955887964</v>
      </c>
      <c r="E39" s="64">
        <f>'Term 50'!M44</f>
        <v>-6746344.0391024239</v>
      </c>
    </row>
    <row r="40" spans="2:5" x14ac:dyDescent="0.3">
      <c r="B40">
        <v>36</v>
      </c>
      <c r="D40" s="64">
        <f>'Term 40'!M45</f>
        <v>-1146780.1348424046</v>
      </c>
      <c r="E40" s="64">
        <f>'Term 50'!M45</f>
        <v>-6367110.7193253413</v>
      </c>
    </row>
    <row r="41" spans="2:5" x14ac:dyDescent="0.3">
      <c r="B41">
        <v>37</v>
      </c>
      <c r="D41" s="64">
        <f>'Term 40'!M46</f>
        <v>-869321.94934964739</v>
      </c>
      <c r="E41" s="64">
        <f>'Term 50'!M46</f>
        <v>-5980822.5238363873</v>
      </c>
    </row>
    <row r="42" spans="2:5" x14ac:dyDescent="0.3">
      <c r="B42">
        <v>38</v>
      </c>
      <c r="D42" s="64">
        <f>'Term 40'!M47</f>
        <v>-586050.09254647419</v>
      </c>
      <c r="E42" s="64">
        <f>'Term 50'!M47</f>
        <v>-5587023.1064664293</v>
      </c>
    </row>
    <row r="43" spans="2:5" x14ac:dyDescent="0.3">
      <c r="B43">
        <v>39</v>
      </c>
      <c r="D43" s="64">
        <f>'Term 40'!M48</f>
        <v>-296468.9703100585</v>
      </c>
      <c r="E43" s="64">
        <f>'Term 50'!M48</f>
        <v>-5185066.1712006927</v>
      </c>
    </row>
    <row r="44" spans="2:5" x14ac:dyDescent="0.3">
      <c r="B44">
        <v>40</v>
      </c>
      <c r="D44" s="64">
        <f>'Term 40'!M49</f>
        <v>0</v>
      </c>
      <c r="E44" s="64">
        <f>'Term 50'!M49</f>
        <v>-4774190.8484488297</v>
      </c>
    </row>
    <row r="45" spans="2:5" x14ac:dyDescent="0.3">
      <c r="B45">
        <v>41</v>
      </c>
      <c r="E45" s="64">
        <f>'Term 50'!M50</f>
        <v>-4353546.9409920014</v>
      </c>
    </row>
    <row r="46" spans="2:5" x14ac:dyDescent="0.3">
      <c r="B46">
        <v>42</v>
      </c>
      <c r="E46" s="64">
        <f>'Term 50'!M51</f>
        <v>-3922245.0889185164</v>
      </c>
    </row>
    <row r="47" spans="2:5" x14ac:dyDescent="0.3">
      <c r="B47">
        <v>43</v>
      </c>
      <c r="E47" s="64">
        <f>'Term 50'!M52</f>
        <v>-3479454.9456563778</v>
      </c>
    </row>
    <row r="48" spans="2:5" x14ac:dyDescent="0.3">
      <c r="B48">
        <v>44</v>
      </c>
      <c r="E48" s="64">
        <f>'Term 50'!M53</f>
        <v>-3024384.3771706931</v>
      </c>
    </row>
    <row r="49" spans="2:5" x14ac:dyDescent="0.3">
      <c r="B49">
        <v>45</v>
      </c>
      <c r="E49" s="64">
        <f>'Term 50'!M54</f>
        <v>-2556332.4307542327</v>
      </c>
    </row>
    <row r="50" spans="2:5" x14ac:dyDescent="0.3">
      <c r="B50">
        <v>46</v>
      </c>
      <c r="E50" s="64">
        <f>'Term 50'!M55</f>
        <v>-2074655.7413416747</v>
      </c>
    </row>
    <row r="51" spans="2:5" x14ac:dyDescent="0.3">
      <c r="B51">
        <v>47</v>
      </c>
      <c r="E51" s="64">
        <f>'Term 50'!M56</f>
        <v>-1578777.6267276008</v>
      </c>
    </row>
    <row r="52" spans="2:5" x14ac:dyDescent="0.3">
      <c r="B52">
        <v>48</v>
      </c>
      <c r="E52" s="64">
        <f>'Term 50'!M57</f>
        <v>-1068128.5326566957</v>
      </c>
    </row>
    <row r="53" spans="2:5" x14ac:dyDescent="0.3">
      <c r="B53">
        <v>49</v>
      </c>
      <c r="E53" s="64">
        <f>'Term 50'!M58</f>
        <v>-542103.48357913049</v>
      </c>
    </row>
    <row r="54" spans="2:5" x14ac:dyDescent="0.3">
      <c r="B54">
        <v>50</v>
      </c>
      <c r="E54" s="64">
        <f>'Term 50'!M59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23</vt:i4>
      </vt:variant>
    </vt:vector>
  </HeadingPairs>
  <TitlesOfParts>
    <vt:vector size="29" baseType="lpstr">
      <vt:lpstr>Life tables</vt:lpstr>
      <vt:lpstr>Parameters</vt:lpstr>
      <vt:lpstr>Term 30</vt:lpstr>
      <vt:lpstr>Term 40</vt:lpstr>
      <vt:lpstr>Term 50</vt:lpstr>
      <vt:lpstr>Graphs</vt:lpstr>
      <vt:lpstr>age</vt:lpstr>
      <vt:lpstr>'Term 30'!d_12</vt:lpstr>
      <vt:lpstr>'Term 40'!d_12</vt:lpstr>
      <vt:lpstr>'Term 50'!d_12</vt:lpstr>
      <vt:lpstr>inifixed</vt:lpstr>
      <vt:lpstr>inivari</vt:lpstr>
      <vt:lpstr>int</vt:lpstr>
      <vt:lpstr>monthly_conv</vt:lpstr>
      <vt:lpstr>'Term 40'!p</vt:lpstr>
      <vt:lpstr>'Term 50'!p</vt:lpstr>
      <vt:lpstr>p</vt:lpstr>
      <vt:lpstr>ppt_30</vt:lpstr>
      <vt:lpstr>ppt_40</vt:lpstr>
      <vt:lpstr>ppt_50</vt:lpstr>
      <vt:lpstr>renewfix</vt:lpstr>
      <vt:lpstr>renewvari</vt:lpstr>
      <vt:lpstr>sumassured</vt:lpstr>
      <vt:lpstr>term30</vt:lpstr>
      <vt:lpstr>term40</vt:lpstr>
      <vt:lpstr>term50</vt:lpstr>
      <vt:lpstr>'Term 30'!v</vt:lpstr>
      <vt:lpstr>'Term 40'!v</vt:lpstr>
      <vt:lpstr>'Term 50'!v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2021-11-23T17:16:22Z</dcterms:modified>
</cp:coreProperties>
</file>