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itan Company" sheetId="1" r:id="rId4"/>
    <sheet state="visible" name="Information for Titan" sheetId="2" r:id="rId5"/>
    <sheet state="visible" name="DATA - TRENTS" sheetId="3" r:id="rId6"/>
    <sheet state="visible" name="Ratio Analysis Trent" sheetId="4" r:id="rId7"/>
    <sheet state="visible" name="roll no 69 calc" sheetId="5" r:id="rId8"/>
  </sheets>
  <definedNames/>
  <calcPr/>
  <extLst>
    <ext uri="GoogleSheetsCustomDataVersion1">
      <go:sheetsCustomData xmlns:go="http://customooxmlschemas.google.com/" r:id="rId9" roundtripDataSignature="AMtx7mgjnxdAHGU+Kmz7ZtD5vPhgk9OGqQ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35">
      <text>
        <t xml:space="preserve">======
ID#AAAAZyesmGc
Het Shah    (2022-05-29 15:30:21)
all the ratio and value are taken from the money control site.</t>
      </text>
    </comment>
    <comment authorId="0" ref="A40">
      <text>
        <t xml:space="preserve">======
ID#AAAAZyesmGY
Het Shah    (2022-05-29 15:29:05)
Formula used:
assets
--------------------
share capital</t>
      </text>
    </comment>
    <comment authorId="0" ref="A39">
      <text>
        <t xml:space="preserve">======
ID#AAAAZyesmGU
Het Shah    (2022-05-29 15:28:17)
Formula used:
sales
-----------
assets</t>
      </text>
    </comment>
    <comment authorId="0" ref="A38">
      <text>
        <t xml:space="preserve">======
ID#AAAAZyesmGQ
Het Shah    (2022-05-29 15:27:04)
Formula used:
net profit
----------------
sales</t>
      </text>
    </comment>
    <comment authorId="0" ref="A19">
      <text>
        <t xml:space="preserve">======
ID#AAAAZ01sBwY
Formula used    (2022-05-29 08:44:51)
net profit
--------------------------- X 100
share capital + reserve</t>
      </text>
    </comment>
    <comment authorId="0" ref="A31">
      <text>
        <t xml:space="preserve">======
ID#AAAAZ01sBwM
Formula used    (2022-05-29 08:44:51)
MPS
------
ID#AAAAZ01sBwQ
a    (2022-05-29 08:44:51)
EPS</t>
      </text>
    </comment>
    <comment authorId="0" ref="A33">
      <text>
        <t xml:space="preserve">======
ID#AAAAZ01sBwU
Formula used    (2022-05-29 08:44:51)
EPS
-----
DPS</t>
      </text>
    </comment>
    <comment authorId="0" ref="A24">
      <text>
        <t xml:space="preserve">======
ID#AAAAZ01sBwI
a    (2022-05-29 08:44:51)
Formula used;
Borrowing
--------------
Equity</t>
      </text>
    </comment>
    <comment authorId="0" ref="A16">
      <text>
        <t xml:space="preserve">======
ID#AAAAZ01sBwE
Formula used     (2022-05-29 08:44:51)
profit Before Tax
----------------------------- X 100
Share Capital+Reserve</t>
      </text>
    </comment>
    <comment authorId="0" ref="A21">
      <text>
        <t xml:space="preserve">======
ID#AAAAZ01sBwA
a    (2022-05-29 08:44:51)
all the values are taken from the Screener site.</t>
      </text>
    </comment>
    <comment authorId="0" ref="A17">
      <text>
        <t xml:space="preserve">======
ID#AAAAZ01sBv8
Formula used    (2022-05-29 08:44:51)
sales
------------------------------------------------
share capital + reserve+long term debt</t>
      </text>
    </comment>
    <comment authorId="0" ref="A13">
      <text>
        <t xml:space="preserve">======
ID#AAAAZ01sBv4
a    (2022-05-29 08:44:51)
all the values had been taken from the Screener site.</t>
      </text>
    </comment>
    <comment authorId="0" ref="A30">
      <text>
        <t xml:space="preserve">======
ID#AAAAZ01sBv0
Formula used    (2022-05-29 08:44:51)
Net Profit
---------------------
Number of Share</t>
      </text>
    </comment>
    <comment authorId="0" ref="A27">
      <text>
        <t xml:space="preserve">======
ID#AAAAZ01sBvw
a    (2022-05-29 08:44:51)
Information for the following Ratio are taken from Money Control Site.</t>
      </text>
    </comment>
    <comment authorId="0" ref="A6">
      <text>
        <t xml:space="preserve">======
ID#AAAAZ01sBvs
a    (2022-05-29 08:44:51)
values are taken from the Money Control Site.</t>
      </text>
    </comment>
    <comment authorId="0" ref="A10">
      <text>
        <t xml:space="preserve">======
ID#AAAAZ01sBvo
a    (2022-05-29 08:44:51)
Formula used;
Current asset - Inventries
---------------------------------
Current liability</t>
      </text>
    </comment>
    <comment authorId="0" ref="A32">
      <text>
        <t xml:space="preserve">======
ID#AAAAZ01sBvg
Formula used    (2022-05-29 08:44:51)
DPS
------
ID#AAAAZ01sBvk
a    (2022-05-29 08:44:51)
MPS</t>
      </text>
    </comment>
    <comment authorId="0" ref="A25">
      <text>
        <t xml:space="preserve">======
ID#AAAAZ01sBvc
Formula used    (2022-05-29 08:44:51)
interest on borrowing
-----------------------------------
profit before interest and tax</t>
      </text>
    </comment>
    <comment authorId="0" ref="A9">
      <text>
        <t xml:space="preserve">======
ID#AAAAZ01sBvY
Formula used    (2022-05-29 08:44:51)
Current asset
------------------
Current liability</t>
      </text>
    </comment>
    <comment authorId="0" ref="A18">
      <text>
        <t xml:space="preserve">======
ID#AAAAZ01sBvU
Formula used    (2022-05-29 08:44:51)
profit before tax and interest
------------------------------------
                 sales</t>
      </text>
    </comment>
  </commentList>
  <extLst>
    <ext uri="GoogleSheetsCustomDataVersion1">
      <go:sheetsCustomData xmlns:go="http://customooxmlschemas.google.com/" r:id="rId1" roundtripDataSignature="AMtx7miRhPl2kHeA7MiS3xs0W/c2Fi5pUQ=="/>
    </ext>
  </extLst>
</comments>
</file>

<file path=xl/sharedStrings.xml><?xml version="1.0" encoding="utf-8"?>
<sst xmlns="http://schemas.openxmlformats.org/spreadsheetml/2006/main" count="94" uniqueCount="71">
  <si>
    <t>TITAN COMPANY  LTD.</t>
  </si>
  <si>
    <t>Roll no</t>
  </si>
  <si>
    <t>Class</t>
  </si>
  <si>
    <t>FY B Sc [B]</t>
  </si>
  <si>
    <t>Liquidity Ratio</t>
  </si>
  <si>
    <t>Curent Ratio</t>
  </si>
  <si>
    <t>Quick Ratio</t>
  </si>
  <si>
    <t>Profitability Ratio</t>
  </si>
  <si>
    <t>Return on Capital Employee</t>
  </si>
  <si>
    <t>Asset Utilisation Ratio</t>
  </si>
  <si>
    <t>Profit Margin</t>
  </si>
  <si>
    <t>Return on Equity</t>
  </si>
  <si>
    <t>Gearing Ratio</t>
  </si>
  <si>
    <t>Asset Gearing</t>
  </si>
  <si>
    <t>Income Gearing</t>
  </si>
  <si>
    <t>Inventors Ratio</t>
  </si>
  <si>
    <t>Earning Per Share</t>
  </si>
  <si>
    <t>Price to earning ratio</t>
  </si>
  <si>
    <t>Dividend yeild</t>
  </si>
  <si>
    <t>Dividend Cover</t>
  </si>
  <si>
    <t>Dupont Analysis</t>
  </si>
  <si>
    <t>Asset turnover</t>
  </si>
  <si>
    <t>Financial Levearge</t>
  </si>
  <si>
    <t>Information</t>
  </si>
  <si>
    <t xml:space="preserve">Share Capital </t>
  </si>
  <si>
    <t>Reserves</t>
  </si>
  <si>
    <t>Borrowings</t>
  </si>
  <si>
    <t xml:space="preserve">Other Liabilities </t>
  </si>
  <si>
    <t>Total Liabilities</t>
  </si>
  <si>
    <t xml:space="preserve">Fixed Assets </t>
  </si>
  <si>
    <t>CWIP</t>
  </si>
  <si>
    <t>Investments</t>
  </si>
  <si>
    <t xml:space="preserve">Other Assets </t>
  </si>
  <si>
    <t>Total Assets</t>
  </si>
  <si>
    <t xml:space="preserve">Sales </t>
  </si>
  <si>
    <t xml:space="preserve">Expenses </t>
  </si>
  <si>
    <t>Operating Profit</t>
  </si>
  <si>
    <t>OPM %</t>
  </si>
  <si>
    <t xml:space="preserve">Other Income </t>
  </si>
  <si>
    <t>Interest</t>
  </si>
  <si>
    <t>Depreciation</t>
  </si>
  <si>
    <t>Profit before tax</t>
  </si>
  <si>
    <t>Tax %</t>
  </si>
  <si>
    <t>Net Profit</t>
  </si>
  <si>
    <t>EPS in Rs</t>
  </si>
  <si>
    <t>Dividend Payout %</t>
  </si>
  <si>
    <t>TRENT LTD. - 70</t>
  </si>
  <si>
    <t>COMPREHENSIVE INCOME STATEMENT</t>
  </si>
  <si>
    <t>PARTICULARS</t>
  </si>
  <si>
    <t>Sales</t>
  </si>
  <si>
    <t>Expenses</t>
  </si>
  <si>
    <t>Other Income</t>
  </si>
  <si>
    <t>FINANCIAL STATEMENT</t>
  </si>
  <si>
    <t>Share Capital</t>
  </si>
  <si>
    <t>Other Liabilities</t>
  </si>
  <si>
    <t>Fixed Assets</t>
  </si>
  <si>
    <t>Other Assets</t>
  </si>
  <si>
    <t>Inventories</t>
  </si>
  <si>
    <t>Intangible Assets</t>
  </si>
  <si>
    <t>Ratio Aanlysis of Trent Ltd.</t>
  </si>
  <si>
    <t>Liquidity Ratios</t>
  </si>
  <si>
    <t>Current Ratio</t>
  </si>
  <si>
    <t>Profitablitiy Ratios</t>
  </si>
  <si>
    <t>ROCE</t>
  </si>
  <si>
    <t>Asset utlization ratio</t>
  </si>
  <si>
    <t>Gearing Ratios</t>
  </si>
  <si>
    <t>Investors Ratio</t>
  </si>
  <si>
    <t>Shareholders Equity Ratio</t>
  </si>
  <si>
    <t>Asset Turnover Ratio</t>
  </si>
  <si>
    <t>Financial Leverage</t>
  </si>
  <si>
    <t>Dupont's ROE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</si>
</sst>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 yyyy"/>
    <numFmt numFmtId="165" formatCode="mmm-d"/>
  </numFmts>
  <fonts count="23">
    <font>
      <sz val="11.0"/>
      <color theme="1"/>
      <name val="Calibri"/>
      <scheme val="minor"/>
    </font>
    <font>
      <b/>
      <sz val="11.0"/>
      <color theme="1"/>
      <name val="Rockwell"/>
    </font>
    <font>
      <color theme="1"/>
      <name val="Calibri"/>
      <scheme val="minor"/>
    </font>
    <font>
      <b/>
      <u/>
      <sz val="11.0"/>
      <color theme="1"/>
      <name val="Times New Roman"/>
    </font>
    <font>
      <sz val="11.0"/>
      <color theme="1"/>
      <name val="Calibri"/>
    </font>
    <font>
      <b/>
      <sz val="11.0"/>
      <color theme="1"/>
      <name val="Calibri"/>
    </font>
    <font>
      <sz val="11.0"/>
      <color rgb="FF333333"/>
      <name val="Arial"/>
    </font>
    <font>
      <sz val="11.0"/>
      <color rgb="FF22222F"/>
      <name val="Calibri"/>
    </font>
    <font>
      <b/>
      <u/>
      <sz val="11.0"/>
      <color theme="1"/>
      <name val="Calibri"/>
    </font>
    <font>
      <i/>
      <color theme="1"/>
      <name val="Calibri"/>
      <scheme val="minor"/>
    </font>
    <font>
      <color rgb="FF22222F"/>
      <name val="&quot;Inter var&quot;"/>
    </font>
    <font>
      <sz val="11.0"/>
      <color rgb="FF22222F"/>
      <name val="Inter var"/>
    </font>
    <font>
      <sz val="11.0"/>
      <color rgb="FF22222F"/>
      <name val="Arial"/>
    </font>
    <font>
      <color theme="1"/>
      <name val="Arial"/>
    </font>
    <font>
      <color rgb="FF22222F"/>
      <name val="Arial"/>
    </font>
    <font>
      <b/>
      <sz val="16.0"/>
      <color rgb="FF000000"/>
      <name val="Calibri"/>
    </font>
    <font>
      <sz val="16.0"/>
      <color rgb="FF000000"/>
      <name val="Calibri"/>
    </font>
    <font>
      <b/>
      <u/>
      <sz val="28.0"/>
      <color rgb="FFFFFFFF"/>
      <name val="Calibri"/>
    </font>
    <font>
      <b/>
      <u/>
      <sz val="24.0"/>
      <color rgb="FFFFFFFF"/>
      <name val="Calibri"/>
    </font>
    <font/>
    <font>
      <sz val="16.0"/>
      <color rgb="FF22222F"/>
      <name val="Calibri"/>
    </font>
    <font>
      <b/>
      <sz val="16.0"/>
      <color rgb="FF22222F"/>
      <name val="Arial"/>
    </font>
    <font>
      <b/>
      <sz val="16.0"/>
      <color rgb="FFFFFFFF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C2D69B"/>
        <bgColor rgb="FFC2D69B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4A86E8"/>
        <bgColor rgb="FF4A86E8"/>
      </patternFill>
    </fill>
    <fill>
      <patternFill patternType="solid">
        <fgColor rgb="FF00FFFF"/>
        <bgColor rgb="FF00FFFF"/>
      </patternFill>
    </fill>
    <fill>
      <patternFill patternType="solid">
        <fgColor rgb="FF2E75B6"/>
        <bgColor rgb="FF2E75B6"/>
      </patternFill>
    </fill>
    <fill>
      <patternFill patternType="solid">
        <fgColor rgb="FFBCD6EE"/>
        <bgColor rgb="FFBCD6EE"/>
      </patternFill>
    </fill>
    <fill>
      <patternFill patternType="solid">
        <fgColor rgb="FFDEEBF6"/>
        <bgColor rgb="FFDEEBF6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0" fontId="2" numFmtId="0" xfId="0" applyAlignment="1" applyBorder="1" applyFont="1">
      <alignment readingOrder="0"/>
    </xf>
    <xf borderId="1" fillId="0" fontId="2" numFmtId="0" xfId="0" applyAlignment="1" applyBorder="1" applyFont="1">
      <alignment horizontal="right" readingOrder="0"/>
    </xf>
    <xf borderId="1" fillId="2" fontId="3" numFmtId="0" xfId="0" applyAlignment="1" applyBorder="1" applyFill="1" applyFont="1">
      <alignment horizontal="center" vertical="center"/>
    </xf>
    <xf borderId="1" fillId="0" fontId="4" numFmtId="0" xfId="0" applyBorder="1" applyFont="1"/>
    <xf borderId="1" fillId="0" fontId="5" numFmtId="0" xfId="0" applyBorder="1" applyFont="1"/>
    <xf borderId="1" fillId="0" fontId="6" numFmtId="2" xfId="0" applyBorder="1" applyFont="1" applyNumberFormat="1"/>
    <xf borderId="1" fillId="3" fontId="6" numFmtId="4" xfId="0" applyBorder="1" applyFill="1" applyFont="1" applyNumberFormat="1"/>
    <xf borderId="1" fillId="0" fontId="4" numFmtId="4" xfId="0" applyBorder="1" applyFont="1" applyNumberFormat="1"/>
    <xf borderId="1" fillId="0" fontId="6" numFmtId="4" xfId="0" applyBorder="1" applyFont="1" applyNumberFormat="1"/>
    <xf borderId="1" fillId="0" fontId="4" numFmtId="2" xfId="0" applyBorder="1" applyFont="1" applyNumberFormat="1"/>
    <xf borderId="1" fillId="4" fontId="7" numFmtId="0" xfId="0" applyAlignment="1" applyBorder="1" applyFill="1" applyFont="1">
      <alignment shrinkToFit="0" wrapText="1"/>
    </xf>
    <xf borderId="0" fillId="0" fontId="5" numFmtId="0" xfId="0" applyFont="1"/>
    <xf borderId="0" fillId="0" fontId="4" numFmtId="0" xfId="0" applyFont="1"/>
    <xf borderId="1" fillId="2" fontId="8" numFmtId="0" xfId="0" applyAlignment="1" applyBorder="1" applyFont="1">
      <alignment horizontal="center" vertical="center"/>
    </xf>
    <xf borderId="1" fillId="0" fontId="2" numFmtId="0" xfId="0" applyBorder="1" applyFont="1"/>
    <xf borderId="1" fillId="0" fontId="2" numFmtId="2" xfId="0" applyBorder="1" applyFont="1" applyNumberFormat="1"/>
    <xf borderId="0" fillId="0" fontId="9" numFmtId="0" xfId="0" applyAlignment="1" applyFont="1">
      <alignment horizontal="center" readingOrder="0"/>
    </xf>
    <xf borderId="1" fillId="5" fontId="10" numFmtId="164" xfId="0" applyAlignment="1" applyBorder="1" applyFill="1" applyFont="1" applyNumberFormat="1">
      <alignment horizontal="right" readingOrder="0"/>
    </xf>
    <xf borderId="1" fillId="5" fontId="11" numFmtId="164" xfId="0" applyAlignment="1" applyBorder="1" applyFont="1" applyNumberFormat="1">
      <alignment horizontal="right" vertical="bottom"/>
    </xf>
    <xf borderId="1" fillId="5" fontId="12" numFmtId="164" xfId="0" applyAlignment="1" applyBorder="1" applyFont="1" applyNumberFormat="1">
      <alignment horizontal="right" readingOrder="0" vertical="bottom"/>
    </xf>
    <xf borderId="1" fillId="6" fontId="13" numFmtId="0" xfId="0" applyAlignment="1" applyBorder="1" applyFill="1" applyFont="1">
      <alignment horizontal="left" readingOrder="0" shrinkToFit="0" wrapText="0"/>
    </xf>
    <xf borderId="1" fillId="6" fontId="10" numFmtId="3" xfId="0" applyAlignment="1" applyBorder="1" applyFont="1" applyNumberFormat="1">
      <alignment horizontal="right" readingOrder="0"/>
    </xf>
    <xf borderId="1" fillId="6" fontId="14" numFmtId="3" xfId="0" applyAlignment="1" applyBorder="1" applyFont="1" applyNumberFormat="1">
      <alignment horizontal="right" readingOrder="0"/>
    </xf>
    <xf borderId="1" fillId="6" fontId="10" numFmtId="0" xfId="0" applyAlignment="1" applyBorder="1" applyFont="1">
      <alignment horizontal="left" readingOrder="0" shrinkToFit="0" wrapText="0"/>
    </xf>
    <xf borderId="1" fillId="6" fontId="10" numFmtId="0" xfId="0" applyAlignment="1" applyBorder="1" applyFont="1">
      <alignment horizontal="right" readingOrder="0"/>
    </xf>
    <xf borderId="0" fillId="0" fontId="10" numFmtId="0" xfId="0" applyAlignment="1" applyFont="1">
      <alignment horizontal="left" readingOrder="0" shrinkToFit="0" wrapText="0"/>
    </xf>
    <xf borderId="0" fillId="4" fontId="10" numFmtId="0" xfId="0" applyAlignment="1" applyFont="1">
      <alignment horizontal="right" readingOrder="0"/>
    </xf>
    <xf borderId="0" fillId="4" fontId="10" numFmtId="9" xfId="0" applyAlignment="1" applyFont="1" applyNumberFormat="1">
      <alignment horizontal="right" readingOrder="0"/>
    </xf>
    <xf borderId="1" fillId="5" fontId="2" numFmtId="0" xfId="0" applyBorder="1" applyFont="1"/>
    <xf borderId="0" fillId="4" fontId="11" numFmtId="164" xfId="0" applyAlignment="1" applyFont="1" applyNumberFormat="1">
      <alignment horizontal="right" vertical="bottom"/>
    </xf>
    <xf borderId="0" fillId="4" fontId="10" numFmtId="3" xfId="0" applyAlignment="1" applyFont="1" applyNumberFormat="1">
      <alignment horizontal="right" readingOrder="0"/>
    </xf>
    <xf borderId="1" fillId="6" fontId="10" numFmtId="9" xfId="0" applyAlignment="1" applyBorder="1" applyFont="1" applyNumberFormat="1">
      <alignment horizontal="right" readingOrder="0"/>
    </xf>
    <xf borderId="0" fillId="0" fontId="15" numFmtId="0" xfId="0" applyAlignment="1" applyFont="1">
      <alignment shrinkToFit="0" vertical="bottom" wrapText="0"/>
    </xf>
    <xf borderId="0" fillId="7" fontId="16" numFmtId="0" xfId="0" applyAlignment="1" applyFill="1" applyFont="1">
      <alignment shrinkToFit="0" vertical="bottom" wrapText="0"/>
    </xf>
    <xf borderId="0" fillId="7" fontId="17" numFmtId="0" xfId="0" applyAlignment="1" applyFont="1">
      <alignment horizontal="center" readingOrder="0" shrinkToFit="0" vertical="bottom" wrapText="0"/>
    </xf>
    <xf borderId="0" fillId="0" fontId="16" numFmtId="0" xfId="0" applyAlignment="1" applyFont="1">
      <alignment shrinkToFit="0" vertical="bottom" wrapText="0"/>
    </xf>
    <xf borderId="2" fillId="7" fontId="18" numFmtId="0" xfId="0" applyAlignment="1" applyBorder="1" applyFont="1">
      <alignment horizontal="center" readingOrder="0" shrinkToFit="0" vertical="bottom" wrapText="0"/>
    </xf>
    <xf borderId="2" fillId="0" fontId="19" numFmtId="0" xfId="0" applyBorder="1" applyFont="1"/>
    <xf borderId="1" fillId="8" fontId="15" numFmtId="0" xfId="0" applyAlignment="1" applyBorder="1" applyFill="1" applyFont="1">
      <alignment readingOrder="0" shrinkToFit="0" vertical="bottom" wrapText="0"/>
    </xf>
    <xf borderId="3" fillId="8" fontId="15" numFmtId="165" xfId="0" applyAlignment="1" applyBorder="1" applyFont="1" applyNumberFormat="1">
      <alignment horizontal="right" readingOrder="0" shrinkToFit="0" vertical="bottom" wrapText="0"/>
    </xf>
    <xf borderId="4" fillId="8" fontId="15" numFmtId="165" xfId="0" applyAlignment="1" applyBorder="1" applyFont="1" applyNumberFormat="1">
      <alignment horizontal="right" readingOrder="0" shrinkToFit="0" vertical="bottom" wrapText="0"/>
    </xf>
    <xf borderId="5" fillId="8" fontId="15" numFmtId="0" xfId="0" applyAlignment="1" applyBorder="1" applyFont="1">
      <alignment readingOrder="0" shrinkToFit="0" vertical="bottom" wrapText="0"/>
    </xf>
    <xf borderId="3" fillId="4" fontId="20" numFmtId="0" xfId="0" applyAlignment="1" applyBorder="1" applyFont="1">
      <alignment horizontal="right" readingOrder="0"/>
    </xf>
    <xf borderId="3" fillId="4" fontId="20" numFmtId="3" xfId="0" applyAlignment="1" applyBorder="1" applyFont="1" applyNumberFormat="1">
      <alignment horizontal="right" readingOrder="0"/>
    </xf>
    <xf borderId="5" fillId="7" fontId="15" numFmtId="0" xfId="0" applyAlignment="1" applyBorder="1" applyFont="1">
      <alignment readingOrder="0" shrinkToFit="0" vertical="bottom" wrapText="0"/>
    </xf>
    <xf borderId="3" fillId="7" fontId="20" numFmtId="0" xfId="0" applyAlignment="1" applyBorder="1" applyFont="1">
      <alignment horizontal="right" readingOrder="0"/>
    </xf>
    <xf borderId="3" fillId="4" fontId="20" numFmtId="9" xfId="0" applyAlignment="1" applyBorder="1" applyFont="1" applyNumberFormat="1">
      <alignment horizontal="right" readingOrder="0"/>
    </xf>
    <xf borderId="3" fillId="9" fontId="16" numFmtId="0" xfId="0" applyAlignment="1" applyBorder="1" applyFill="1" applyFont="1">
      <alignment horizontal="right" readingOrder="0" shrinkToFit="0" vertical="bottom" wrapText="0"/>
    </xf>
    <xf borderId="3" fillId="4" fontId="16" numFmtId="0" xfId="0" applyAlignment="1" applyBorder="1" applyFont="1">
      <alignment horizontal="right" readingOrder="0"/>
    </xf>
    <xf borderId="3" fillId="4" fontId="16" numFmtId="3" xfId="0" applyAlignment="1" applyBorder="1" applyFont="1" applyNumberFormat="1">
      <alignment horizontal="right" readingOrder="0"/>
    </xf>
    <xf borderId="3" fillId="7" fontId="16" numFmtId="3" xfId="0" applyAlignment="1" applyBorder="1" applyFont="1" applyNumberFormat="1">
      <alignment horizontal="right" readingOrder="0"/>
    </xf>
    <xf borderId="1" fillId="8" fontId="21" numFmtId="0" xfId="0" applyAlignment="1" applyBorder="1" applyFont="1">
      <alignment horizontal="left" readingOrder="0" shrinkToFit="0" wrapText="0"/>
    </xf>
    <xf borderId="4" fillId="0" fontId="16" numFmtId="0" xfId="0" applyAlignment="1" applyBorder="1" applyFont="1">
      <alignment horizontal="right" readingOrder="0"/>
    </xf>
    <xf borderId="3" fillId="0" fontId="16" numFmtId="0" xfId="0" applyAlignment="1" applyBorder="1" applyFont="1">
      <alignment horizontal="right" readingOrder="0" shrinkToFit="0" vertical="bottom" wrapText="0"/>
    </xf>
    <xf borderId="0" fillId="7" fontId="22" numFmtId="0" xfId="0" applyAlignment="1" applyFont="1">
      <alignment horizontal="center" readingOrder="0" shrinkToFit="0" vertical="bottom" wrapText="0"/>
    </xf>
    <xf borderId="0" fillId="7" fontId="22" numFmtId="0" xfId="0" applyAlignment="1" applyFont="1">
      <alignment readingOrder="0" shrinkToFit="0" vertical="bottom" wrapText="0"/>
    </xf>
    <xf borderId="0" fillId="7" fontId="22" numFmtId="164" xfId="0" applyAlignment="1" applyFont="1" applyNumberFormat="1">
      <alignment readingOrder="0" shrinkToFit="0" vertical="bottom" wrapText="0"/>
    </xf>
    <xf borderId="0" fillId="0" fontId="16" numFmtId="0" xfId="0" applyAlignment="1" applyFont="1">
      <alignment readingOrder="0" shrinkToFit="0" vertical="bottom" wrapText="0"/>
    </xf>
    <xf borderId="0" fillId="0" fontId="16" numFmtId="0" xfId="0" applyAlignment="1" applyFont="1">
      <alignment horizontal="right" readingOrder="0" shrinkToFit="0" vertical="bottom" wrapText="0"/>
    </xf>
    <xf borderId="0" fillId="0" fontId="16" numFmtId="10" xfId="0" applyAlignment="1" applyFont="1" applyNumberFormat="1">
      <alignment horizontal="right" readingOrder="0" shrinkToFit="0" vertical="bottom" wrapText="0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57"/>
    <col customWidth="1" min="2" max="11" width="9.57"/>
    <col customWidth="1" min="12" max="13" width="8.71"/>
    <col customWidth="1" min="14" max="14" width="11.14"/>
    <col customWidth="1" min="15" max="26" width="8.71"/>
  </cols>
  <sheetData>
    <row r="1" ht="17.25" customHeight="1">
      <c r="D1" s="1" t="s">
        <v>0</v>
      </c>
    </row>
    <row r="2">
      <c r="M2" s="2" t="s">
        <v>1</v>
      </c>
      <c r="N2" s="2">
        <v>66.0</v>
      </c>
    </row>
    <row r="3">
      <c r="M3" s="2" t="s">
        <v>2</v>
      </c>
      <c r="N3" s="3" t="s">
        <v>3</v>
      </c>
    </row>
    <row r="6" ht="23.25" customHeight="1">
      <c r="A6" s="4" t="s">
        <v>4</v>
      </c>
    </row>
    <row r="8">
      <c r="A8" s="5"/>
      <c r="B8" s="6">
        <v>2013.0</v>
      </c>
      <c r="C8" s="6">
        <v>2014.0</v>
      </c>
      <c r="D8" s="6">
        <v>2015.0</v>
      </c>
      <c r="E8" s="6">
        <v>2016.0</v>
      </c>
      <c r="F8" s="6">
        <v>2017.0</v>
      </c>
      <c r="G8" s="6">
        <v>2018.0</v>
      </c>
      <c r="H8" s="6">
        <v>2019.0</v>
      </c>
      <c r="I8" s="6">
        <v>2020.0</v>
      </c>
      <c r="J8" s="6">
        <v>2021.0</v>
      </c>
      <c r="K8" s="6">
        <v>2022.0</v>
      </c>
    </row>
    <row r="9" ht="18.0" customHeight="1">
      <c r="A9" s="6" t="s">
        <v>5</v>
      </c>
      <c r="B9" s="7">
        <f>701.25/3847.02</f>
        <v>0.1822839497</v>
      </c>
      <c r="C9" s="7">
        <f>868.75/3511.3</f>
        <v>0.2474154871</v>
      </c>
      <c r="D9" s="8">
        <f>1033.29/2692.78</f>
        <v>0.383726112</v>
      </c>
      <c r="E9" s="8">
        <f>1244.77/2692.78</f>
        <v>0.4622620489</v>
      </c>
      <c r="F9" s="9">
        <f>1626.46/3896.09</f>
        <v>0.4174595556</v>
      </c>
      <c r="G9" s="8">
        <f>7277.32/4098.48</f>
        <v>1.775614374</v>
      </c>
      <c r="H9" s="10">
        <f>9085.26/5169.25</f>
        <v>1.75755864</v>
      </c>
      <c r="I9" s="10">
        <f>9534.83/5243.88</f>
        <v>1.818277688</v>
      </c>
      <c r="J9" s="11">
        <f>12501/7193</f>
        <v>1.737939664</v>
      </c>
      <c r="K9" s="11">
        <f>16379.35/9560.15</f>
        <v>1.713294247</v>
      </c>
    </row>
    <row r="10">
      <c r="A10" s="6" t="s">
        <v>6</v>
      </c>
      <c r="B10" s="7">
        <f>(5173.53-3677.94)/3847.02</f>
        <v>0.3887658499</v>
      </c>
      <c r="C10" s="7">
        <f>(5238.27-3867.19)/3511.3</f>
        <v>0.3904764617</v>
      </c>
      <c r="D10" s="8">
        <f>(4838.95-4047.43)/2692.78</f>
        <v>0.2939415771</v>
      </c>
      <c r="E10" s="8">
        <f>(5131.76-4442.24)/2755.01</f>
        <v>0.2502785834</v>
      </c>
      <c r="F10" s="9">
        <f>(6691.07-4806.49)/3896.06</f>
        <v>0.4837143165</v>
      </c>
      <c r="G10" s="8">
        <f>(7277.32-5749.2)/4098.48</f>
        <v>0.3728504226</v>
      </c>
      <c r="H10" s="10">
        <f>(9085.26-6719.18)/5169.29</f>
        <v>0.4577185648</v>
      </c>
      <c r="I10" s="10">
        <f>(9534.83-7740.62)/5243.88</f>
        <v>0.3421531385</v>
      </c>
      <c r="J10" s="11">
        <f>(12501-7984)/7193</f>
        <v>0.6279716391</v>
      </c>
      <c r="K10" s="11">
        <f>(16379.35-12787)/9560.15</f>
        <v>0.3757629326</v>
      </c>
    </row>
    <row r="13" ht="23.25" customHeight="1">
      <c r="A13" s="4" t="s">
        <v>7</v>
      </c>
    </row>
    <row r="15">
      <c r="A15" s="5"/>
      <c r="B15" s="6">
        <v>2013.0</v>
      </c>
      <c r="C15" s="6">
        <v>2014.0</v>
      </c>
      <c r="D15" s="6">
        <v>2015.0</v>
      </c>
      <c r="E15" s="6">
        <v>2016.0</v>
      </c>
      <c r="F15" s="6">
        <v>2017.0</v>
      </c>
      <c r="G15" s="6">
        <v>2018.0</v>
      </c>
      <c r="H15" s="6">
        <v>2019.0</v>
      </c>
      <c r="I15" s="6">
        <v>2020.0</v>
      </c>
      <c r="J15" s="6">
        <v>2021.0</v>
      </c>
      <c r="K15" s="6">
        <v>2022.0</v>
      </c>
    </row>
    <row r="16">
      <c r="A16" s="6" t="s">
        <v>8</v>
      </c>
      <c r="B16" s="11">
        <f>(1006/1965)*100</f>
        <v>51.19592875</v>
      </c>
      <c r="C16" s="11">
        <f>(1016/(89+2435))*100</f>
        <v>40.25356577</v>
      </c>
      <c r="D16" s="11">
        <f>(1056/(89+3003))*100</f>
        <v>34.15265201</v>
      </c>
      <c r="E16" s="11">
        <f>(888/(89+3446))*100</f>
        <v>25.12022631</v>
      </c>
      <c r="F16" s="11">
        <f>(1033/(89+4223))*100</f>
        <v>23.95640074</v>
      </c>
      <c r="G16" s="11">
        <f>(1571/(89+5105))*100</f>
        <v>30.2464382</v>
      </c>
      <c r="H16" s="11">
        <f>(1927/(89+2288))*100</f>
        <v>81.06857383</v>
      </c>
      <c r="I16" s="11">
        <f>(2105/(89+6736))*100</f>
        <v>30.84249084</v>
      </c>
      <c r="J16" s="11">
        <f>(1233/(89+7464))*100</f>
        <v>16.32463922</v>
      </c>
      <c r="K16" s="11">
        <f>(2932/(89+9284))*100</f>
        <v>31.28134002</v>
      </c>
    </row>
    <row r="17">
      <c r="A17" s="6" t="s">
        <v>9</v>
      </c>
      <c r="B17" s="11">
        <f>10113/(89+1876+0)</f>
        <v>5.146564885</v>
      </c>
      <c r="C17" s="11">
        <f>10916/(89+2435+806)</f>
        <v>3.278078078</v>
      </c>
      <c r="D17" s="11">
        <f>11903/(89+3003+100)</f>
        <v>3.729010025</v>
      </c>
      <c r="E17" s="11">
        <f>11084/(89+3446+113)</f>
        <v>3.038377193</v>
      </c>
      <c r="F17" s="11">
        <f>12897/(89+4223+1867)</f>
        <v>2.087230944</v>
      </c>
      <c r="G17" s="11">
        <f>15621/(89+5105+1604)</f>
        <v>2.29788173</v>
      </c>
      <c r="H17" s="11">
        <f>19070/(89+6093+2288)</f>
        <v>2.251475797</v>
      </c>
      <c r="I17" s="11">
        <f>20010/(89+6736+3269)</f>
        <v>1.982365762</v>
      </c>
      <c r="J17" s="11">
        <f>20602/(89+7464+5243)</f>
        <v>1.610034386</v>
      </c>
      <c r="K17" s="11">
        <f>27210/(89+9284+6610)</f>
        <v>1.702433836</v>
      </c>
    </row>
    <row r="18">
      <c r="A18" s="6" t="s">
        <v>10</v>
      </c>
      <c r="B18" s="11">
        <f>(1006+51)/10113</f>
        <v>0.104518936</v>
      </c>
      <c r="C18" s="11">
        <f>(1016+87)/10916</f>
        <v>0.1010443386</v>
      </c>
      <c r="D18" s="11">
        <f>(1056+81)/11903</f>
        <v>0.09552213728</v>
      </c>
      <c r="E18" s="11">
        <f>(888+42)/11084</f>
        <v>0.08390472754</v>
      </c>
      <c r="F18" s="11">
        <f>(1033+37)/12897</f>
        <v>0.08296503063</v>
      </c>
      <c r="G18" s="11">
        <f>(1571+48)/15621</f>
        <v>0.1036425325</v>
      </c>
      <c r="H18" s="11">
        <f>(1927+44)/19070</f>
        <v>0.1033560566</v>
      </c>
      <c r="I18" s="11">
        <f>(2105+149)/20010</f>
        <v>0.1126436782</v>
      </c>
      <c r="J18" s="11">
        <f>(1233+181)/20602</f>
        <v>0.06863411319</v>
      </c>
      <c r="K18" s="11">
        <f>(2932+195)/27210</f>
        <v>0.1149209849</v>
      </c>
    </row>
    <row r="19">
      <c r="A19" s="6" t="s">
        <v>11</v>
      </c>
      <c r="B19" s="11">
        <f>(725/(89+1876))*100</f>
        <v>36.8956743</v>
      </c>
      <c r="C19" s="11">
        <f>(741/(89+2435))*100</f>
        <v>29.35816165</v>
      </c>
      <c r="D19" s="11">
        <f>(823/(89+3003))*100</f>
        <v>26.61707633</v>
      </c>
      <c r="E19" s="11">
        <f>(698/(89+3446))*100</f>
        <v>19.74540311</v>
      </c>
      <c r="F19" s="11">
        <f>(762/(89+4223))*100</f>
        <v>17.6716141</v>
      </c>
      <c r="G19" s="11">
        <f>(1163/(89+5105))*100</f>
        <v>22.39122064</v>
      </c>
      <c r="H19" s="11">
        <f>(1374/(89+6093))*100</f>
        <v>22.22581689</v>
      </c>
      <c r="I19" s="11">
        <f>(1517/(89+6736))*100</f>
        <v>22.22710623</v>
      </c>
      <c r="J19" s="11">
        <f>(877/(89+7464))*100</f>
        <v>11.61128029</v>
      </c>
      <c r="K19" s="11">
        <f>(2180/(89+9234))*100</f>
        <v>23.38303121</v>
      </c>
    </row>
    <row r="21" ht="20.25" customHeight="1">
      <c r="A21" s="4" t="s">
        <v>12</v>
      </c>
    </row>
    <row r="23">
      <c r="A23" s="5"/>
      <c r="B23" s="6">
        <v>2013.0</v>
      </c>
      <c r="C23" s="6">
        <v>2014.0</v>
      </c>
      <c r="D23" s="6">
        <v>2015.0</v>
      </c>
      <c r="E23" s="6">
        <v>2016.0</v>
      </c>
      <c r="F23" s="6">
        <v>2017.0</v>
      </c>
      <c r="G23" s="6">
        <v>2018.0</v>
      </c>
      <c r="H23" s="6">
        <v>2019.0</v>
      </c>
      <c r="I23" s="6">
        <v>2020.0</v>
      </c>
      <c r="J23" s="6">
        <v>2021.0</v>
      </c>
      <c r="K23" s="6">
        <v>2022.0</v>
      </c>
    </row>
    <row r="24" ht="15.75" customHeight="1">
      <c r="A24" s="6" t="s">
        <v>13</v>
      </c>
      <c r="B24" s="11">
        <f>0/89</f>
        <v>0</v>
      </c>
      <c r="C24" s="11">
        <f>806/89</f>
        <v>9.056179775</v>
      </c>
      <c r="D24" s="11">
        <f>100/89</f>
        <v>1.123595506</v>
      </c>
      <c r="E24" s="11">
        <f>113/89</f>
        <v>1.269662921</v>
      </c>
      <c r="F24" s="11">
        <f>1867/89</f>
        <v>20.97752809</v>
      </c>
      <c r="G24" s="11">
        <f>1604/89</f>
        <v>18.02247191</v>
      </c>
      <c r="H24" s="11">
        <f>2288/89</f>
        <v>25.70786517</v>
      </c>
      <c r="I24" s="11">
        <f>3269/89</f>
        <v>36.73033708</v>
      </c>
      <c r="J24" s="11">
        <f>5243/89</f>
        <v>58.91011236</v>
      </c>
      <c r="K24" s="11">
        <f>6610/89</f>
        <v>74.26966292</v>
      </c>
    </row>
    <row r="25" ht="15.75" customHeight="1">
      <c r="A25" s="6" t="s">
        <v>14</v>
      </c>
      <c r="B25" s="5">
        <f>51/(1006+51)</f>
        <v>0.04824976348</v>
      </c>
      <c r="C25" s="5">
        <f>87/(1016+87)</f>
        <v>0.07887579329</v>
      </c>
      <c r="D25" s="5">
        <f>81/(1056+81)</f>
        <v>0.07124010554</v>
      </c>
      <c r="E25" s="5">
        <f>42/(888+42)</f>
        <v>0.04516129032</v>
      </c>
      <c r="F25" s="5">
        <f>37/(1033+37)</f>
        <v>0.03457943925</v>
      </c>
      <c r="G25" s="5">
        <f>48/(1571+48)</f>
        <v>0.02964793082</v>
      </c>
      <c r="H25" s="5">
        <f>44/(1927+44)</f>
        <v>0.02232369356</v>
      </c>
      <c r="I25" s="5">
        <f>149/(2105+149)</f>
        <v>0.06610470275</v>
      </c>
      <c r="J25" s="5">
        <f>181/(1233+181)</f>
        <v>0.1280056577</v>
      </c>
      <c r="K25" s="5">
        <f>195/(2932+195)</f>
        <v>0.06236008954</v>
      </c>
    </row>
    <row r="26" ht="15.75" customHeight="1"/>
    <row r="27" ht="21.0" customHeight="1">
      <c r="A27" s="4" t="s">
        <v>15</v>
      </c>
    </row>
    <row r="28" ht="15.75" customHeight="1"/>
    <row r="29" ht="15.75" customHeight="1">
      <c r="A29" s="5"/>
      <c r="B29" s="6">
        <v>2013.0</v>
      </c>
      <c r="C29" s="6">
        <v>2014.0</v>
      </c>
      <c r="D29" s="6">
        <v>2015.0</v>
      </c>
      <c r="E29" s="6">
        <v>2016.0</v>
      </c>
      <c r="F29" s="6">
        <v>2017.0</v>
      </c>
      <c r="G29" s="6">
        <v>2018.0</v>
      </c>
      <c r="H29" s="6">
        <v>2019.0</v>
      </c>
      <c r="I29" s="6">
        <v>2020.0</v>
      </c>
      <c r="J29" s="6">
        <v>2021.0</v>
      </c>
      <c r="K29" s="6">
        <v>2022.0</v>
      </c>
    </row>
    <row r="30" ht="15.75" customHeight="1">
      <c r="A30" s="6" t="s">
        <v>16</v>
      </c>
      <c r="B30" s="12">
        <v>8.17</v>
      </c>
      <c r="C30" s="12">
        <v>8.28</v>
      </c>
      <c r="D30" s="12">
        <v>9.19</v>
      </c>
      <c r="E30" s="12">
        <v>7.6</v>
      </c>
      <c r="F30" s="12">
        <v>8.01</v>
      </c>
      <c r="G30" s="12">
        <v>12.73</v>
      </c>
      <c r="H30" s="12">
        <v>15.82</v>
      </c>
      <c r="I30" s="12">
        <v>16.91</v>
      </c>
      <c r="J30" s="12">
        <v>10.96</v>
      </c>
      <c r="K30" s="12">
        <v>24.48</v>
      </c>
    </row>
    <row r="31" ht="15.75" customHeight="1">
      <c r="A31" s="6" t="s">
        <v>17</v>
      </c>
      <c r="B31" s="5">
        <v>22.13</v>
      </c>
      <c r="C31" s="5">
        <v>28.43</v>
      </c>
      <c r="D31" s="5">
        <v>34.83</v>
      </c>
      <c r="E31" s="5">
        <v>39.59</v>
      </c>
      <c r="F31" s="5">
        <v>48.57</v>
      </c>
      <c r="G31" s="5">
        <v>58.5</v>
      </c>
      <c r="H31" s="5">
        <v>69.63</v>
      </c>
      <c r="I31" s="5">
        <v>76.87</v>
      </c>
      <c r="J31" s="5">
        <v>84.87</v>
      </c>
      <c r="K31" s="5">
        <v>105.57</v>
      </c>
    </row>
    <row r="32" ht="15.75" customHeight="1">
      <c r="A32" s="6" t="s">
        <v>18</v>
      </c>
      <c r="B32" s="5">
        <v>2.1</v>
      </c>
      <c r="C32" s="5">
        <v>2.1</v>
      </c>
      <c r="D32" s="5">
        <v>2.3</v>
      </c>
      <c r="E32" s="5">
        <v>2.2</v>
      </c>
      <c r="F32" s="5">
        <v>2.6</v>
      </c>
      <c r="G32" s="5">
        <v>3.75</v>
      </c>
      <c r="H32" s="5">
        <v>5.0</v>
      </c>
      <c r="I32" s="5">
        <v>4.0</v>
      </c>
      <c r="J32" s="5">
        <v>4.0</v>
      </c>
      <c r="K32" s="5">
        <v>7.5</v>
      </c>
    </row>
    <row r="33" ht="15.75" customHeight="1">
      <c r="A33" s="6" t="s">
        <v>19</v>
      </c>
      <c r="B33" s="11">
        <f t="shared" ref="B33:K33" si="1">B30/B32</f>
        <v>3.89047619</v>
      </c>
      <c r="C33" s="11">
        <f t="shared" si="1"/>
        <v>3.942857143</v>
      </c>
      <c r="D33" s="11">
        <f t="shared" si="1"/>
        <v>3.995652174</v>
      </c>
      <c r="E33" s="11">
        <f t="shared" si="1"/>
        <v>3.454545455</v>
      </c>
      <c r="F33" s="11">
        <f t="shared" si="1"/>
        <v>3.080769231</v>
      </c>
      <c r="G33" s="11">
        <f t="shared" si="1"/>
        <v>3.394666667</v>
      </c>
      <c r="H33" s="11">
        <f t="shared" si="1"/>
        <v>3.164</v>
      </c>
      <c r="I33" s="11">
        <f t="shared" si="1"/>
        <v>4.2275</v>
      </c>
      <c r="J33" s="11">
        <f t="shared" si="1"/>
        <v>2.74</v>
      </c>
      <c r="K33" s="11">
        <f t="shared" si="1"/>
        <v>3.264</v>
      </c>
    </row>
    <row r="34" ht="15.75" customHeight="1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ht="22.5" customHeight="1">
      <c r="A35" s="15" t="s">
        <v>20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ht="15.75" customHeight="1"/>
    <row r="37" ht="15.75" customHeight="1">
      <c r="A37" s="16"/>
      <c r="B37" s="6">
        <v>2013.0</v>
      </c>
      <c r="C37" s="6">
        <v>2014.0</v>
      </c>
      <c r="D37" s="6">
        <v>2015.0</v>
      </c>
      <c r="E37" s="6">
        <v>2016.0</v>
      </c>
      <c r="F37" s="6">
        <v>2017.0</v>
      </c>
      <c r="G37" s="6">
        <v>2018.0</v>
      </c>
      <c r="H37" s="6">
        <v>2019.0</v>
      </c>
      <c r="I37" s="6">
        <v>2020.0</v>
      </c>
      <c r="J37" s="6">
        <v>2021.0</v>
      </c>
      <c r="K37" s="6">
        <v>2022.0</v>
      </c>
    </row>
    <row r="38" ht="15.75" customHeight="1">
      <c r="A38" s="2" t="s">
        <v>10</v>
      </c>
      <c r="B38" s="11">
        <f>(1006+51)/10113</f>
        <v>0.104518936</v>
      </c>
      <c r="C38" s="11">
        <f>(1016+87)/10916</f>
        <v>0.1010443386</v>
      </c>
      <c r="D38" s="11">
        <f>(1056+81)/11903</f>
        <v>0.09552213728</v>
      </c>
      <c r="E38" s="11">
        <f>(888+42)/11084</f>
        <v>0.08390472754</v>
      </c>
      <c r="F38" s="11">
        <f>(1033+37)/12897</f>
        <v>0.08296503063</v>
      </c>
      <c r="G38" s="11">
        <f>(1571+48)/15621</f>
        <v>0.1036425325</v>
      </c>
      <c r="H38" s="11">
        <f>(1927+44)/19070</f>
        <v>0.1033560566</v>
      </c>
      <c r="I38" s="11">
        <f>(2105+149)/20010</f>
        <v>0.1126436782</v>
      </c>
      <c r="J38" s="11">
        <f>(1233+181)/20602</f>
        <v>0.06863411319</v>
      </c>
      <c r="K38" s="11">
        <f>(2932+195)/27210</f>
        <v>0.1149209849</v>
      </c>
    </row>
    <row r="39" ht="15.75" customHeight="1">
      <c r="A39" s="2" t="s">
        <v>21</v>
      </c>
      <c r="B39" s="2">
        <v>172.13</v>
      </c>
      <c r="C39" s="2">
        <v>178.74</v>
      </c>
      <c r="D39" s="2">
        <v>202.7</v>
      </c>
      <c r="E39" s="2">
        <v>176.65</v>
      </c>
      <c r="F39" s="2">
        <v>155.05</v>
      </c>
      <c r="G39" s="2">
        <v>166.24</v>
      </c>
      <c r="H39" s="2">
        <v>166.26</v>
      </c>
      <c r="I39" s="2">
        <v>151.72</v>
      </c>
      <c r="J39" s="2">
        <v>129.89</v>
      </c>
      <c r="K39" s="2">
        <v>135.11</v>
      </c>
    </row>
    <row r="40" ht="15.75" customHeight="1">
      <c r="A40" s="2" t="s">
        <v>22</v>
      </c>
      <c r="B40" s="17">
        <f>5876/89</f>
        <v>66.02247191</v>
      </c>
      <c r="C40" s="17">
        <f>6107/89</f>
        <v>68.61797753</v>
      </c>
      <c r="D40" s="17">
        <f>5872/89</f>
        <v>65.97752809</v>
      </c>
      <c r="E40" s="17">
        <f>6308/89</f>
        <v>70.87640449</v>
      </c>
      <c r="F40" s="17">
        <f>8318/89</f>
        <v>93.46067416</v>
      </c>
      <c r="G40" s="17">
        <f>9396/89</f>
        <v>105.5730337</v>
      </c>
      <c r="H40" s="17">
        <f>11470/89</f>
        <v>128.8764045</v>
      </c>
      <c r="I40" s="17">
        <f>13188/89</f>
        <v>148.1797753</v>
      </c>
      <c r="J40" s="17">
        <f>15860/89</f>
        <v>178.2022472</v>
      </c>
      <c r="K40" s="17">
        <f>20137/89</f>
        <v>226.258427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1">
    <mergeCell ref="D1:F1"/>
  </mergeCells>
  <printOptions/>
  <pageMargins bottom="0.75" footer="0.0" header="0.0" left="0.7" right="0.7" top="0.75"/>
  <pageSetup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2.14"/>
    <col customWidth="1" min="2" max="2" width="17.43"/>
  </cols>
  <sheetData>
    <row r="1">
      <c r="F1" s="18" t="s">
        <v>23</v>
      </c>
    </row>
    <row r="4">
      <c r="B4" s="19"/>
      <c r="C4" s="20">
        <v>41334.0</v>
      </c>
      <c r="D4" s="20">
        <v>41699.0</v>
      </c>
      <c r="E4" s="20">
        <v>42064.0</v>
      </c>
      <c r="F4" s="21">
        <v>42430.0</v>
      </c>
      <c r="G4" s="20">
        <v>42795.0</v>
      </c>
      <c r="H4" s="20">
        <v>43160.0</v>
      </c>
      <c r="I4" s="20">
        <v>43525.0</v>
      </c>
      <c r="J4" s="20">
        <v>43891.0</v>
      </c>
      <c r="K4" s="20">
        <v>44256.0</v>
      </c>
      <c r="L4" s="20">
        <v>44621.0</v>
      </c>
    </row>
    <row r="5">
      <c r="B5" s="22" t="s">
        <v>24</v>
      </c>
      <c r="C5" s="23">
        <v>89.0</v>
      </c>
      <c r="D5" s="23">
        <v>89.0</v>
      </c>
      <c r="E5" s="23">
        <v>89.0</v>
      </c>
      <c r="F5" s="24">
        <v>89.0</v>
      </c>
      <c r="G5" s="23">
        <v>89.0</v>
      </c>
      <c r="H5" s="23">
        <v>89.0</v>
      </c>
      <c r="I5" s="23">
        <v>89.0</v>
      </c>
      <c r="J5" s="23">
        <v>89.0</v>
      </c>
      <c r="K5" s="23">
        <v>89.0</v>
      </c>
      <c r="L5" s="23">
        <v>89.0</v>
      </c>
    </row>
    <row r="6">
      <c r="B6" s="25" t="s">
        <v>25</v>
      </c>
      <c r="C6" s="23">
        <v>1876.0</v>
      </c>
      <c r="D6" s="23">
        <v>2435.0</v>
      </c>
      <c r="E6" s="23">
        <v>3003.0</v>
      </c>
      <c r="F6" s="23">
        <v>3446.0</v>
      </c>
      <c r="G6" s="23">
        <v>4223.0</v>
      </c>
      <c r="H6" s="23">
        <v>5105.0</v>
      </c>
      <c r="I6" s="23">
        <v>6093.0</v>
      </c>
      <c r="J6" s="23">
        <v>6736.0</v>
      </c>
      <c r="K6" s="23">
        <v>7464.0</v>
      </c>
      <c r="L6" s="23">
        <v>9284.0</v>
      </c>
    </row>
    <row r="7">
      <c r="B7" s="25" t="s">
        <v>26</v>
      </c>
      <c r="C7" s="23">
        <v>0.0</v>
      </c>
      <c r="D7" s="23">
        <v>806.0</v>
      </c>
      <c r="E7" s="23">
        <v>100.0</v>
      </c>
      <c r="F7" s="26">
        <v>113.0</v>
      </c>
      <c r="G7" s="23">
        <v>1867.0</v>
      </c>
      <c r="H7" s="23">
        <v>1604.0</v>
      </c>
      <c r="I7" s="23">
        <v>2288.0</v>
      </c>
      <c r="J7" s="23">
        <v>3269.0</v>
      </c>
      <c r="K7" s="23">
        <v>5243.0</v>
      </c>
      <c r="L7" s="23">
        <v>6610.0</v>
      </c>
    </row>
    <row r="8">
      <c r="B8" s="22" t="s">
        <v>27</v>
      </c>
      <c r="C8" s="23">
        <v>3911.0</v>
      </c>
      <c r="D8" s="23">
        <v>2777.0</v>
      </c>
      <c r="E8" s="23">
        <v>2680.0</v>
      </c>
      <c r="F8" s="23">
        <v>2661.0</v>
      </c>
      <c r="G8" s="23">
        <v>2138.0</v>
      </c>
      <c r="H8" s="23">
        <v>2599.0</v>
      </c>
      <c r="I8" s="23">
        <v>3000.0</v>
      </c>
      <c r="J8" s="23">
        <v>3094.0</v>
      </c>
      <c r="K8" s="23">
        <v>3064.0</v>
      </c>
      <c r="L8" s="23">
        <v>4154.0</v>
      </c>
    </row>
    <row r="9">
      <c r="B9" s="25" t="s">
        <v>28</v>
      </c>
      <c r="C9" s="23">
        <v>5876.0</v>
      </c>
      <c r="D9" s="23">
        <v>6107.0</v>
      </c>
      <c r="E9" s="23">
        <v>5872.0</v>
      </c>
      <c r="F9" s="23">
        <v>6308.0</v>
      </c>
      <c r="G9" s="23">
        <v>8318.0</v>
      </c>
      <c r="H9" s="23">
        <v>9396.0</v>
      </c>
      <c r="I9" s="23">
        <v>11470.0</v>
      </c>
      <c r="J9" s="23">
        <v>13188.0</v>
      </c>
      <c r="K9" s="23">
        <v>15860.0</v>
      </c>
      <c r="L9" s="23">
        <v>20137.0</v>
      </c>
    </row>
    <row r="10">
      <c r="B10" s="22" t="s">
        <v>29</v>
      </c>
      <c r="C10" s="26">
        <v>449.0</v>
      </c>
      <c r="D10" s="26">
        <v>596.0</v>
      </c>
      <c r="E10" s="26">
        <v>683.0</v>
      </c>
      <c r="F10" s="26">
        <v>654.0</v>
      </c>
      <c r="G10" s="26">
        <v>707.0</v>
      </c>
      <c r="H10" s="26">
        <v>974.0</v>
      </c>
      <c r="I10" s="23">
        <v>1069.0</v>
      </c>
      <c r="J10" s="23">
        <v>2053.0</v>
      </c>
      <c r="K10" s="23">
        <v>1959.0</v>
      </c>
      <c r="L10" s="23">
        <v>1935.0</v>
      </c>
    </row>
    <row r="11">
      <c r="B11" s="25" t="s">
        <v>30</v>
      </c>
      <c r="C11" s="26">
        <v>42.0</v>
      </c>
      <c r="D11" s="26">
        <v>33.0</v>
      </c>
      <c r="E11" s="26">
        <v>55.0</v>
      </c>
      <c r="F11" s="26">
        <v>77.0</v>
      </c>
      <c r="G11" s="26">
        <v>148.0</v>
      </c>
      <c r="H11" s="26">
        <v>41.0</v>
      </c>
      <c r="I11" s="26">
        <v>26.0</v>
      </c>
      <c r="J11" s="26">
        <v>14.0</v>
      </c>
      <c r="K11" s="26">
        <v>25.0</v>
      </c>
      <c r="L11" s="26">
        <v>60.0</v>
      </c>
    </row>
    <row r="12">
      <c r="B12" s="25" t="s">
        <v>31</v>
      </c>
      <c r="C12" s="23">
        <v>19.0</v>
      </c>
      <c r="D12" s="23">
        <v>27.0</v>
      </c>
      <c r="E12" s="23">
        <v>33.0</v>
      </c>
      <c r="F12" s="26">
        <v>90.0</v>
      </c>
      <c r="G12" s="23">
        <v>886.0</v>
      </c>
      <c r="H12" s="23">
        <v>734.0</v>
      </c>
      <c r="I12" s="23">
        <v>876.0</v>
      </c>
      <c r="J12" s="23">
        <v>983.0</v>
      </c>
      <c r="K12" s="23">
        <v>3512.0</v>
      </c>
      <c r="L12" s="23">
        <v>884.0</v>
      </c>
    </row>
    <row r="13">
      <c r="B13" s="22" t="s">
        <v>32</v>
      </c>
      <c r="C13" s="23">
        <v>5367.0</v>
      </c>
      <c r="D13" s="23">
        <v>5451.0</v>
      </c>
      <c r="E13" s="23">
        <v>5101.0</v>
      </c>
      <c r="F13" s="23">
        <v>5487.0</v>
      </c>
      <c r="G13" s="23">
        <v>6576.0</v>
      </c>
      <c r="H13" s="23">
        <v>7648.0</v>
      </c>
      <c r="I13" s="23">
        <v>9499.0</v>
      </c>
      <c r="J13" s="23">
        <v>10138.0</v>
      </c>
      <c r="K13" s="23">
        <v>10364.0</v>
      </c>
      <c r="L13" s="23">
        <v>17258.0</v>
      </c>
    </row>
    <row r="14">
      <c r="B14" s="25" t="s">
        <v>33</v>
      </c>
      <c r="C14" s="23">
        <v>5876.0</v>
      </c>
      <c r="D14" s="23">
        <v>6107.0</v>
      </c>
      <c r="E14" s="23">
        <v>5872.0</v>
      </c>
      <c r="F14" s="23">
        <v>6308.0</v>
      </c>
      <c r="G14" s="23">
        <v>8318.0</v>
      </c>
      <c r="H14" s="23">
        <v>9396.0</v>
      </c>
      <c r="I14" s="23">
        <v>11470.0</v>
      </c>
      <c r="J14" s="23">
        <v>13188.0</v>
      </c>
      <c r="K14" s="23">
        <v>15860.0</v>
      </c>
      <c r="L14" s="23">
        <v>20137.0</v>
      </c>
    </row>
    <row r="15"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>
      <c r="B16" s="27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>
      <c r="B17" s="30"/>
      <c r="C17" s="20">
        <v>40603.0</v>
      </c>
      <c r="D17" s="20">
        <v>40969.0</v>
      </c>
      <c r="E17" s="20">
        <v>41334.0</v>
      </c>
      <c r="F17" s="20">
        <v>41699.0</v>
      </c>
      <c r="G17" s="20">
        <v>42064.0</v>
      </c>
      <c r="H17" s="20">
        <v>42430.0</v>
      </c>
      <c r="I17" s="20">
        <v>42795.0</v>
      </c>
      <c r="J17" s="20">
        <v>43160.0</v>
      </c>
      <c r="K17" s="20">
        <v>43525.0</v>
      </c>
      <c r="L17" s="20">
        <v>43891.0</v>
      </c>
      <c r="M17" s="31">
        <v>44256.0</v>
      </c>
      <c r="N17" s="31">
        <v>44621.0</v>
      </c>
    </row>
    <row r="18">
      <c r="B18" s="22" t="s">
        <v>34</v>
      </c>
      <c r="C18" s="23">
        <v>6521.0</v>
      </c>
      <c r="D18" s="23">
        <v>8838.0</v>
      </c>
      <c r="E18" s="23">
        <v>10113.0</v>
      </c>
      <c r="F18" s="23">
        <v>10916.0</v>
      </c>
      <c r="G18" s="23">
        <v>11903.0</v>
      </c>
      <c r="H18" s="23">
        <v>11084.0</v>
      </c>
      <c r="I18" s="23">
        <v>12897.0</v>
      </c>
      <c r="J18" s="23">
        <v>15621.0</v>
      </c>
      <c r="K18" s="23">
        <v>19070.0</v>
      </c>
      <c r="L18" s="23">
        <v>20010.0</v>
      </c>
      <c r="M18" s="32">
        <v>20602.0</v>
      </c>
      <c r="N18" s="32">
        <v>27210.0</v>
      </c>
    </row>
    <row r="19">
      <c r="B19" s="22" t="s">
        <v>35</v>
      </c>
      <c r="C19" s="23">
        <v>5907.0</v>
      </c>
      <c r="D19" s="23">
        <v>8003.0</v>
      </c>
      <c r="E19" s="23">
        <v>9100.0</v>
      </c>
      <c r="F19" s="23">
        <v>9864.0</v>
      </c>
      <c r="G19" s="23">
        <v>10746.0</v>
      </c>
      <c r="H19" s="23">
        <v>10135.0</v>
      </c>
      <c r="I19" s="23">
        <v>11693.0</v>
      </c>
      <c r="J19" s="23">
        <v>13886.0</v>
      </c>
      <c r="K19" s="23">
        <v>17064.0</v>
      </c>
      <c r="L19" s="23">
        <v>17592.0</v>
      </c>
      <c r="M19" s="32">
        <v>18896.0</v>
      </c>
      <c r="N19" s="32">
        <v>23931.0</v>
      </c>
    </row>
    <row r="20">
      <c r="B20" s="25" t="s">
        <v>36</v>
      </c>
      <c r="C20" s="26">
        <v>614.0</v>
      </c>
      <c r="D20" s="26">
        <v>835.0</v>
      </c>
      <c r="E20" s="23">
        <v>1012.0</v>
      </c>
      <c r="F20" s="23">
        <v>1051.0</v>
      </c>
      <c r="G20" s="23">
        <v>1158.0</v>
      </c>
      <c r="H20" s="26">
        <v>949.0</v>
      </c>
      <c r="I20" s="23">
        <v>1204.0</v>
      </c>
      <c r="J20" s="23">
        <v>1736.0</v>
      </c>
      <c r="K20" s="23">
        <v>2006.0</v>
      </c>
      <c r="L20" s="23">
        <v>2418.0</v>
      </c>
      <c r="M20" s="32">
        <v>1706.0</v>
      </c>
      <c r="N20" s="32">
        <v>3279.0</v>
      </c>
    </row>
    <row r="21">
      <c r="B21" s="25" t="s">
        <v>37</v>
      </c>
      <c r="C21" s="33">
        <v>0.09</v>
      </c>
      <c r="D21" s="33">
        <v>0.09</v>
      </c>
      <c r="E21" s="33">
        <v>0.1</v>
      </c>
      <c r="F21" s="33">
        <v>0.1</v>
      </c>
      <c r="G21" s="33">
        <v>0.1</v>
      </c>
      <c r="H21" s="33">
        <v>0.09</v>
      </c>
      <c r="I21" s="33">
        <v>0.09</v>
      </c>
      <c r="J21" s="33">
        <v>0.11</v>
      </c>
      <c r="K21" s="33">
        <v>0.11</v>
      </c>
      <c r="L21" s="33">
        <v>0.12</v>
      </c>
      <c r="M21" s="29">
        <v>0.08</v>
      </c>
      <c r="N21" s="29">
        <v>0.12</v>
      </c>
    </row>
    <row r="22">
      <c r="B22" s="22" t="s">
        <v>38</v>
      </c>
      <c r="C22" s="26">
        <v>54.0</v>
      </c>
      <c r="D22" s="26">
        <v>92.0</v>
      </c>
      <c r="E22" s="26">
        <v>99.0</v>
      </c>
      <c r="F22" s="26">
        <v>117.0</v>
      </c>
      <c r="G22" s="26">
        <v>66.0</v>
      </c>
      <c r="H22" s="26">
        <v>69.0</v>
      </c>
      <c r="I22" s="26">
        <v>-40.0</v>
      </c>
      <c r="J22" s="26">
        <v>-7.0</v>
      </c>
      <c r="K22" s="26">
        <v>104.0</v>
      </c>
      <c r="L22" s="26">
        <v>146.0</v>
      </c>
      <c r="M22" s="28">
        <v>39.0</v>
      </c>
      <c r="N22" s="28">
        <v>195.0</v>
      </c>
    </row>
    <row r="23">
      <c r="B23" s="25" t="s">
        <v>39</v>
      </c>
      <c r="C23" s="26">
        <v>35.0</v>
      </c>
      <c r="D23" s="26">
        <v>44.0</v>
      </c>
      <c r="E23" s="26">
        <v>51.0</v>
      </c>
      <c r="F23" s="26">
        <v>87.0</v>
      </c>
      <c r="G23" s="26">
        <v>81.0</v>
      </c>
      <c r="H23" s="26">
        <v>42.0</v>
      </c>
      <c r="I23" s="26">
        <v>37.0</v>
      </c>
      <c r="J23" s="26">
        <v>48.0</v>
      </c>
      <c r="K23" s="26">
        <v>44.0</v>
      </c>
      <c r="L23" s="26">
        <v>149.0</v>
      </c>
      <c r="M23" s="28">
        <v>181.0</v>
      </c>
      <c r="N23" s="28">
        <v>195.0</v>
      </c>
    </row>
    <row r="24">
      <c r="B24" s="25" t="s">
        <v>40</v>
      </c>
      <c r="C24" s="26">
        <v>34.0</v>
      </c>
      <c r="D24" s="26">
        <v>45.0</v>
      </c>
      <c r="E24" s="26">
        <v>54.0</v>
      </c>
      <c r="F24" s="26">
        <v>66.0</v>
      </c>
      <c r="G24" s="26">
        <v>87.0</v>
      </c>
      <c r="H24" s="26">
        <v>87.0</v>
      </c>
      <c r="I24" s="26">
        <v>93.0</v>
      </c>
      <c r="J24" s="26">
        <v>110.0</v>
      </c>
      <c r="K24" s="26">
        <v>139.0</v>
      </c>
      <c r="L24" s="26">
        <v>310.0</v>
      </c>
      <c r="M24" s="28">
        <v>331.0</v>
      </c>
      <c r="N24" s="28">
        <v>347.0</v>
      </c>
    </row>
    <row r="25">
      <c r="B25" s="25" t="s">
        <v>41</v>
      </c>
      <c r="C25" s="26">
        <v>599.0</v>
      </c>
      <c r="D25" s="26">
        <v>838.0</v>
      </c>
      <c r="E25" s="23">
        <v>1006.0</v>
      </c>
      <c r="F25" s="23">
        <v>1016.0</v>
      </c>
      <c r="G25" s="23">
        <v>1056.0</v>
      </c>
      <c r="H25" s="26">
        <v>888.0</v>
      </c>
      <c r="I25" s="23">
        <v>1033.0</v>
      </c>
      <c r="J25" s="23">
        <v>1571.0</v>
      </c>
      <c r="K25" s="23">
        <v>1927.0</v>
      </c>
      <c r="L25" s="23">
        <v>2105.0</v>
      </c>
      <c r="M25" s="32">
        <v>1233.0</v>
      </c>
      <c r="N25" s="32">
        <v>2932.0</v>
      </c>
    </row>
    <row r="26">
      <c r="B26" s="25" t="s">
        <v>42</v>
      </c>
      <c r="C26" s="33">
        <v>0.28</v>
      </c>
      <c r="D26" s="33">
        <v>0.28</v>
      </c>
      <c r="E26" s="33">
        <v>0.28</v>
      </c>
      <c r="F26" s="33">
        <v>0.27</v>
      </c>
      <c r="G26" s="33">
        <v>0.22</v>
      </c>
      <c r="H26" s="33">
        <v>0.21</v>
      </c>
      <c r="I26" s="33">
        <v>0.26</v>
      </c>
      <c r="J26" s="33">
        <v>0.26</v>
      </c>
      <c r="K26" s="33">
        <v>0.29</v>
      </c>
      <c r="L26" s="33">
        <v>0.28</v>
      </c>
      <c r="M26" s="29">
        <v>0.29</v>
      </c>
      <c r="N26" s="29">
        <v>0.26</v>
      </c>
    </row>
    <row r="27">
      <c r="B27" s="25" t="s">
        <v>43</v>
      </c>
      <c r="C27" s="26">
        <v>430.0</v>
      </c>
      <c r="D27" s="26">
        <v>600.0</v>
      </c>
      <c r="E27" s="26">
        <v>725.0</v>
      </c>
      <c r="F27" s="26">
        <v>741.0</v>
      </c>
      <c r="G27" s="26">
        <v>823.0</v>
      </c>
      <c r="H27" s="26">
        <v>698.0</v>
      </c>
      <c r="I27" s="26">
        <v>762.0</v>
      </c>
      <c r="J27" s="23">
        <v>1163.0</v>
      </c>
      <c r="K27" s="23">
        <v>1374.0</v>
      </c>
      <c r="L27" s="23">
        <v>1517.0</v>
      </c>
      <c r="M27" s="28">
        <v>877.0</v>
      </c>
      <c r="N27" s="32">
        <v>2180.0</v>
      </c>
    </row>
    <row r="28">
      <c r="B28" s="25" t="s">
        <v>44</v>
      </c>
      <c r="C28" s="26">
        <v>4.85</v>
      </c>
      <c r="D28" s="26">
        <v>6.76</v>
      </c>
      <c r="E28" s="26">
        <v>8.17</v>
      </c>
      <c r="F28" s="26">
        <v>8.35</v>
      </c>
      <c r="G28" s="26">
        <v>9.27</v>
      </c>
      <c r="H28" s="26">
        <v>7.86</v>
      </c>
      <c r="I28" s="26">
        <v>8.58</v>
      </c>
      <c r="J28" s="26">
        <v>13.1</v>
      </c>
      <c r="K28" s="26">
        <v>15.48</v>
      </c>
      <c r="L28" s="26">
        <v>17.09</v>
      </c>
      <c r="M28" s="28">
        <v>9.88</v>
      </c>
      <c r="N28" s="28">
        <v>24.56</v>
      </c>
    </row>
    <row r="29">
      <c r="B29" s="25" t="s">
        <v>45</v>
      </c>
      <c r="C29" s="33">
        <v>0.13</v>
      </c>
      <c r="D29" s="33">
        <v>0.26</v>
      </c>
      <c r="E29" s="33">
        <v>0.26</v>
      </c>
      <c r="F29" s="33">
        <v>0.25</v>
      </c>
      <c r="G29" s="33">
        <v>0.25</v>
      </c>
      <c r="H29" s="33">
        <v>0.28</v>
      </c>
      <c r="I29" s="33">
        <v>0.3</v>
      </c>
      <c r="J29" s="33">
        <v>0.29</v>
      </c>
      <c r="K29" s="33">
        <v>0.32</v>
      </c>
      <c r="L29" s="33">
        <v>0.23</v>
      </c>
      <c r="M29" s="29">
        <v>0.41</v>
      </c>
      <c r="N29" s="29">
        <v>0.31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34"/>
      <c r="B1" s="35"/>
      <c r="C1" s="36" t="s">
        <v>46</v>
      </c>
      <c r="I1" s="35"/>
      <c r="J1" s="37"/>
      <c r="K1" s="37"/>
      <c r="L1" s="37"/>
    </row>
    <row r="2">
      <c r="A2" s="34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>
      <c r="A3" s="34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>
      <c r="A4" s="34"/>
      <c r="B4" s="38" t="s">
        <v>47</v>
      </c>
      <c r="C4" s="39"/>
      <c r="D4" s="39"/>
      <c r="E4" s="39"/>
      <c r="F4" s="39"/>
      <c r="G4" s="39"/>
      <c r="H4" s="39"/>
      <c r="I4" s="39"/>
      <c r="J4" s="39"/>
      <c r="K4" s="37"/>
      <c r="L4" s="37"/>
    </row>
    <row r="5">
      <c r="A5" s="40" t="s">
        <v>48</v>
      </c>
      <c r="B5" s="41">
        <v>44632.0</v>
      </c>
      <c r="C5" s="41">
        <v>44633.0</v>
      </c>
      <c r="D5" s="41">
        <v>44634.0</v>
      </c>
      <c r="E5" s="41">
        <v>44635.0</v>
      </c>
      <c r="F5" s="41">
        <v>44636.0</v>
      </c>
      <c r="G5" s="41">
        <v>44637.0</v>
      </c>
      <c r="H5" s="41">
        <v>44638.0</v>
      </c>
      <c r="I5" s="41">
        <v>44639.0</v>
      </c>
      <c r="J5" s="41">
        <v>44640.0</v>
      </c>
      <c r="K5" s="42">
        <v>44641.0</v>
      </c>
      <c r="L5" s="42">
        <v>44642.0</v>
      </c>
    </row>
    <row r="6">
      <c r="A6" s="43" t="s">
        <v>49</v>
      </c>
      <c r="B6" s="44">
        <v>822.0</v>
      </c>
      <c r="C6" s="44">
        <v>936.0</v>
      </c>
      <c r="D6" s="45">
        <v>1242.0</v>
      </c>
      <c r="E6" s="45">
        <v>1358.0</v>
      </c>
      <c r="F6" s="45">
        <v>1583.0</v>
      </c>
      <c r="G6" s="45">
        <v>1717.0</v>
      </c>
      <c r="H6" s="45">
        <v>2066.0</v>
      </c>
      <c r="I6" s="45">
        <v>2532.0</v>
      </c>
      <c r="J6" s="45">
        <v>3178.0</v>
      </c>
      <c r="K6" s="45">
        <v>2048.0</v>
      </c>
      <c r="L6" s="45">
        <v>3881.0</v>
      </c>
    </row>
    <row r="7">
      <c r="A7" s="43" t="s">
        <v>50</v>
      </c>
      <c r="B7" s="44">
        <v>827.0</v>
      </c>
      <c r="C7" s="44">
        <v>878.0</v>
      </c>
      <c r="D7" s="45">
        <v>1247.0</v>
      </c>
      <c r="E7" s="45">
        <v>1289.0</v>
      </c>
      <c r="F7" s="45">
        <v>1476.0</v>
      </c>
      <c r="G7" s="45">
        <v>1577.0</v>
      </c>
      <c r="H7" s="45">
        <v>1836.0</v>
      </c>
      <c r="I7" s="45">
        <v>2271.0</v>
      </c>
      <c r="J7" s="45">
        <v>2601.0</v>
      </c>
      <c r="K7" s="45">
        <v>1834.0</v>
      </c>
      <c r="L7" s="45">
        <v>3247.0</v>
      </c>
    </row>
    <row r="8">
      <c r="A8" s="46" t="s">
        <v>36</v>
      </c>
      <c r="B8" s="47">
        <v>-5.0</v>
      </c>
      <c r="C8" s="47">
        <v>58.0</v>
      </c>
      <c r="D8" s="47">
        <v>-5.0</v>
      </c>
      <c r="E8" s="47">
        <v>69.0</v>
      </c>
      <c r="F8" s="47">
        <v>107.0</v>
      </c>
      <c r="G8" s="47">
        <v>139.0</v>
      </c>
      <c r="H8" s="47">
        <v>230.0</v>
      </c>
      <c r="I8" s="47">
        <v>260.0</v>
      </c>
      <c r="J8" s="47">
        <v>577.0</v>
      </c>
      <c r="K8" s="47">
        <v>214.0</v>
      </c>
      <c r="L8" s="47">
        <v>634.0</v>
      </c>
    </row>
    <row r="9">
      <c r="A9" s="43" t="s">
        <v>37</v>
      </c>
      <c r="B9" s="48">
        <v>-0.01</v>
      </c>
      <c r="C9" s="48">
        <v>0.06</v>
      </c>
      <c r="D9" s="48">
        <v>0.0</v>
      </c>
      <c r="E9" s="48">
        <v>0.05</v>
      </c>
      <c r="F9" s="48">
        <v>0.07</v>
      </c>
      <c r="G9" s="48">
        <v>0.08</v>
      </c>
      <c r="H9" s="48">
        <v>0.11</v>
      </c>
      <c r="I9" s="48">
        <v>0.1</v>
      </c>
      <c r="J9" s="48">
        <v>0.18</v>
      </c>
      <c r="K9" s="48">
        <v>0.1</v>
      </c>
      <c r="L9" s="48">
        <v>0.16</v>
      </c>
    </row>
    <row r="10">
      <c r="A10" s="43" t="s">
        <v>51</v>
      </c>
      <c r="B10" s="44">
        <v>79.0</v>
      </c>
      <c r="C10" s="44">
        <v>54.0</v>
      </c>
      <c r="D10" s="44">
        <v>115.0</v>
      </c>
      <c r="E10" s="44">
        <v>127.0</v>
      </c>
      <c r="F10" s="44">
        <v>84.0</v>
      </c>
      <c r="G10" s="44">
        <v>78.0</v>
      </c>
      <c r="H10" s="44">
        <v>26.0</v>
      </c>
      <c r="I10" s="44">
        <v>25.0</v>
      </c>
      <c r="J10" s="44">
        <v>154.0</v>
      </c>
      <c r="K10" s="44">
        <v>197.0</v>
      </c>
      <c r="L10" s="44">
        <v>266.0</v>
      </c>
    </row>
    <row r="11">
      <c r="A11" s="43" t="s">
        <v>39</v>
      </c>
      <c r="B11" s="49">
        <v>91.0</v>
      </c>
      <c r="C11" s="49">
        <v>66.0</v>
      </c>
      <c r="D11" s="49">
        <v>127.0</v>
      </c>
      <c r="E11" s="49">
        <v>139.0</v>
      </c>
      <c r="F11" s="49">
        <v>97.0</v>
      </c>
      <c r="G11" s="49">
        <v>90.0</v>
      </c>
      <c r="H11" s="49">
        <v>38.0</v>
      </c>
      <c r="I11" s="49">
        <v>38.0</v>
      </c>
      <c r="J11" s="49">
        <v>165.0</v>
      </c>
      <c r="K11" s="49">
        <v>208.0</v>
      </c>
      <c r="L11" s="49">
        <v>278.0</v>
      </c>
    </row>
    <row r="12">
      <c r="A12" s="43" t="s">
        <v>40</v>
      </c>
      <c r="B12" s="44">
        <v>16.0</v>
      </c>
      <c r="C12" s="44">
        <v>17.0</v>
      </c>
      <c r="D12" s="44">
        <v>26.0</v>
      </c>
      <c r="E12" s="44">
        <v>40.0</v>
      </c>
      <c r="F12" s="44">
        <v>35.0</v>
      </c>
      <c r="G12" s="44">
        <v>38.0</v>
      </c>
      <c r="H12" s="44">
        <v>42.0</v>
      </c>
      <c r="I12" s="44">
        <v>46.0</v>
      </c>
      <c r="J12" s="44">
        <v>231.0</v>
      </c>
      <c r="K12" s="44">
        <v>236.0</v>
      </c>
      <c r="L12" s="44">
        <v>283.0</v>
      </c>
    </row>
    <row r="13">
      <c r="A13" s="46" t="s">
        <v>41</v>
      </c>
      <c r="B13" s="47">
        <v>45.0</v>
      </c>
      <c r="C13" s="47">
        <v>81.0</v>
      </c>
      <c r="D13" s="47">
        <v>68.0</v>
      </c>
      <c r="E13" s="47">
        <v>139.0</v>
      </c>
      <c r="F13" s="47">
        <v>109.0</v>
      </c>
      <c r="G13" s="47">
        <v>135.0</v>
      </c>
      <c r="H13" s="47">
        <v>172.0</v>
      </c>
      <c r="I13" s="47">
        <v>189.0</v>
      </c>
      <c r="J13" s="47">
        <v>246.0</v>
      </c>
      <c r="K13" s="47">
        <v>-72.0</v>
      </c>
      <c r="L13" s="47">
        <v>323.0</v>
      </c>
    </row>
    <row r="14">
      <c r="A14" s="43" t="s">
        <v>42</v>
      </c>
      <c r="B14" s="48">
        <v>-0.06</v>
      </c>
      <c r="C14" s="48">
        <v>0.23</v>
      </c>
      <c r="D14" s="48">
        <v>0.21</v>
      </c>
      <c r="E14" s="48">
        <v>0.28</v>
      </c>
      <c r="F14" s="48">
        <v>0.21</v>
      </c>
      <c r="G14" s="48">
        <v>0.21</v>
      </c>
      <c r="H14" s="48">
        <v>0.32</v>
      </c>
      <c r="I14" s="48">
        <v>0.33</v>
      </c>
      <c r="J14" s="48">
        <v>0.37</v>
      </c>
      <c r="K14" s="48">
        <v>0.29</v>
      </c>
      <c r="L14" s="48">
        <v>0.23</v>
      </c>
    </row>
    <row r="15">
      <c r="A15" s="46" t="s">
        <v>43</v>
      </c>
      <c r="B15" s="47">
        <v>47.0</v>
      </c>
      <c r="C15" s="47">
        <v>62.0</v>
      </c>
      <c r="D15" s="47">
        <v>54.0</v>
      </c>
      <c r="E15" s="47">
        <v>100.0</v>
      </c>
      <c r="F15" s="47">
        <v>87.0</v>
      </c>
      <c r="G15" s="47">
        <v>107.0</v>
      </c>
      <c r="H15" s="47">
        <v>117.0</v>
      </c>
      <c r="I15" s="47">
        <v>127.0</v>
      </c>
      <c r="J15" s="47">
        <v>155.0</v>
      </c>
      <c r="K15" s="47">
        <v>-51.0</v>
      </c>
      <c r="L15" s="47">
        <v>249.0</v>
      </c>
    </row>
    <row r="16">
      <c r="A16" s="43" t="s">
        <v>44</v>
      </c>
      <c r="B16" s="44">
        <v>1.73</v>
      </c>
      <c r="C16" s="44">
        <v>1.87</v>
      </c>
      <c r="D16" s="44">
        <v>1.63</v>
      </c>
      <c r="E16" s="44">
        <v>3.01</v>
      </c>
      <c r="F16" s="44">
        <v>2.6</v>
      </c>
      <c r="G16" s="44">
        <v>3.22</v>
      </c>
      <c r="H16" s="44">
        <v>3.51</v>
      </c>
      <c r="I16" s="44">
        <v>3.84</v>
      </c>
      <c r="J16" s="44">
        <v>4.35</v>
      </c>
      <c r="K16" s="44">
        <v>-1.44</v>
      </c>
      <c r="L16" s="44">
        <v>6.99</v>
      </c>
    </row>
    <row r="17">
      <c r="A17" s="43" t="s">
        <v>45</v>
      </c>
      <c r="B17" s="48">
        <v>0.37</v>
      </c>
      <c r="C17" s="48">
        <v>0.37</v>
      </c>
      <c r="D17" s="48">
        <v>0.43</v>
      </c>
      <c r="E17" s="48">
        <v>0.33</v>
      </c>
      <c r="F17" s="48">
        <v>0.35</v>
      </c>
      <c r="G17" s="48">
        <v>0.31</v>
      </c>
      <c r="H17" s="48">
        <v>0.33</v>
      </c>
      <c r="I17" s="48">
        <v>0.34</v>
      </c>
      <c r="J17" s="48">
        <v>0.23</v>
      </c>
      <c r="K17" s="48">
        <v>-0.42</v>
      </c>
      <c r="L17" s="48">
        <v>0.24</v>
      </c>
    </row>
    <row r="18">
      <c r="A18" s="34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</row>
    <row r="19">
      <c r="A19" s="34"/>
      <c r="B19" s="38" t="s">
        <v>52</v>
      </c>
      <c r="C19" s="39"/>
      <c r="D19" s="39"/>
      <c r="E19" s="39"/>
      <c r="F19" s="39"/>
      <c r="G19" s="39"/>
      <c r="H19" s="39"/>
      <c r="I19" s="39"/>
      <c r="J19" s="39"/>
      <c r="K19" s="37"/>
      <c r="L19" s="37"/>
    </row>
    <row r="20">
      <c r="A20" s="40" t="s">
        <v>48</v>
      </c>
      <c r="B20" s="41">
        <v>44632.0</v>
      </c>
      <c r="C20" s="41">
        <v>44633.0</v>
      </c>
      <c r="D20" s="41">
        <v>44634.0</v>
      </c>
      <c r="E20" s="41">
        <v>44635.0</v>
      </c>
      <c r="F20" s="41">
        <v>44636.0</v>
      </c>
      <c r="G20" s="41">
        <v>44637.0</v>
      </c>
      <c r="H20" s="41">
        <v>44638.0</v>
      </c>
      <c r="I20" s="41">
        <v>44639.0</v>
      </c>
      <c r="J20" s="41">
        <v>44640.0</v>
      </c>
      <c r="K20" s="42">
        <v>44641.0</v>
      </c>
      <c r="L20" s="42">
        <v>44642.0</v>
      </c>
    </row>
    <row r="21">
      <c r="A21" s="43" t="s">
        <v>53</v>
      </c>
      <c r="B21" s="50">
        <v>39.0</v>
      </c>
      <c r="C21" s="50">
        <v>40.0</v>
      </c>
      <c r="D21" s="50">
        <v>33.0</v>
      </c>
      <c r="E21" s="50">
        <v>33.0</v>
      </c>
      <c r="F21" s="50">
        <v>33.0</v>
      </c>
      <c r="G21" s="50">
        <v>33.0</v>
      </c>
      <c r="H21" s="50">
        <v>33.0</v>
      </c>
      <c r="I21" s="50">
        <v>33.0</v>
      </c>
      <c r="J21" s="50">
        <v>36.0</v>
      </c>
      <c r="K21" s="50">
        <v>36.0</v>
      </c>
      <c r="L21" s="50">
        <v>36.0</v>
      </c>
    </row>
    <row r="22">
      <c r="A22" s="43" t="s">
        <v>25</v>
      </c>
      <c r="B22" s="51">
        <v>1315.0</v>
      </c>
      <c r="C22" s="51">
        <v>1499.0</v>
      </c>
      <c r="D22" s="51">
        <v>1283.0</v>
      </c>
      <c r="E22" s="51">
        <v>1339.0</v>
      </c>
      <c r="F22" s="51">
        <v>1400.0</v>
      </c>
      <c r="G22" s="51">
        <v>1508.0</v>
      </c>
      <c r="H22" s="51">
        <v>1584.0</v>
      </c>
      <c r="I22" s="51">
        <v>1664.0</v>
      </c>
      <c r="J22" s="51">
        <v>2463.0</v>
      </c>
      <c r="K22" s="51">
        <v>2480.0</v>
      </c>
      <c r="L22" s="51">
        <v>2684.0</v>
      </c>
    </row>
    <row r="23">
      <c r="A23" s="43" t="s">
        <v>26</v>
      </c>
      <c r="B23" s="50">
        <v>240.0</v>
      </c>
      <c r="C23" s="50">
        <v>225.0</v>
      </c>
      <c r="D23" s="50">
        <v>225.0</v>
      </c>
      <c r="E23" s="50">
        <v>225.0</v>
      </c>
      <c r="F23" s="50">
        <v>396.0</v>
      </c>
      <c r="G23" s="50">
        <v>392.0</v>
      </c>
      <c r="H23" s="50">
        <v>391.0</v>
      </c>
      <c r="I23" s="50">
        <v>494.0</v>
      </c>
      <c r="J23" s="50">
        <v>300.0</v>
      </c>
      <c r="K23" s="50">
        <v>300.0</v>
      </c>
      <c r="L23" s="51">
        <v>4581.0</v>
      </c>
    </row>
    <row r="24">
      <c r="A24" s="43" t="s">
        <v>54</v>
      </c>
      <c r="B24" s="50">
        <v>304.0</v>
      </c>
      <c r="C24" s="50">
        <v>320.0</v>
      </c>
      <c r="D24" s="50">
        <v>361.0</v>
      </c>
      <c r="E24" s="50">
        <v>365.0</v>
      </c>
      <c r="F24" s="50">
        <v>254.0</v>
      </c>
      <c r="G24" s="50">
        <v>255.0</v>
      </c>
      <c r="H24" s="50">
        <v>306.0</v>
      </c>
      <c r="I24" s="50">
        <v>370.0</v>
      </c>
      <c r="J24" s="51">
        <v>2596.0</v>
      </c>
      <c r="K24" s="51">
        <v>2891.0</v>
      </c>
      <c r="L24" s="50">
        <v>511.0</v>
      </c>
    </row>
    <row r="25">
      <c r="A25" s="46" t="s">
        <v>28</v>
      </c>
      <c r="B25" s="52">
        <v>1887.0</v>
      </c>
      <c r="C25" s="52">
        <v>2077.0</v>
      </c>
      <c r="D25" s="52">
        <v>1902.0</v>
      </c>
      <c r="E25" s="52">
        <v>1962.0</v>
      </c>
      <c r="F25" s="52">
        <v>2083.0</v>
      </c>
      <c r="G25" s="52">
        <v>2188.0</v>
      </c>
      <c r="H25" s="52">
        <v>2314.0</v>
      </c>
      <c r="I25" s="52">
        <v>2561.0</v>
      </c>
      <c r="J25" s="52">
        <v>5395.0</v>
      </c>
      <c r="K25" s="52">
        <v>5707.0</v>
      </c>
      <c r="L25" s="52">
        <v>7812.0</v>
      </c>
    </row>
    <row r="26">
      <c r="A26" s="43" t="s">
        <v>55</v>
      </c>
      <c r="B26" s="50">
        <v>284.0</v>
      </c>
      <c r="C26" s="50">
        <v>283.0</v>
      </c>
      <c r="D26" s="50">
        <v>343.0</v>
      </c>
      <c r="E26" s="50">
        <v>388.0</v>
      </c>
      <c r="F26" s="50">
        <v>416.0</v>
      </c>
      <c r="G26" s="50">
        <v>490.0</v>
      </c>
      <c r="H26" s="50">
        <v>578.0</v>
      </c>
      <c r="I26" s="50">
        <v>627.0</v>
      </c>
      <c r="J26" s="51">
        <v>2618.0</v>
      </c>
      <c r="K26" s="51">
        <v>2923.0</v>
      </c>
      <c r="L26" s="51">
        <v>4508.0</v>
      </c>
    </row>
    <row r="27">
      <c r="A27" s="43" t="s">
        <v>30</v>
      </c>
      <c r="B27" s="50">
        <v>21.0</v>
      </c>
      <c r="C27" s="50">
        <v>26.0</v>
      </c>
      <c r="D27" s="50">
        <v>36.0</v>
      </c>
      <c r="E27" s="50">
        <v>46.0</v>
      </c>
      <c r="F27" s="50">
        <v>54.0</v>
      </c>
      <c r="G27" s="50">
        <v>5.0</v>
      </c>
      <c r="H27" s="50">
        <v>10.0</v>
      </c>
      <c r="I27" s="50">
        <v>85.0</v>
      </c>
      <c r="J27" s="50">
        <v>23.0</v>
      </c>
      <c r="K27" s="50">
        <v>34.0</v>
      </c>
      <c r="L27" s="50">
        <v>45.0</v>
      </c>
    </row>
    <row r="28">
      <c r="A28" s="43" t="s">
        <v>31</v>
      </c>
      <c r="B28" s="50">
        <v>705.0</v>
      </c>
      <c r="C28" s="51">
        <v>1040.0</v>
      </c>
      <c r="D28" s="50">
        <v>862.0</v>
      </c>
      <c r="E28" s="51">
        <v>1037.0</v>
      </c>
      <c r="F28" s="51">
        <v>1086.0</v>
      </c>
      <c r="G28" s="51">
        <v>1113.0</v>
      </c>
      <c r="H28" s="51">
        <v>1052.0</v>
      </c>
      <c r="I28" s="50">
        <v>941.0</v>
      </c>
      <c r="J28" s="51">
        <v>1607.0</v>
      </c>
      <c r="K28" s="51">
        <v>1729.0</v>
      </c>
      <c r="L28" s="51">
        <v>1724.0</v>
      </c>
    </row>
    <row r="29">
      <c r="A29" s="43" t="s">
        <v>56</v>
      </c>
      <c r="B29" s="50">
        <v>877.0</v>
      </c>
      <c r="C29" s="50">
        <v>728.0</v>
      </c>
      <c r="D29" s="50">
        <v>661.0</v>
      </c>
      <c r="E29" s="50">
        <v>491.0</v>
      </c>
      <c r="F29" s="50">
        <v>528.0</v>
      </c>
      <c r="G29" s="50">
        <v>579.0</v>
      </c>
      <c r="H29" s="50">
        <v>675.0</v>
      </c>
      <c r="I29" s="50">
        <v>907.0</v>
      </c>
      <c r="J29" s="51">
        <v>1147.0</v>
      </c>
      <c r="K29" s="51">
        <v>1021.0</v>
      </c>
      <c r="L29" s="51">
        <v>1535.0</v>
      </c>
    </row>
    <row r="30">
      <c r="A30" s="46" t="s">
        <v>33</v>
      </c>
      <c r="B30" s="52">
        <v>1887.0</v>
      </c>
      <c r="C30" s="52">
        <v>2077.0</v>
      </c>
      <c r="D30" s="52">
        <v>1902.0</v>
      </c>
      <c r="E30" s="52">
        <v>1962.0</v>
      </c>
      <c r="F30" s="52">
        <v>2083.0</v>
      </c>
      <c r="G30" s="52">
        <v>2188.0</v>
      </c>
      <c r="H30" s="52">
        <v>2314.0</v>
      </c>
      <c r="I30" s="52">
        <v>2561.0</v>
      </c>
      <c r="J30" s="52">
        <v>5395.0</v>
      </c>
      <c r="K30" s="52">
        <v>5707.0</v>
      </c>
      <c r="L30" s="52">
        <v>7812.0</v>
      </c>
    </row>
    <row r="31">
      <c r="A31" s="34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</row>
    <row r="32">
      <c r="A32" s="53" t="s">
        <v>57</v>
      </c>
      <c r="B32" s="54">
        <v>179.0</v>
      </c>
      <c r="C32" s="54">
        <v>185.0</v>
      </c>
      <c r="D32" s="54">
        <v>265.0</v>
      </c>
      <c r="E32" s="54">
        <v>250.0</v>
      </c>
      <c r="F32" s="54">
        <v>270.0</v>
      </c>
      <c r="G32" s="54">
        <v>298.0</v>
      </c>
      <c r="H32" s="54">
        <v>339.0</v>
      </c>
      <c r="I32" s="54">
        <v>489.0</v>
      </c>
      <c r="J32" s="54">
        <v>587.0</v>
      </c>
      <c r="K32" s="54">
        <v>395.0</v>
      </c>
      <c r="L32" s="54">
        <v>822.0</v>
      </c>
    </row>
    <row r="33">
      <c r="A33" s="43" t="s">
        <v>58</v>
      </c>
      <c r="B33" s="55">
        <v>0.0</v>
      </c>
      <c r="C33" s="55">
        <v>0.0</v>
      </c>
      <c r="D33" s="55">
        <v>0.0</v>
      </c>
      <c r="E33" s="55">
        <v>0.0</v>
      </c>
      <c r="F33" s="55">
        <v>0.0</v>
      </c>
      <c r="G33" s="55">
        <v>0.0</v>
      </c>
      <c r="H33" s="55">
        <v>57.0</v>
      </c>
      <c r="I33" s="55">
        <v>57.0</v>
      </c>
      <c r="J33" s="55">
        <v>57.0</v>
      </c>
      <c r="K33" s="55">
        <v>57.0</v>
      </c>
      <c r="L33" s="55">
        <v>68.0</v>
      </c>
    </row>
  </sheetData>
  <mergeCells count="3">
    <mergeCell ref="C1:H1"/>
    <mergeCell ref="B4:J4"/>
    <mergeCell ref="B19:J19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37"/>
      <c r="B1" s="56" t="s">
        <v>59</v>
      </c>
      <c r="K1" s="37"/>
      <c r="L1" s="37"/>
    </row>
    <row r="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>
      <c r="A3" s="57" t="s">
        <v>60</v>
      </c>
      <c r="B3" s="58">
        <v>40969.0</v>
      </c>
      <c r="C3" s="58">
        <v>41334.0</v>
      </c>
      <c r="D3" s="58">
        <v>41699.0</v>
      </c>
      <c r="E3" s="58">
        <v>42064.0</v>
      </c>
      <c r="F3" s="58">
        <v>42430.0</v>
      </c>
      <c r="G3" s="58">
        <v>42795.0</v>
      </c>
      <c r="H3" s="58">
        <v>43160.0</v>
      </c>
      <c r="I3" s="58">
        <v>43525.0</v>
      </c>
      <c r="J3" s="58">
        <v>43891.0</v>
      </c>
      <c r="K3" s="58">
        <v>44256.0</v>
      </c>
      <c r="L3" s="58">
        <v>44621.0</v>
      </c>
    </row>
    <row r="4">
      <c r="A4" s="59" t="s">
        <v>61</v>
      </c>
      <c r="B4" s="60">
        <v>2.8848684</v>
      </c>
      <c r="C4" s="60">
        <v>2.275</v>
      </c>
      <c r="D4" s="60">
        <v>1.8310249</v>
      </c>
      <c r="E4" s="60">
        <v>1.3452055</v>
      </c>
      <c r="F4" s="60">
        <v>2.0787402</v>
      </c>
      <c r="G4" s="60">
        <v>2.2705882</v>
      </c>
      <c r="H4" s="60">
        <v>2.2058824</v>
      </c>
      <c r="I4" s="60">
        <v>2.4513514</v>
      </c>
      <c r="J4" s="60">
        <v>0.4418336</v>
      </c>
      <c r="K4" s="60">
        <v>0.353165</v>
      </c>
      <c r="L4" s="60">
        <v>3.0039139</v>
      </c>
    </row>
    <row r="5">
      <c r="A5" s="59" t="s">
        <v>6</v>
      </c>
      <c r="B5" s="60">
        <v>2.2960526</v>
      </c>
      <c r="C5" s="60">
        <v>1.696875</v>
      </c>
      <c r="D5" s="60">
        <v>1.0969529</v>
      </c>
      <c r="E5" s="60">
        <v>0.660274</v>
      </c>
      <c r="F5" s="60">
        <v>1.015748</v>
      </c>
      <c r="G5" s="60">
        <v>1.1019608</v>
      </c>
      <c r="H5" s="60">
        <v>1.0980392</v>
      </c>
      <c r="I5" s="60">
        <v>1.1297297</v>
      </c>
      <c r="J5" s="60">
        <v>0.2157165</v>
      </c>
      <c r="K5" s="60">
        <v>0.2165341</v>
      </c>
      <c r="L5" s="60">
        <v>1.3953033</v>
      </c>
    </row>
    <row r="6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</row>
    <row r="7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</row>
    <row r="8">
      <c r="A8" s="57" t="s">
        <v>62</v>
      </c>
      <c r="B8" s="58">
        <v>40969.0</v>
      </c>
      <c r="C8" s="58">
        <v>41334.0</v>
      </c>
      <c r="D8" s="58">
        <v>41699.0</v>
      </c>
      <c r="E8" s="58">
        <v>42064.0</v>
      </c>
      <c r="F8" s="58">
        <v>42430.0</v>
      </c>
      <c r="G8" s="58">
        <v>42795.0</v>
      </c>
      <c r="H8" s="58">
        <v>43160.0</v>
      </c>
      <c r="I8" s="58">
        <v>43525.0</v>
      </c>
      <c r="J8" s="58">
        <v>43891.0</v>
      </c>
      <c r="K8" s="58">
        <v>44256.0</v>
      </c>
      <c r="L8" s="58">
        <v>44621.0</v>
      </c>
    </row>
    <row r="9">
      <c r="A9" s="59" t="s">
        <v>63</v>
      </c>
      <c r="B9" s="61">
        <v>-0.0031</v>
      </c>
      <c r="C9" s="61">
        <v>0.0329</v>
      </c>
      <c r="D9" s="61">
        <v>-0.0032</v>
      </c>
      <c r="E9" s="61">
        <v>0.0432</v>
      </c>
      <c r="F9" s="61">
        <v>0.0585</v>
      </c>
      <c r="G9" s="61">
        <v>0.0719</v>
      </c>
      <c r="H9" s="61">
        <v>0.1145</v>
      </c>
      <c r="I9" s="61">
        <v>0.1187</v>
      </c>
      <c r="J9" s="61">
        <v>0.2061</v>
      </c>
      <c r="K9" s="61">
        <v>0.076</v>
      </c>
      <c r="L9" s="61">
        <v>0.0868</v>
      </c>
    </row>
    <row r="10">
      <c r="A10" s="59" t="s">
        <v>10</v>
      </c>
      <c r="B10" s="61">
        <v>-0.0061</v>
      </c>
      <c r="C10" s="61">
        <v>0.062</v>
      </c>
      <c r="D10" s="61">
        <v>-0.004</v>
      </c>
      <c r="E10" s="61">
        <v>0.0508</v>
      </c>
      <c r="F10" s="61">
        <v>0.0676</v>
      </c>
      <c r="G10" s="61">
        <v>0.081</v>
      </c>
      <c r="H10" s="61">
        <v>0.1113</v>
      </c>
      <c r="I10" s="61">
        <v>0.1027</v>
      </c>
      <c r="J10" s="61">
        <v>0.1816</v>
      </c>
      <c r="K10" s="61">
        <v>0.1045</v>
      </c>
      <c r="L10" s="61">
        <v>0.1634</v>
      </c>
    </row>
    <row r="11">
      <c r="A11" s="59" t="s">
        <v>64</v>
      </c>
      <c r="B11" s="60">
        <v>0.5156838</v>
      </c>
      <c r="C11" s="60">
        <v>0.5306122</v>
      </c>
      <c r="D11" s="60">
        <v>0.8059701</v>
      </c>
      <c r="E11" s="60">
        <v>0.8503444</v>
      </c>
      <c r="F11" s="60">
        <v>0.8655003</v>
      </c>
      <c r="G11" s="60">
        <v>0.8882566</v>
      </c>
      <c r="H11" s="60">
        <v>1.0288845</v>
      </c>
      <c r="I11" s="60">
        <v>1.1556367</v>
      </c>
      <c r="J11" s="60">
        <v>1.1354055</v>
      </c>
      <c r="K11" s="60">
        <v>0.7272727</v>
      </c>
      <c r="L11" s="60">
        <v>0.531571</v>
      </c>
    </row>
    <row r="12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</row>
    <row r="13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</row>
    <row r="14">
      <c r="A14" s="57" t="s">
        <v>65</v>
      </c>
      <c r="B14" s="58">
        <v>40969.0</v>
      </c>
      <c r="C14" s="58">
        <v>41334.0</v>
      </c>
      <c r="D14" s="58">
        <v>41699.0</v>
      </c>
      <c r="E14" s="58">
        <v>42064.0</v>
      </c>
      <c r="F14" s="58">
        <v>42430.0</v>
      </c>
      <c r="G14" s="58">
        <v>42795.0</v>
      </c>
      <c r="H14" s="58">
        <v>43160.0</v>
      </c>
      <c r="I14" s="58">
        <v>43525.0</v>
      </c>
      <c r="J14" s="58">
        <v>43891.0</v>
      </c>
      <c r="K14" s="58">
        <v>44256.0</v>
      </c>
      <c r="L14" s="58">
        <v>44621.0</v>
      </c>
    </row>
    <row r="15">
      <c r="A15" s="59" t="s">
        <v>12</v>
      </c>
      <c r="B15" s="60">
        <v>6.1538462</v>
      </c>
      <c r="C15" s="60">
        <v>5.625</v>
      </c>
      <c r="D15" s="60">
        <v>6.8181818</v>
      </c>
      <c r="E15" s="60">
        <v>6.8181818</v>
      </c>
      <c r="F15" s="60">
        <v>12.0</v>
      </c>
      <c r="G15" s="60">
        <v>11.878788</v>
      </c>
      <c r="H15" s="60">
        <v>11.848485</v>
      </c>
      <c r="I15" s="60">
        <v>14.969697</v>
      </c>
      <c r="J15" s="60">
        <v>8.3333333</v>
      </c>
      <c r="K15" s="60">
        <v>8.3333333</v>
      </c>
      <c r="L15" s="60">
        <v>127.25</v>
      </c>
    </row>
    <row r="16">
      <c r="A16" s="59" t="s">
        <v>14</v>
      </c>
      <c r="B16" s="60">
        <v>-18.2</v>
      </c>
      <c r="C16" s="60">
        <v>1.137931</v>
      </c>
      <c r="D16" s="60">
        <v>-25.4</v>
      </c>
      <c r="E16" s="60">
        <v>2.0144928</v>
      </c>
      <c r="F16" s="60">
        <v>0.9065421</v>
      </c>
      <c r="G16" s="60">
        <v>0.647482</v>
      </c>
      <c r="H16" s="60">
        <v>0.1652174</v>
      </c>
      <c r="I16" s="60">
        <v>0.1461538</v>
      </c>
      <c r="J16" s="60">
        <v>0.2859619</v>
      </c>
      <c r="K16" s="60">
        <v>0.9719626</v>
      </c>
      <c r="L16" s="60">
        <v>0.4384858</v>
      </c>
    </row>
    <row r="17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8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</row>
    <row r="19">
      <c r="A19" s="57" t="s">
        <v>66</v>
      </c>
      <c r="B19" s="58">
        <v>40969.0</v>
      </c>
      <c r="C19" s="58">
        <v>41334.0</v>
      </c>
      <c r="D19" s="58">
        <v>41699.0</v>
      </c>
      <c r="E19" s="58">
        <v>42064.0</v>
      </c>
      <c r="F19" s="58">
        <v>42430.0</v>
      </c>
      <c r="G19" s="58">
        <v>42795.0</v>
      </c>
      <c r="H19" s="58">
        <v>43160.0</v>
      </c>
      <c r="I19" s="58">
        <v>43525.0</v>
      </c>
      <c r="J19" s="58">
        <v>43891.0</v>
      </c>
      <c r="K19" s="58">
        <v>44256.0</v>
      </c>
      <c r="L19" s="58">
        <v>44621.0</v>
      </c>
    </row>
    <row r="20">
      <c r="A20" s="59" t="s">
        <v>67</v>
      </c>
      <c r="B20" s="60">
        <v>0.0246368</v>
      </c>
      <c r="C20" s="60">
        <v>0.0227661</v>
      </c>
      <c r="D20" s="60">
        <v>0.0214147</v>
      </c>
      <c r="E20" s="60">
        <v>0.0206637</v>
      </c>
      <c r="F20" s="60">
        <v>0.0180426</v>
      </c>
      <c r="G20" s="60">
        <v>0.0170719</v>
      </c>
      <c r="H20" s="60">
        <v>-0.0123014</v>
      </c>
      <c r="I20" s="60">
        <v>-0.0112465</v>
      </c>
      <c r="J20" s="60">
        <v>-0.0076586</v>
      </c>
      <c r="K20" s="60">
        <v>-0.0076115</v>
      </c>
      <c r="L20" s="60">
        <v>-0.0044242</v>
      </c>
    </row>
    <row r="21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</row>
    <row r="2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</row>
    <row r="23">
      <c r="A23" s="57" t="s">
        <v>20</v>
      </c>
      <c r="B23" s="58">
        <v>40969.0</v>
      </c>
      <c r="C23" s="58">
        <v>41334.0</v>
      </c>
      <c r="D23" s="58">
        <v>41699.0</v>
      </c>
      <c r="E23" s="58">
        <v>42064.0</v>
      </c>
      <c r="F23" s="58">
        <v>42430.0</v>
      </c>
      <c r="G23" s="58">
        <v>42795.0</v>
      </c>
      <c r="H23" s="58">
        <v>43160.0</v>
      </c>
      <c r="I23" s="58">
        <v>43525.0</v>
      </c>
      <c r="J23" s="58">
        <v>43891.0</v>
      </c>
      <c r="K23" s="58">
        <v>44256.0</v>
      </c>
      <c r="L23" s="58">
        <v>44621.0</v>
      </c>
    </row>
    <row r="24">
      <c r="A24" s="59" t="s">
        <v>10</v>
      </c>
      <c r="B24" s="61">
        <v>-0.0061</v>
      </c>
      <c r="C24" s="61">
        <v>0.062</v>
      </c>
      <c r="D24" s="61">
        <v>-0.004</v>
      </c>
      <c r="E24" s="61">
        <v>0.0508</v>
      </c>
      <c r="F24" s="61">
        <v>0.0676</v>
      </c>
      <c r="G24" s="61">
        <v>0.081</v>
      </c>
      <c r="H24" s="61">
        <v>0.1113</v>
      </c>
      <c r="I24" s="61">
        <v>0.1027</v>
      </c>
      <c r="J24" s="61">
        <v>0.1816</v>
      </c>
      <c r="K24" s="61">
        <v>0.1045</v>
      </c>
      <c r="L24" s="61">
        <v>0.1634</v>
      </c>
    </row>
    <row r="25">
      <c r="A25" s="59" t="s">
        <v>68</v>
      </c>
      <c r="B25" s="60">
        <v>0.4356121</v>
      </c>
      <c r="C25" s="60">
        <v>0.45065</v>
      </c>
      <c r="D25" s="60">
        <v>0.6529968</v>
      </c>
      <c r="E25" s="60">
        <v>0.6921509</v>
      </c>
      <c r="F25" s="60">
        <v>0.7599616</v>
      </c>
      <c r="G25" s="60">
        <v>0.7847349</v>
      </c>
      <c r="H25" s="60">
        <v>0.8928263</v>
      </c>
      <c r="I25" s="60">
        <v>0.9886763</v>
      </c>
      <c r="J25" s="60">
        <v>0.5890639</v>
      </c>
      <c r="K25" s="60">
        <v>0.3588575</v>
      </c>
      <c r="L25" s="60">
        <v>0.4967998</v>
      </c>
    </row>
    <row r="26">
      <c r="A26" s="59" t="s">
        <v>69</v>
      </c>
      <c r="B26" s="60">
        <v>48.384615</v>
      </c>
      <c r="C26" s="60">
        <v>51.925</v>
      </c>
      <c r="D26" s="60">
        <v>57.636364</v>
      </c>
      <c r="E26" s="60">
        <v>59.454545</v>
      </c>
      <c r="F26" s="60">
        <v>63.121212</v>
      </c>
      <c r="G26" s="60">
        <v>66.30303</v>
      </c>
      <c r="H26" s="60">
        <v>70.121212</v>
      </c>
      <c r="I26" s="60">
        <v>77.606061</v>
      </c>
      <c r="J26" s="60">
        <v>149.86111</v>
      </c>
      <c r="K26" s="60">
        <v>158.52778</v>
      </c>
      <c r="L26" s="60">
        <v>217.0</v>
      </c>
    </row>
    <row r="27">
      <c r="A27" s="59" t="s">
        <v>70</v>
      </c>
      <c r="B27" s="60">
        <v>-0.1282051</v>
      </c>
      <c r="C27" s="60">
        <v>1.45</v>
      </c>
      <c r="D27" s="60">
        <v>-0.1515152</v>
      </c>
      <c r="E27" s="60">
        <v>2.0909091</v>
      </c>
      <c r="F27" s="60">
        <v>3.2424242</v>
      </c>
      <c r="G27" s="60">
        <v>4.2121212</v>
      </c>
      <c r="H27" s="60">
        <v>6.969697</v>
      </c>
      <c r="I27" s="60">
        <v>7.8787879</v>
      </c>
      <c r="J27" s="60">
        <v>16.027778</v>
      </c>
      <c r="K27" s="60">
        <v>5.9444444</v>
      </c>
      <c r="L27" s="60">
        <v>17.611111</v>
      </c>
    </row>
  </sheetData>
  <mergeCells count="1">
    <mergeCell ref="B1:J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2022-05-26T10:31:52Z</dcterms:created>
  <dc:creator>a</dc:creator>
</cp:coreProperties>
</file>