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cdd31b977221b469/Desktop/Kareena/IAQS/SEMESTER 6/PRLI-2/"/>
    </mc:Choice>
  </mc:AlternateContent>
  <xr:revisionPtr revIDLastSave="2" documentId="8_{2555B949-6A40-4477-97AA-74F4AA8A6D70}" xr6:coauthVersionLast="47" xr6:coauthVersionMax="47" xr10:uidLastSave="{1CB26518-EB20-4935-BBB9-4B9320BE0EF6}"/>
  <bookViews>
    <workbookView xWindow="-110" yWindow="-110" windowWidth="19420" windowHeight="10300" firstSheet="5" activeTab="10" xr2:uid="{00000000-000D-0000-FFFF-FFFF00000000}"/>
  </bookViews>
  <sheets>
    <sheet name="Details" sheetId="11" r:id="rId1"/>
    <sheet name="Mortality table" sheetId="17" r:id="rId2"/>
    <sheet name="Inputs" sheetId="18" r:id="rId3"/>
    <sheet name="Reserves" sheetId="19" r:id="rId4"/>
    <sheet name="Profit test" sheetId="20" r:id="rId5"/>
    <sheet name="Answer 1" sheetId="12" r:id="rId6"/>
    <sheet name="Answer 2" sheetId="13" r:id="rId7"/>
    <sheet name="Answer 3" sheetId="14" r:id="rId8"/>
    <sheet name="Answer 4" sheetId="21" r:id="rId9"/>
    <sheet name="Answer 5 reserves" sheetId="22" r:id="rId10"/>
    <sheet name="Answer 5 profit test" sheetId="23" r:id="rId11"/>
    <sheet name="Answer 6" sheetId="24" r:id="rId12"/>
  </sheets>
  <externalReferences>
    <externalReference r:id="rId13"/>
  </externalReferences>
  <definedNames>
    <definedName name="A" localSheetId="4">[1]Inputs!$D$4</definedName>
    <definedName name="A" localSheetId="3">[1]Inputs!$D$4</definedName>
    <definedName name="A">Inputs!$D$4</definedName>
    <definedName name="BO" localSheetId="4">[1]Inputs!$D$5</definedName>
    <definedName name="BO" localSheetId="3">[1]Inputs!$D$5</definedName>
    <definedName name="BO">Inputs!$D$5</definedName>
    <definedName name="D" localSheetId="4">[1]Inputs!$D$6</definedName>
    <definedName name="D" localSheetId="3">[1]Inputs!$D$6</definedName>
    <definedName name="D">Inputs!$D$6</definedName>
    <definedName name="New_alloc">'Answer 5 profit test'!$H$1</definedName>
    <definedName name="P" localSheetId="4">[1]Inputs!$D$7</definedName>
    <definedName name="P" localSheetId="3">[1]Inputs!$D$7</definedName>
    <definedName name="P">Inputs!$D$7</definedName>
    <definedName name="ProIE" localSheetId="4">[1]Inputs!$F$12</definedName>
    <definedName name="ProIE" localSheetId="3">[1]Inputs!$F$12</definedName>
    <definedName name="ProIE">Inputs!$F$12</definedName>
    <definedName name="ProINF" localSheetId="4">[1]Inputs!$F$14</definedName>
    <definedName name="ProINF" localSheetId="3">[1]Inputs!$F$14</definedName>
    <definedName name="ProINF">Inputs!$F$14</definedName>
    <definedName name="ProINT" localSheetId="4">[1]Inputs!$F$11</definedName>
    <definedName name="ProINT" localSheetId="3">[1]Inputs!$F$11</definedName>
    <definedName name="ProINT">Inputs!$F$11</definedName>
    <definedName name="ProMM" localSheetId="4">[1]Inputs!$F$15</definedName>
    <definedName name="ProMM" localSheetId="3">[1]Inputs!$F$15</definedName>
    <definedName name="ProMM">Inputs!$F$15</definedName>
    <definedName name="ProRE" localSheetId="4">[1]Inputs!$F$13</definedName>
    <definedName name="ProRE" localSheetId="3">[1]Inputs!$F$13</definedName>
    <definedName name="ProRE">Inputs!$F$13</definedName>
    <definedName name="ProUG" localSheetId="4">[1]Inputs!$F$10</definedName>
    <definedName name="ProUG" localSheetId="3">[1]Inputs!$F$10</definedName>
    <definedName name="ProUG">Inputs!$F$10</definedName>
    <definedName name="ResIE" localSheetId="4">[1]Inputs!$D$12</definedName>
    <definedName name="ResIE" localSheetId="3">[1]Inputs!$D$12</definedName>
    <definedName name="ResIE">Inputs!$D$12</definedName>
    <definedName name="ResINF" localSheetId="4">[1]Inputs!$D$14</definedName>
    <definedName name="ResINF" localSheetId="3">[1]Inputs!$D$14</definedName>
    <definedName name="ResINF">Inputs!$D$14</definedName>
    <definedName name="ResINT" localSheetId="4">[1]Inputs!$D$11</definedName>
    <definedName name="ResINT" localSheetId="3">[1]Inputs!$D$11</definedName>
    <definedName name="ResINT">Inputs!$D$11</definedName>
    <definedName name="ResRE" localSheetId="4">[1]Inputs!$D$13</definedName>
    <definedName name="ResRE" localSheetId="3">[1]Inputs!$D$13</definedName>
    <definedName name="ResRE">Inputs!$D$13</definedName>
    <definedName name="ResUG" localSheetId="4">[1]Inputs!$D$10</definedName>
    <definedName name="ResUG" localSheetId="3">[1]Inputs!$D$10</definedName>
    <definedName name="ResUG">Inputs!$D$10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23" l="1"/>
  <c r="N29" i="23"/>
  <c r="N30" i="23"/>
  <c r="C5" i="22"/>
  <c r="T10" i="23"/>
  <c r="T11" i="23"/>
  <c r="T12" i="23"/>
  <c r="T13" i="23"/>
  <c r="T14" i="23"/>
  <c r="T15" i="23"/>
  <c r="T16" i="23"/>
  <c r="T17" i="23"/>
  <c r="T18" i="23"/>
  <c r="T19" i="23"/>
  <c r="T20" i="23"/>
  <c r="T21" i="23"/>
  <c r="T22" i="23"/>
  <c r="T23" i="23"/>
  <c r="T24" i="23"/>
  <c r="T25" i="23"/>
  <c r="T26" i="23"/>
  <c r="T27" i="23"/>
  <c r="T28" i="23"/>
  <c r="T29" i="23"/>
  <c r="T30" i="23"/>
  <c r="T31" i="23"/>
  <c r="T32" i="23"/>
  <c r="T33" i="23"/>
  <c r="T9" i="23"/>
  <c r="S9" i="23"/>
  <c r="S10" i="23" s="1"/>
  <c r="J33" i="23"/>
  <c r="P33" i="23" s="1"/>
  <c r="Q33" i="23" s="1"/>
  <c r="H33" i="23"/>
  <c r="B33" i="23"/>
  <c r="J32" i="23"/>
  <c r="P32" i="23" s="1"/>
  <c r="H32" i="23"/>
  <c r="B32" i="23"/>
  <c r="J31" i="23"/>
  <c r="P31" i="23" s="1"/>
  <c r="H31" i="23"/>
  <c r="B31" i="23"/>
  <c r="J30" i="23"/>
  <c r="P30" i="23" s="1"/>
  <c r="H30" i="23"/>
  <c r="B30" i="23"/>
  <c r="J29" i="23"/>
  <c r="P29" i="23" s="1"/>
  <c r="H29" i="23"/>
  <c r="B29" i="23"/>
  <c r="J28" i="23"/>
  <c r="P28" i="23" s="1"/>
  <c r="H28" i="23"/>
  <c r="B28" i="23"/>
  <c r="J27" i="23"/>
  <c r="P27" i="23" s="1"/>
  <c r="H27" i="23"/>
  <c r="B27" i="23"/>
  <c r="J26" i="23"/>
  <c r="P26" i="23" s="1"/>
  <c r="H26" i="23"/>
  <c r="B26" i="23"/>
  <c r="J25" i="23"/>
  <c r="P25" i="23" s="1"/>
  <c r="H25" i="23"/>
  <c r="B25" i="23"/>
  <c r="J24" i="23"/>
  <c r="P24" i="23" s="1"/>
  <c r="H24" i="23"/>
  <c r="B24" i="23"/>
  <c r="J23" i="23"/>
  <c r="P23" i="23" s="1"/>
  <c r="H23" i="23"/>
  <c r="B23" i="23"/>
  <c r="J22" i="23"/>
  <c r="P22" i="23" s="1"/>
  <c r="H22" i="23"/>
  <c r="B22" i="23"/>
  <c r="P21" i="23"/>
  <c r="J21" i="23"/>
  <c r="H21" i="23"/>
  <c r="B21" i="23"/>
  <c r="J20" i="23"/>
  <c r="P20" i="23" s="1"/>
  <c r="H20" i="23"/>
  <c r="B20" i="23"/>
  <c r="J19" i="23"/>
  <c r="P19" i="23" s="1"/>
  <c r="H19" i="23"/>
  <c r="B19" i="23"/>
  <c r="J18" i="23"/>
  <c r="P18" i="23" s="1"/>
  <c r="H18" i="23"/>
  <c r="B18" i="23"/>
  <c r="J17" i="23"/>
  <c r="P17" i="23" s="1"/>
  <c r="H17" i="23"/>
  <c r="B17" i="23"/>
  <c r="J16" i="23"/>
  <c r="P16" i="23" s="1"/>
  <c r="H16" i="23"/>
  <c r="B16" i="23"/>
  <c r="J15" i="23"/>
  <c r="P15" i="23" s="1"/>
  <c r="H15" i="23"/>
  <c r="B15" i="23"/>
  <c r="J14" i="23"/>
  <c r="P14" i="23" s="1"/>
  <c r="H14" i="23"/>
  <c r="B14" i="23"/>
  <c r="J13" i="23"/>
  <c r="P13" i="23" s="1"/>
  <c r="H13" i="23"/>
  <c r="B13" i="23"/>
  <c r="J12" i="23"/>
  <c r="P12" i="23" s="1"/>
  <c r="H12" i="23"/>
  <c r="B12" i="23"/>
  <c r="J11" i="23"/>
  <c r="P11" i="23" s="1"/>
  <c r="H11" i="23"/>
  <c r="B11" i="23"/>
  <c r="J10" i="23"/>
  <c r="P10" i="23" s="1"/>
  <c r="H10" i="23"/>
  <c r="B10" i="23"/>
  <c r="O9" i="23"/>
  <c r="J9" i="23"/>
  <c r="P9" i="23" s="1"/>
  <c r="H9" i="23"/>
  <c r="B9" i="23"/>
  <c r="C9" i="23" s="1"/>
  <c r="N29" i="22"/>
  <c r="J29" i="22"/>
  <c r="H29" i="22"/>
  <c r="B29" i="22"/>
  <c r="C29" i="22" s="1"/>
  <c r="N28" i="22"/>
  <c r="J28" i="22"/>
  <c r="H28" i="22"/>
  <c r="C28" i="22"/>
  <c r="B28" i="22"/>
  <c r="J27" i="22"/>
  <c r="H27" i="22"/>
  <c r="C27" i="22"/>
  <c r="B27" i="22"/>
  <c r="G27" i="22" s="1"/>
  <c r="J26" i="22"/>
  <c r="N26" i="22" s="1"/>
  <c r="H26" i="22"/>
  <c r="B26" i="22"/>
  <c r="C26" i="22" s="1"/>
  <c r="N25" i="22"/>
  <c r="J25" i="22"/>
  <c r="H25" i="22"/>
  <c r="C25" i="22"/>
  <c r="B25" i="22"/>
  <c r="J24" i="22"/>
  <c r="N24" i="22" s="1"/>
  <c r="H24" i="22"/>
  <c r="C24" i="22"/>
  <c r="B24" i="22"/>
  <c r="G24" i="22" s="1"/>
  <c r="J23" i="22"/>
  <c r="N23" i="22" s="1"/>
  <c r="H23" i="22"/>
  <c r="B23" i="22"/>
  <c r="C23" i="22" s="1"/>
  <c r="N22" i="22"/>
  <c r="J22" i="22"/>
  <c r="H22" i="22"/>
  <c r="B22" i="22"/>
  <c r="C22" i="22" s="1"/>
  <c r="N21" i="22"/>
  <c r="J21" i="22"/>
  <c r="H21" i="22"/>
  <c r="B21" i="22"/>
  <c r="C21" i="22" s="1"/>
  <c r="J20" i="22"/>
  <c r="N20" i="22" s="1"/>
  <c r="H20" i="22"/>
  <c r="C20" i="22"/>
  <c r="B20" i="22"/>
  <c r="G20" i="22" s="1"/>
  <c r="J19" i="22"/>
  <c r="N19" i="22" s="1"/>
  <c r="H19" i="22"/>
  <c r="B19" i="22"/>
  <c r="C19" i="22" s="1"/>
  <c r="N18" i="22"/>
  <c r="J18" i="22"/>
  <c r="H18" i="22"/>
  <c r="B18" i="22"/>
  <c r="C18" i="22" s="1"/>
  <c r="N17" i="22"/>
  <c r="J17" i="22"/>
  <c r="H17" i="22"/>
  <c r="B17" i="22"/>
  <c r="C17" i="22" s="1"/>
  <c r="J16" i="22"/>
  <c r="N16" i="22" s="1"/>
  <c r="H16" i="22"/>
  <c r="C16" i="22"/>
  <c r="B16" i="22"/>
  <c r="G16" i="22" s="1"/>
  <c r="J15" i="22"/>
  <c r="N15" i="22" s="1"/>
  <c r="H15" i="22"/>
  <c r="B15" i="22"/>
  <c r="C15" i="22" s="1"/>
  <c r="N14" i="22"/>
  <c r="J14" i="22"/>
  <c r="H14" i="22"/>
  <c r="B14" i="22"/>
  <c r="C14" i="22" s="1"/>
  <c r="N13" i="22"/>
  <c r="J13" i="22"/>
  <c r="H13" i="22"/>
  <c r="B13" i="22"/>
  <c r="C13" i="22" s="1"/>
  <c r="J12" i="22"/>
  <c r="N12" i="22" s="1"/>
  <c r="H12" i="22"/>
  <c r="C12" i="22"/>
  <c r="B12" i="22"/>
  <c r="G12" i="22" s="1"/>
  <c r="J11" i="22"/>
  <c r="N11" i="22" s="1"/>
  <c r="H11" i="22"/>
  <c r="B11" i="22"/>
  <c r="C11" i="22" s="1"/>
  <c r="N10" i="22"/>
  <c r="J10" i="22"/>
  <c r="H10" i="22"/>
  <c r="B10" i="22"/>
  <c r="C10" i="22" s="1"/>
  <c r="N9" i="22"/>
  <c r="J9" i="22"/>
  <c r="H9" i="22"/>
  <c r="B9" i="22"/>
  <c r="C9" i="22" s="1"/>
  <c r="J8" i="22"/>
  <c r="N8" i="22" s="1"/>
  <c r="H8" i="22"/>
  <c r="C8" i="22"/>
  <c r="B8" i="22"/>
  <c r="G8" i="22" s="1"/>
  <c r="J7" i="22"/>
  <c r="N7" i="22" s="1"/>
  <c r="H7" i="22"/>
  <c r="B7" i="22"/>
  <c r="C7" i="22" s="1"/>
  <c r="N6" i="22"/>
  <c r="J6" i="22"/>
  <c r="H6" i="22"/>
  <c r="B6" i="22"/>
  <c r="C6" i="22" s="1"/>
  <c r="N5" i="22"/>
  <c r="J5" i="22"/>
  <c r="H5" i="22"/>
  <c r="B5" i="22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4" i="21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5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6" i="14"/>
  <c r="J29" i="14"/>
  <c r="H29" i="14"/>
  <c r="B29" i="14"/>
  <c r="C29" i="14" s="1"/>
  <c r="J28" i="14"/>
  <c r="H28" i="14"/>
  <c r="B28" i="14"/>
  <c r="J27" i="14"/>
  <c r="H27" i="14"/>
  <c r="C27" i="14"/>
  <c r="B27" i="14"/>
  <c r="G27" i="14" s="1"/>
  <c r="J26" i="14"/>
  <c r="H26" i="14"/>
  <c r="B26" i="14"/>
  <c r="C26" i="14" s="1"/>
  <c r="J25" i="14"/>
  <c r="H25" i="14"/>
  <c r="C25" i="14"/>
  <c r="B25" i="14"/>
  <c r="G25" i="14" s="1"/>
  <c r="J24" i="14"/>
  <c r="H24" i="14"/>
  <c r="B24" i="14"/>
  <c r="C24" i="14" s="1"/>
  <c r="J23" i="14"/>
  <c r="H23" i="14"/>
  <c r="B23" i="14"/>
  <c r="J22" i="14"/>
  <c r="H22" i="14"/>
  <c r="B22" i="14"/>
  <c r="J21" i="14"/>
  <c r="H21" i="14"/>
  <c r="G21" i="14"/>
  <c r="C21" i="14"/>
  <c r="B21" i="14"/>
  <c r="J20" i="14"/>
  <c r="H20" i="14"/>
  <c r="B20" i="14"/>
  <c r="J19" i="14"/>
  <c r="H19" i="14"/>
  <c r="C19" i="14"/>
  <c r="B19" i="14"/>
  <c r="G19" i="14" s="1"/>
  <c r="J18" i="14"/>
  <c r="H18" i="14"/>
  <c r="B18" i="14"/>
  <c r="C18" i="14" s="1"/>
  <c r="J17" i="14"/>
  <c r="H17" i="14"/>
  <c r="C17" i="14"/>
  <c r="B17" i="14"/>
  <c r="G17" i="14" s="1"/>
  <c r="J16" i="14"/>
  <c r="H16" i="14"/>
  <c r="B16" i="14"/>
  <c r="C16" i="14" s="1"/>
  <c r="J15" i="14"/>
  <c r="H15" i="14"/>
  <c r="B15" i="14"/>
  <c r="J14" i="14"/>
  <c r="H14" i="14"/>
  <c r="B14" i="14"/>
  <c r="J13" i="14"/>
  <c r="H13" i="14"/>
  <c r="G13" i="14"/>
  <c r="C13" i="14"/>
  <c r="B13" i="14"/>
  <c r="J12" i="14"/>
  <c r="H12" i="14"/>
  <c r="B12" i="14"/>
  <c r="J11" i="14"/>
  <c r="H11" i="14"/>
  <c r="C11" i="14"/>
  <c r="B11" i="14"/>
  <c r="G11" i="14" s="1"/>
  <c r="J10" i="14"/>
  <c r="H10" i="14"/>
  <c r="B10" i="14"/>
  <c r="C10" i="14" s="1"/>
  <c r="J9" i="14"/>
  <c r="H9" i="14"/>
  <c r="C9" i="14"/>
  <c r="B9" i="14"/>
  <c r="G9" i="14" s="1"/>
  <c r="J8" i="14"/>
  <c r="H8" i="14"/>
  <c r="B8" i="14"/>
  <c r="C8" i="14" s="1"/>
  <c r="J7" i="14"/>
  <c r="H7" i="14"/>
  <c r="B7" i="14"/>
  <c r="J6" i="14"/>
  <c r="H6" i="14"/>
  <c r="B6" i="14"/>
  <c r="J5" i="14"/>
  <c r="H5" i="14"/>
  <c r="G5" i="14"/>
  <c r="C5" i="14"/>
  <c r="D5" i="14" s="1"/>
  <c r="E5" i="14" s="1"/>
  <c r="K5" i="14" s="1"/>
  <c r="L5" i="14" s="1"/>
  <c r="B5" i="14"/>
  <c r="P23" i="13"/>
  <c r="P28" i="13"/>
  <c r="P29" i="13"/>
  <c r="O28" i="13" s="1"/>
  <c r="O29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5" i="13"/>
  <c r="J29" i="13"/>
  <c r="H29" i="13"/>
  <c r="B29" i="13"/>
  <c r="C29" i="13" s="1"/>
  <c r="J28" i="13"/>
  <c r="H28" i="13"/>
  <c r="B28" i="13"/>
  <c r="C28" i="13" s="1"/>
  <c r="J27" i="13"/>
  <c r="H27" i="13"/>
  <c r="B27" i="13"/>
  <c r="J26" i="13"/>
  <c r="H26" i="13"/>
  <c r="B26" i="13"/>
  <c r="J25" i="13"/>
  <c r="H25" i="13"/>
  <c r="B25" i="13"/>
  <c r="J24" i="13"/>
  <c r="H24" i="13"/>
  <c r="B24" i="13"/>
  <c r="C24" i="13" s="1"/>
  <c r="J23" i="13"/>
  <c r="H23" i="13"/>
  <c r="B23" i="13"/>
  <c r="C23" i="13" s="1"/>
  <c r="J22" i="13"/>
  <c r="H22" i="13"/>
  <c r="B22" i="13"/>
  <c r="C22" i="13" s="1"/>
  <c r="G22" i="13" s="1"/>
  <c r="J21" i="13"/>
  <c r="H21" i="13"/>
  <c r="B21" i="13"/>
  <c r="C21" i="13" s="1"/>
  <c r="J20" i="13"/>
  <c r="H20" i="13"/>
  <c r="B20" i="13"/>
  <c r="C20" i="13" s="1"/>
  <c r="G20" i="13" s="1"/>
  <c r="J19" i="13"/>
  <c r="H19" i="13"/>
  <c r="B19" i="13"/>
  <c r="J18" i="13"/>
  <c r="H18" i="13"/>
  <c r="B18" i="13"/>
  <c r="C18" i="13" s="1"/>
  <c r="J17" i="13"/>
  <c r="H17" i="13"/>
  <c r="B17" i="13"/>
  <c r="C17" i="13" s="1"/>
  <c r="J16" i="13"/>
  <c r="H16" i="13"/>
  <c r="B16" i="13"/>
  <c r="J15" i="13"/>
  <c r="H15" i="13"/>
  <c r="B15" i="13"/>
  <c r="J14" i="13"/>
  <c r="H14" i="13"/>
  <c r="C14" i="13"/>
  <c r="G14" i="13" s="1"/>
  <c r="B14" i="13"/>
  <c r="J13" i="13"/>
  <c r="H13" i="13"/>
  <c r="B13" i="13"/>
  <c r="C13" i="13" s="1"/>
  <c r="J12" i="13"/>
  <c r="H12" i="13"/>
  <c r="B12" i="13"/>
  <c r="C12" i="13" s="1"/>
  <c r="G12" i="13" s="1"/>
  <c r="J11" i="13"/>
  <c r="H11" i="13"/>
  <c r="B11" i="13"/>
  <c r="J10" i="13"/>
  <c r="H10" i="13"/>
  <c r="B10" i="13"/>
  <c r="J9" i="13"/>
  <c r="H9" i="13"/>
  <c r="B9" i="13"/>
  <c r="C9" i="13" s="1"/>
  <c r="J8" i="13"/>
  <c r="H8" i="13"/>
  <c r="B8" i="13"/>
  <c r="J7" i="13"/>
  <c r="H7" i="13"/>
  <c r="B7" i="13"/>
  <c r="C7" i="13" s="1"/>
  <c r="J6" i="13"/>
  <c r="H6" i="13"/>
  <c r="B6" i="13"/>
  <c r="C6" i="13" s="1"/>
  <c r="G6" i="13" s="1"/>
  <c r="J5" i="13"/>
  <c r="H5" i="13"/>
  <c r="B5" i="13"/>
  <c r="C5" i="13" s="1"/>
  <c r="D5" i="13" s="1"/>
  <c r="E5" i="13" s="1"/>
  <c r="K5" i="13" s="1"/>
  <c r="J29" i="20"/>
  <c r="H29" i="20"/>
  <c r="B29" i="20"/>
  <c r="J28" i="20"/>
  <c r="H28" i="20"/>
  <c r="B28" i="20"/>
  <c r="C28" i="20" s="1"/>
  <c r="J27" i="20"/>
  <c r="H27" i="20"/>
  <c r="B27" i="20"/>
  <c r="C27" i="20" s="1"/>
  <c r="J26" i="20"/>
  <c r="H26" i="20"/>
  <c r="B26" i="20"/>
  <c r="J25" i="20"/>
  <c r="H25" i="20"/>
  <c r="B25" i="20"/>
  <c r="J24" i="20"/>
  <c r="H24" i="20"/>
  <c r="B24" i="20"/>
  <c r="C24" i="20" s="1"/>
  <c r="J23" i="20"/>
  <c r="H23" i="20"/>
  <c r="B23" i="20"/>
  <c r="C23" i="20" s="1"/>
  <c r="J22" i="20"/>
  <c r="H22" i="20"/>
  <c r="B22" i="20"/>
  <c r="C22" i="20" s="1"/>
  <c r="J21" i="20"/>
  <c r="H21" i="20"/>
  <c r="B21" i="20"/>
  <c r="J20" i="20"/>
  <c r="H20" i="20"/>
  <c r="B20" i="20"/>
  <c r="J19" i="20"/>
  <c r="H19" i="20"/>
  <c r="B19" i="20"/>
  <c r="C19" i="20" s="1"/>
  <c r="J18" i="20"/>
  <c r="H18" i="20"/>
  <c r="B18" i="20"/>
  <c r="J17" i="20"/>
  <c r="H17" i="20"/>
  <c r="B17" i="20"/>
  <c r="C17" i="20" s="1"/>
  <c r="J16" i="20"/>
  <c r="H16" i="20"/>
  <c r="B16" i="20"/>
  <c r="J15" i="20"/>
  <c r="H15" i="20"/>
  <c r="B15" i="20"/>
  <c r="C15" i="20" s="1"/>
  <c r="J14" i="20"/>
  <c r="H14" i="20"/>
  <c r="B14" i="20"/>
  <c r="C14" i="20" s="1"/>
  <c r="J13" i="20"/>
  <c r="H13" i="20"/>
  <c r="B13" i="20"/>
  <c r="J12" i="20"/>
  <c r="H12" i="20"/>
  <c r="B12" i="20"/>
  <c r="J11" i="20"/>
  <c r="H11" i="20"/>
  <c r="B11" i="20"/>
  <c r="C11" i="20" s="1"/>
  <c r="J10" i="20"/>
  <c r="H10" i="20"/>
  <c r="B10" i="20"/>
  <c r="J9" i="20"/>
  <c r="H9" i="20"/>
  <c r="B9" i="20"/>
  <c r="J8" i="20"/>
  <c r="H8" i="20"/>
  <c r="B8" i="20"/>
  <c r="J7" i="20"/>
  <c r="H7" i="20"/>
  <c r="B7" i="20"/>
  <c r="C7" i="20" s="1"/>
  <c r="J6" i="20"/>
  <c r="H6" i="20"/>
  <c r="B6" i="20"/>
  <c r="C6" i="20" s="1"/>
  <c r="J5" i="20"/>
  <c r="H5" i="20"/>
  <c r="B5" i="20"/>
  <c r="C5" i="20" s="1"/>
  <c r="D5" i="20" s="1"/>
  <c r="E5" i="20" s="1"/>
  <c r="K5" i="20" s="1"/>
  <c r="J29" i="19"/>
  <c r="H29" i="19"/>
  <c r="B29" i="19"/>
  <c r="C29" i="19" s="1"/>
  <c r="J28" i="19"/>
  <c r="H28" i="19"/>
  <c r="B28" i="19"/>
  <c r="C28" i="19" s="1"/>
  <c r="J27" i="19"/>
  <c r="H27" i="19"/>
  <c r="B27" i="19"/>
  <c r="J26" i="19"/>
  <c r="H26" i="19"/>
  <c r="B26" i="19"/>
  <c r="J25" i="19"/>
  <c r="H25" i="19"/>
  <c r="B25" i="19"/>
  <c r="C25" i="19" s="1"/>
  <c r="J24" i="19"/>
  <c r="H24" i="19"/>
  <c r="B24" i="19"/>
  <c r="C24" i="19" s="1"/>
  <c r="J23" i="19"/>
  <c r="H23" i="19"/>
  <c r="B23" i="19"/>
  <c r="C23" i="19" s="1"/>
  <c r="J22" i="19"/>
  <c r="H22" i="19"/>
  <c r="B22" i="19"/>
  <c r="J21" i="19"/>
  <c r="H21" i="19"/>
  <c r="B21" i="19"/>
  <c r="C21" i="19" s="1"/>
  <c r="J20" i="19"/>
  <c r="H20" i="19"/>
  <c r="B20" i="19"/>
  <c r="C20" i="19" s="1"/>
  <c r="J19" i="19"/>
  <c r="H19" i="19"/>
  <c r="B19" i="19"/>
  <c r="J18" i="19"/>
  <c r="H18" i="19"/>
  <c r="B18" i="19"/>
  <c r="J17" i="19"/>
  <c r="H17" i="19"/>
  <c r="B17" i="19"/>
  <c r="C17" i="19" s="1"/>
  <c r="J16" i="19"/>
  <c r="H16" i="19"/>
  <c r="B16" i="19"/>
  <c r="C16" i="19" s="1"/>
  <c r="J15" i="19"/>
  <c r="H15" i="19"/>
  <c r="B15" i="19"/>
  <c r="C15" i="19" s="1"/>
  <c r="J14" i="19"/>
  <c r="H14" i="19"/>
  <c r="B14" i="19"/>
  <c r="C14" i="19" s="1"/>
  <c r="J13" i="19"/>
  <c r="H13" i="19"/>
  <c r="B13" i="19"/>
  <c r="C13" i="19" s="1"/>
  <c r="J12" i="19"/>
  <c r="H12" i="19"/>
  <c r="B12" i="19"/>
  <c r="C12" i="19" s="1"/>
  <c r="J11" i="19"/>
  <c r="H11" i="19"/>
  <c r="B11" i="19"/>
  <c r="C11" i="19" s="1"/>
  <c r="J10" i="19"/>
  <c r="H10" i="19"/>
  <c r="B10" i="19"/>
  <c r="C10" i="19" s="1"/>
  <c r="J9" i="19"/>
  <c r="H9" i="19"/>
  <c r="B9" i="19"/>
  <c r="C9" i="19" s="1"/>
  <c r="J8" i="19"/>
  <c r="H8" i="19"/>
  <c r="B8" i="19"/>
  <c r="C8" i="19" s="1"/>
  <c r="J7" i="19"/>
  <c r="H7" i="19"/>
  <c r="B7" i="19"/>
  <c r="C7" i="19" s="1"/>
  <c r="J6" i="19"/>
  <c r="H6" i="19"/>
  <c r="B6" i="19"/>
  <c r="C6" i="19" s="1"/>
  <c r="J5" i="19"/>
  <c r="H5" i="19"/>
  <c r="B5" i="19"/>
  <c r="C5" i="19" s="1"/>
  <c r="D5" i="19" s="1"/>
  <c r="E5" i="19" s="1"/>
  <c r="H107" i="17"/>
  <c r="H106" i="17"/>
  <c r="H105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D78" i="17"/>
  <c r="G78" i="17" s="1"/>
  <c r="H77" i="17"/>
  <c r="D77" i="17"/>
  <c r="G77" i="17" s="1"/>
  <c r="C77" i="17"/>
  <c r="F77" i="17" s="1"/>
  <c r="H76" i="17"/>
  <c r="D76" i="17"/>
  <c r="G76" i="17" s="1"/>
  <c r="C76" i="17"/>
  <c r="F76" i="17" s="1"/>
  <c r="H75" i="17"/>
  <c r="D75" i="17"/>
  <c r="G75" i="17" s="1"/>
  <c r="C75" i="17"/>
  <c r="F75" i="17" s="1"/>
  <c r="H74" i="17"/>
  <c r="D74" i="17"/>
  <c r="G74" i="17" s="1"/>
  <c r="C74" i="17"/>
  <c r="H73" i="17"/>
  <c r="D73" i="17"/>
  <c r="G73" i="17" s="1"/>
  <c r="C73" i="17"/>
  <c r="F73" i="17" s="1"/>
  <c r="H72" i="17"/>
  <c r="D72" i="17"/>
  <c r="G72" i="17" s="1"/>
  <c r="C72" i="17"/>
  <c r="F72" i="17" s="1"/>
  <c r="H71" i="17"/>
  <c r="D71" i="17"/>
  <c r="G71" i="17" s="1"/>
  <c r="C71" i="17"/>
  <c r="F71" i="17" s="1"/>
  <c r="H70" i="17"/>
  <c r="D70" i="17"/>
  <c r="G70" i="17" s="1"/>
  <c r="C70" i="17"/>
  <c r="H69" i="17"/>
  <c r="D69" i="17"/>
  <c r="G69" i="17" s="1"/>
  <c r="C69" i="17"/>
  <c r="F69" i="17" s="1"/>
  <c r="H68" i="17"/>
  <c r="D68" i="17"/>
  <c r="G68" i="17" s="1"/>
  <c r="C68" i="17"/>
  <c r="F68" i="17" s="1"/>
  <c r="H67" i="17"/>
  <c r="D67" i="17"/>
  <c r="G67" i="17" s="1"/>
  <c r="C67" i="17"/>
  <c r="F67" i="17" s="1"/>
  <c r="H66" i="17"/>
  <c r="D66" i="17"/>
  <c r="G66" i="17" s="1"/>
  <c r="C66" i="17"/>
  <c r="H65" i="17"/>
  <c r="D65" i="17"/>
  <c r="G65" i="17" s="1"/>
  <c r="C65" i="17"/>
  <c r="F65" i="17" s="1"/>
  <c r="H64" i="17"/>
  <c r="D64" i="17"/>
  <c r="G64" i="17" s="1"/>
  <c r="C64" i="17"/>
  <c r="F64" i="17" s="1"/>
  <c r="H63" i="17"/>
  <c r="D63" i="17"/>
  <c r="G63" i="17" s="1"/>
  <c r="C63" i="17"/>
  <c r="F63" i="17" s="1"/>
  <c r="H62" i="17"/>
  <c r="D62" i="17"/>
  <c r="G62" i="17" s="1"/>
  <c r="C62" i="17"/>
  <c r="H61" i="17"/>
  <c r="D61" i="17"/>
  <c r="G61" i="17" s="1"/>
  <c r="C61" i="17"/>
  <c r="F61" i="17" s="1"/>
  <c r="H60" i="17"/>
  <c r="D60" i="17"/>
  <c r="G60" i="17" s="1"/>
  <c r="C60" i="17"/>
  <c r="F60" i="17" s="1"/>
  <c r="H59" i="17"/>
  <c r="D59" i="17"/>
  <c r="G59" i="17" s="1"/>
  <c r="C59" i="17"/>
  <c r="F59" i="17" s="1"/>
  <c r="H58" i="17"/>
  <c r="D58" i="17"/>
  <c r="G58" i="17" s="1"/>
  <c r="C58" i="17"/>
  <c r="H57" i="17"/>
  <c r="D57" i="17"/>
  <c r="G57" i="17" s="1"/>
  <c r="C57" i="17"/>
  <c r="F57" i="17" s="1"/>
  <c r="H56" i="17"/>
  <c r="D56" i="17"/>
  <c r="G56" i="17" s="1"/>
  <c r="C56" i="17"/>
  <c r="F56" i="17" s="1"/>
  <c r="H55" i="17"/>
  <c r="D55" i="17"/>
  <c r="G55" i="17" s="1"/>
  <c r="C55" i="17"/>
  <c r="F55" i="17" s="1"/>
  <c r="H54" i="17"/>
  <c r="D54" i="17"/>
  <c r="G54" i="17" s="1"/>
  <c r="C54" i="17"/>
  <c r="H53" i="17"/>
  <c r="D53" i="17"/>
  <c r="G53" i="17" s="1"/>
  <c r="C53" i="17"/>
  <c r="F53" i="17" s="1"/>
  <c r="H52" i="17"/>
  <c r="D52" i="17"/>
  <c r="G52" i="17" s="1"/>
  <c r="C52" i="17"/>
  <c r="F52" i="17" s="1"/>
  <c r="H51" i="17"/>
  <c r="D51" i="17"/>
  <c r="G51" i="17" s="1"/>
  <c r="C51" i="17"/>
  <c r="F51" i="17" s="1"/>
  <c r="H50" i="17"/>
  <c r="D50" i="17"/>
  <c r="G50" i="17" s="1"/>
  <c r="C50" i="17"/>
  <c r="H49" i="17"/>
  <c r="D49" i="17"/>
  <c r="G49" i="17" s="1"/>
  <c r="C49" i="17"/>
  <c r="F49" i="17" s="1"/>
  <c r="H48" i="17"/>
  <c r="D48" i="17"/>
  <c r="G48" i="17" s="1"/>
  <c r="C48" i="17"/>
  <c r="F48" i="17" s="1"/>
  <c r="H47" i="17"/>
  <c r="D47" i="17"/>
  <c r="G47" i="17" s="1"/>
  <c r="C47" i="17"/>
  <c r="F47" i="17" s="1"/>
  <c r="H46" i="17"/>
  <c r="D46" i="17"/>
  <c r="G46" i="17" s="1"/>
  <c r="C46" i="17"/>
  <c r="H45" i="17"/>
  <c r="D45" i="17"/>
  <c r="G45" i="17" s="1"/>
  <c r="C45" i="17"/>
  <c r="F45" i="17" s="1"/>
  <c r="H44" i="17"/>
  <c r="D44" i="17"/>
  <c r="G44" i="17" s="1"/>
  <c r="C44" i="17"/>
  <c r="F44" i="17" s="1"/>
  <c r="H43" i="17"/>
  <c r="D43" i="17"/>
  <c r="G43" i="17" s="1"/>
  <c r="C43" i="17"/>
  <c r="F43" i="17" s="1"/>
  <c r="H42" i="17"/>
  <c r="D42" i="17"/>
  <c r="G42" i="17" s="1"/>
  <c r="C42" i="17"/>
  <c r="H41" i="17"/>
  <c r="D41" i="17"/>
  <c r="G41" i="17" s="1"/>
  <c r="C41" i="17"/>
  <c r="F41" i="17" s="1"/>
  <c r="H40" i="17"/>
  <c r="D40" i="17"/>
  <c r="G40" i="17" s="1"/>
  <c r="C40" i="17"/>
  <c r="F40" i="17" s="1"/>
  <c r="H39" i="17"/>
  <c r="D39" i="17"/>
  <c r="G39" i="17" s="1"/>
  <c r="C39" i="17"/>
  <c r="F39" i="17" s="1"/>
  <c r="H38" i="17"/>
  <c r="D38" i="17"/>
  <c r="G38" i="17" s="1"/>
  <c r="C38" i="17"/>
  <c r="H37" i="17"/>
  <c r="D37" i="17"/>
  <c r="G37" i="17" s="1"/>
  <c r="C37" i="17"/>
  <c r="F37" i="17" s="1"/>
  <c r="H36" i="17"/>
  <c r="D36" i="17"/>
  <c r="G36" i="17" s="1"/>
  <c r="C36" i="17"/>
  <c r="F36" i="17" s="1"/>
  <c r="H35" i="17"/>
  <c r="D35" i="17"/>
  <c r="G35" i="17" s="1"/>
  <c r="C35" i="17"/>
  <c r="F35" i="17" s="1"/>
  <c r="H34" i="17"/>
  <c r="D34" i="17"/>
  <c r="G34" i="17" s="1"/>
  <c r="C34" i="17"/>
  <c r="H33" i="17"/>
  <c r="D33" i="17"/>
  <c r="G33" i="17" s="1"/>
  <c r="C33" i="17"/>
  <c r="F33" i="17" s="1"/>
  <c r="H32" i="17"/>
  <c r="D32" i="17"/>
  <c r="G32" i="17" s="1"/>
  <c r="C32" i="17"/>
  <c r="F32" i="17" s="1"/>
  <c r="H31" i="17"/>
  <c r="D31" i="17"/>
  <c r="G31" i="17" s="1"/>
  <c r="C31" i="17"/>
  <c r="F31" i="17" s="1"/>
  <c r="H30" i="17"/>
  <c r="D30" i="17"/>
  <c r="G30" i="17" s="1"/>
  <c r="C30" i="17"/>
  <c r="H29" i="17"/>
  <c r="D29" i="17"/>
  <c r="G29" i="17" s="1"/>
  <c r="C29" i="17"/>
  <c r="F29" i="17" s="1"/>
  <c r="H28" i="17"/>
  <c r="D28" i="17"/>
  <c r="G28" i="17" s="1"/>
  <c r="C28" i="17"/>
  <c r="F28" i="17" s="1"/>
  <c r="H27" i="17"/>
  <c r="D27" i="17"/>
  <c r="G27" i="17" s="1"/>
  <c r="C27" i="17"/>
  <c r="F27" i="17" s="1"/>
  <c r="H26" i="17"/>
  <c r="D26" i="17"/>
  <c r="G26" i="17" s="1"/>
  <c r="C26" i="17"/>
  <c r="H25" i="17"/>
  <c r="D25" i="17"/>
  <c r="G25" i="17" s="1"/>
  <c r="C25" i="17"/>
  <c r="F25" i="17" s="1"/>
  <c r="H24" i="17"/>
  <c r="D24" i="17"/>
  <c r="G24" i="17" s="1"/>
  <c r="C24" i="17"/>
  <c r="F24" i="17" s="1"/>
  <c r="H23" i="17"/>
  <c r="D23" i="17"/>
  <c r="G23" i="17" s="1"/>
  <c r="C23" i="17"/>
  <c r="F23" i="17" s="1"/>
  <c r="H22" i="17"/>
  <c r="D22" i="17"/>
  <c r="G22" i="17" s="1"/>
  <c r="C22" i="17"/>
  <c r="H21" i="17"/>
  <c r="D21" i="17"/>
  <c r="G21" i="17" s="1"/>
  <c r="C21" i="17"/>
  <c r="F21" i="17" s="1"/>
  <c r="H20" i="17"/>
  <c r="D20" i="17"/>
  <c r="G20" i="17" s="1"/>
  <c r="C20" i="17"/>
  <c r="F20" i="17" s="1"/>
  <c r="H19" i="17"/>
  <c r="D19" i="17"/>
  <c r="G19" i="17" s="1"/>
  <c r="C19" i="17"/>
  <c r="F19" i="17" s="1"/>
  <c r="H18" i="17"/>
  <c r="D18" i="17"/>
  <c r="G18" i="17" s="1"/>
  <c r="C18" i="17"/>
  <c r="H17" i="17"/>
  <c r="D17" i="17"/>
  <c r="G17" i="17" s="1"/>
  <c r="C17" i="17"/>
  <c r="F17" i="17" s="1"/>
  <c r="H16" i="17"/>
  <c r="D16" i="17"/>
  <c r="G16" i="17" s="1"/>
  <c r="C16" i="17"/>
  <c r="F16" i="17" s="1"/>
  <c r="H15" i="17"/>
  <c r="D15" i="17"/>
  <c r="G15" i="17" s="1"/>
  <c r="C15" i="17"/>
  <c r="F15" i="17" s="1"/>
  <c r="H14" i="17"/>
  <c r="D14" i="17"/>
  <c r="G14" i="17" s="1"/>
  <c r="C14" i="17"/>
  <c r="H13" i="17"/>
  <c r="D13" i="17"/>
  <c r="G13" i="17" s="1"/>
  <c r="C13" i="17"/>
  <c r="F13" i="17" s="1"/>
  <c r="H12" i="17"/>
  <c r="D12" i="17"/>
  <c r="G12" i="17" s="1"/>
  <c r="C12" i="17"/>
  <c r="F12" i="17" s="1"/>
  <c r="H11" i="17"/>
  <c r="D11" i="17"/>
  <c r="G11" i="17" s="1"/>
  <c r="C11" i="17"/>
  <c r="F11" i="17" s="1"/>
  <c r="H10" i="17"/>
  <c r="D10" i="17"/>
  <c r="G10" i="17" s="1"/>
  <c r="C10" i="17"/>
  <c r="H9" i="17"/>
  <c r="D9" i="17"/>
  <c r="G9" i="17" s="1"/>
  <c r="C9" i="17"/>
  <c r="F9" i="17" s="1"/>
  <c r="H8" i="17"/>
  <c r="D8" i="17"/>
  <c r="G8" i="17" s="1"/>
  <c r="C8" i="17"/>
  <c r="F8" i="17" s="1"/>
  <c r="H7" i="17"/>
  <c r="D7" i="17"/>
  <c r="G7" i="17" s="1"/>
  <c r="C7" i="17"/>
  <c r="F7" i="17" s="1"/>
  <c r="H6" i="17"/>
  <c r="D6" i="17"/>
  <c r="G6" i="17" s="1"/>
  <c r="C6" i="17"/>
  <c r="H5" i="17"/>
  <c r="D5" i="17"/>
  <c r="G5" i="17" s="1"/>
  <c r="C5" i="17"/>
  <c r="F5" i="17" s="1"/>
  <c r="H4" i="17"/>
  <c r="C4" i="17"/>
  <c r="S11" i="23" l="1"/>
  <c r="S12" i="23" s="1"/>
  <c r="S13" i="23" s="1"/>
  <c r="S14" i="23" s="1"/>
  <c r="S15" i="23" s="1"/>
  <c r="S16" i="23" s="1"/>
  <c r="S17" i="23" s="1"/>
  <c r="S18" i="23" s="1"/>
  <c r="S19" i="23" s="1"/>
  <c r="S20" i="23" s="1"/>
  <c r="S21" i="23" s="1"/>
  <c r="S22" i="23" s="1"/>
  <c r="S23" i="23" s="1"/>
  <c r="S24" i="23" s="1"/>
  <c r="S25" i="23" s="1"/>
  <c r="S26" i="23" s="1"/>
  <c r="S27" i="23" s="1"/>
  <c r="S28" i="23" s="1"/>
  <c r="S29" i="23" s="1"/>
  <c r="S30" i="23" s="1"/>
  <c r="S31" i="23" s="1"/>
  <c r="S32" i="23" s="1"/>
  <c r="S33" i="23" s="1"/>
  <c r="D5" i="22"/>
  <c r="E5" i="22" s="1"/>
  <c r="K5" i="22" s="1"/>
  <c r="L5" i="22" s="1"/>
  <c r="G9" i="23"/>
  <c r="I9" i="23" s="1"/>
  <c r="Q28" i="23"/>
  <c r="Q27" i="23"/>
  <c r="Q29" i="23"/>
  <c r="G12" i="23"/>
  <c r="G28" i="23"/>
  <c r="G27" i="23"/>
  <c r="G11" i="23"/>
  <c r="C10" i="23"/>
  <c r="C11" i="23"/>
  <c r="C12" i="23"/>
  <c r="C13" i="23"/>
  <c r="G13" i="23" s="1"/>
  <c r="C14" i="23"/>
  <c r="C15" i="23"/>
  <c r="C16" i="23"/>
  <c r="C17" i="23"/>
  <c r="G17" i="23" s="1"/>
  <c r="C18" i="23"/>
  <c r="G18" i="23" s="1"/>
  <c r="C19" i="23"/>
  <c r="G19" i="23" s="1"/>
  <c r="C20" i="23"/>
  <c r="C21" i="23"/>
  <c r="G21" i="23" s="1"/>
  <c r="C22" i="23"/>
  <c r="C23" i="23"/>
  <c r="C24" i="23"/>
  <c r="C25" i="23"/>
  <c r="G25" i="23" s="1"/>
  <c r="C26" i="23"/>
  <c r="C27" i="23"/>
  <c r="C28" i="23"/>
  <c r="C29" i="23"/>
  <c r="C30" i="23"/>
  <c r="C31" i="23"/>
  <c r="G31" i="23" s="1"/>
  <c r="C32" i="23"/>
  <c r="C33" i="23"/>
  <c r="G33" i="23" s="1"/>
  <c r="D9" i="23"/>
  <c r="E9" i="23" s="1"/>
  <c r="K9" i="23" s="1"/>
  <c r="L9" i="23" s="1"/>
  <c r="O28" i="23"/>
  <c r="O29" i="23"/>
  <c r="O30" i="23"/>
  <c r="G7" i="22"/>
  <c r="G22" i="22"/>
  <c r="I16" i="22"/>
  <c r="G18" i="22"/>
  <c r="I20" i="22"/>
  <c r="G26" i="22"/>
  <c r="I12" i="22"/>
  <c r="G14" i="22"/>
  <c r="I27" i="22"/>
  <c r="G6" i="22"/>
  <c r="G23" i="22"/>
  <c r="G29" i="22"/>
  <c r="G10" i="22"/>
  <c r="G19" i="22"/>
  <c r="I8" i="22"/>
  <c r="G15" i="22"/>
  <c r="G11" i="22"/>
  <c r="I24" i="22"/>
  <c r="G28" i="22"/>
  <c r="G5" i="22"/>
  <c r="G9" i="22"/>
  <c r="G13" i="22"/>
  <c r="G17" i="22"/>
  <c r="G21" i="22"/>
  <c r="N27" i="22"/>
  <c r="G25" i="22"/>
  <c r="G16" i="14"/>
  <c r="G12" i="14"/>
  <c r="I19" i="14"/>
  <c r="G28" i="14"/>
  <c r="I9" i="14"/>
  <c r="G10" i="14"/>
  <c r="I17" i="14"/>
  <c r="G26" i="14"/>
  <c r="G8" i="14"/>
  <c r="G15" i="14"/>
  <c r="G29" i="14"/>
  <c r="G24" i="14"/>
  <c r="G6" i="14"/>
  <c r="I11" i="14"/>
  <c r="G22" i="14"/>
  <c r="I27" i="14"/>
  <c r="G18" i="14"/>
  <c r="I25" i="14"/>
  <c r="C6" i="14"/>
  <c r="D6" i="14" s="1"/>
  <c r="E6" i="14" s="1"/>
  <c r="K6" i="14" s="1"/>
  <c r="L6" i="14" s="1"/>
  <c r="C14" i="14"/>
  <c r="G14" i="14" s="1"/>
  <c r="C22" i="14"/>
  <c r="I5" i="14"/>
  <c r="M5" i="14" s="1"/>
  <c r="C12" i="14"/>
  <c r="I13" i="14"/>
  <c r="C20" i="14"/>
  <c r="I21" i="14"/>
  <c r="C28" i="14"/>
  <c r="C7" i="14"/>
  <c r="D7" i="14" s="1"/>
  <c r="E7" i="14" s="1"/>
  <c r="K7" i="14" s="1"/>
  <c r="L7" i="14" s="1"/>
  <c r="C15" i="14"/>
  <c r="C23" i="14"/>
  <c r="O27" i="13"/>
  <c r="P27" i="13" s="1"/>
  <c r="G23" i="13"/>
  <c r="C15" i="13"/>
  <c r="G15" i="13" s="1"/>
  <c r="L5" i="13"/>
  <c r="G18" i="13"/>
  <c r="G24" i="13"/>
  <c r="C26" i="13"/>
  <c r="G26" i="13" s="1"/>
  <c r="C10" i="13"/>
  <c r="G10" i="13" s="1"/>
  <c r="C16" i="13"/>
  <c r="G16" i="13" s="1"/>
  <c r="C8" i="13"/>
  <c r="G8" i="13" s="1"/>
  <c r="I6" i="13"/>
  <c r="G21" i="13"/>
  <c r="G17" i="13"/>
  <c r="G9" i="13"/>
  <c r="G28" i="13"/>
  <c r="G7" i="13"/>
  <c r="I22" i="13"/>
  <c r="I24" i="13"/>
  <c r="I14" i="13"/>
  <c r="C11" i="13"/>
  <c r="I12" i="13"/>
  <c r="C19" i="13"/>
  <c r="G19" i="13" s="1"/>
  <c r="I20" i="13"/>
  <c r="C27" i="13"/>
  <c r="G27" i="13" s="1"/>
  <c r="G29" i="13"/>
  <c r="G13" i="13"/>
  <c r="D6" i="13"/>
  <c r="E6" i="13" s="1"/>
  <c r="K6" i="13" s="1"/>
  <c r="L6" i="13" s="1"/>
  <c r="C25" i="13"/>
  <c r="G25" i="13" s="1"/>
  <c r="G5" i="13"/>
  <c r="F4" i="17"/>
  <c r="F6" i="17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D6" i="19"/>
  <c r="E6" i="19" s="1"/>
  <c r="C12" i="20"/>
  <c r="G12" i="20" s="1"/>
  <c r="I12" i="20" s="1"/>
  <c r="C20" i="20"/>
  <c r="G20" i="20" s="1"/>
  <c r="I20" i="20" s="1"/>
  <c r="C26" i="20"/>
  <c r="G26" i="20" s="1"/>
  <c r="I26" i="20" s="1"/>
  <c r="C10" i="20"/>
  <c r="G10" i="20" s="1"/>
  <c r="I10" i="20" s="1"/>
  <c r="C18" i="20"/>
  <c r="G18" i="20" s="1"/>
  <c r="I18" i="20" s="1"/>
  <c r="G6" i="20"/>
  <c r="I6" i="20" s="1"/>
  <c r="C8" i="20"/>
  <c r="G8" i="20" s="1"/>
  <c r="I8" i="20" s="1"/>
  <c r="G14" i="20"/>
  <c r="I14" i="20" s="1"/>
  <c r="C16" i="20"/>
  <c r="G16" i="20" s="1"/>
  <c r="I16" i="20" s="1"/>
  <c r="G22" i="20"/>
  <c r="I22" i="20" s="1"/>
  <c r="L5" i="20"/>
  <c r="D6" i="20"/>
  <c r="E6" i="20" s="1"/>
  <c r="K6" i="20" s="1"/>
  <c r="L6" i="20" s="1"/>
  <c r="G5" i="20"/>
  <c r="G17" i="20"/>
  <c r="G10" i="19"/>
  <c r="G11" i="19"/>
  <c r="I11" i="19" s="1"/>
  <c r="C22" i="19"/>
  <c r="G22" i="19" s="1"/>
  <c r="I22" i="19" s="1"/>
  <c r="C9" i="20"/>
  <c r="C13" i="20"/>
  <c r="G13" i="20" s="1"/>
  <c r="C21" i="20"/>
  <c r="G24" i="20"/>
  <c r="C25" i="20"/>
  <c r="G25" i="20" s="1"/>
  <c r="G28" i="20"/>
  <c r="C29" i="20"/>
  <c r="G29" i="20" s="1"/>
  <c r="G23" i="19"/>
  <c r="I23" i="19" s="1"/>
  <c r="G7" i="20"/>
  <c r="G11" i="20"/>
  <c r="G15" i="20"/>
  <c r="G19" i="20"/>
  <c r="G23" i="20"/>
  <c r="G27" i="20"/>
  <c r="G6" i="19"/>
  <c r="I6" i="19" s="1"/>
  <c r="G7" i="19"/>
  <c r="I7" i="19" s="1"/>
  <c r="G15" i="19"/>
  <c r="I15" i="19" s="1"/>
  <c r="G17" i="19"/>
  <c r="I17" i="19" s="1"/>
  <c r="C18" i="19"/>
  <c r="G18" i="19" s="1"/>
  <c r="I18" i="19" s="1"/>
  <c r="C19" i="19"/>
  <c r="G19" i="19" s="1"/>
  <c r="I19" i="19" s="1"/>
  <c r="C26" i="19"/>
  <c r="G26" i="19" s="1"/>
  <c r="I26" i="19" s="1"/>
  <c r="C27" i="19"/>
  <c r="G27" i="19" s="1"/>
  <c r="I27" i="19" s="1"/>
  <c r="K6" i="19"/>
  <c r="L6" i="19" s="1"/>
  <c r="M6" i="19" s="1"/>
  <c r="D7" i="19"/>
  <c r="E7" i="19" s="1"/>
  <c r="K7" i="19" s="1"/>
  <c r="L7" i="19" s="1"/>
  <c r="M7" i="19" s="1"/>
  <c r="K5" i="19"/>
  <c r="L5" i="19" s="1"/>
  <c r="G5" i="19"/>
  <c r="G21" i="19"/>
  <c r="G13" i="19"/>
  <c r="G14" i="19"/>
  <c r="G29" i="19"/>
  <c r="G9" i="19"/>
  <c r="I10" i="19"/>
  <c r="G25" i="19"/>
  <c r="G12" i="19"/>
  <c r="G8" i="19"/>
  <c r="G16" i="19"/>
  <c r="G20" i="19"/>
  <c r="G24" i="19"/>
  <c r="G28" i="19"/>
  <c r="D6" i="22" l="1"/>
  <c r="E6" i="22" s="1"/>
  <c r="K6" i="22" s="1"/>
  <c r="L6" i="22" s="1"/>
  <c r="M6" i="22" s="1"/>
  <c r="M9" i="23"/>
  <c r="I13" i="23"/>
  <c r="I19" i="23"/>
  <c r="I18" i="23"/>
  <c r="I25" i="23"/>
  <c r="I21" i="23"/>
  <c r="I27" i="23"/>
  <c r="I33" i="23"/>
  <c r="I12" i="23"/>
  <c r="I17" i="23"/>
  <c r="G32" i="23"/>
  <c r="G22" i="23"/>
  <c r="G23" i="23"/>
  <c r="G24" i="23"/>
  <c r="G14" i="23"/>
  <c r="G15" i="23"/>
  <c r="G30" i="23"/>
  <c r="I31" i="23"/>
  <c r="G16" i="23"/>
  <c r="D10" i="23"/>
  <c r="E10" i="23" s="1"/>
  <c r="K10" i="23" s="1"/>
  <c r="L10" i="23" s="1"/>
  <c r="I28" i="23"/>
  <c r="G26" i="23"/>
  <c r="G29" i="23"/>
  <c r="I11" i="23"/>
  <c r="G20" i="23"/>
  <c r="G10" i="23"/>
  <c r="I13" i="22"/>
  <c r="I7" i="22"/>
  <c r="I29" i="22"/>
  <c r="I5" i="22"/>
  <c r="M5" i="22" s="1"/>
  <c r="I6" i="22"/>
  <c r="I15" i="22"/>
  <c r="I18" i="22"/>
  <c r="I19" i="22"/>
  <c r="I26" i="22"/>
  <c r="I25" i="22"/>
  <c r="I23" i="22"/>
  <c r="I9" i="22"/>
  <c r="I28" i="22"/>
  <c r="I21" i="22"/>
  <c r="I22" i="22"/>
  <c r="I17" i="22"/>
  <c r="I11" i="22"/>
  <c r="I10" i="22"/>
  <c r="I14" i="22"/>
  <c r="I14" i="14"/>
  <c r="I24" i="14"/>
  <c r="D8" i="14"/>
  <c r="E8" i="14" s="1"/>
  <c r="G7" i="14"/>
  <c r="I8" i="14"/>
  <c r="I22" i="14"/>
  <c r="G20" i="14"/>
  <c r="I28" i="14"/>
  <c r="I29" i="14"/>
  <c r="I10" i="14"/>
  <c r="I18" i="14"/>
  <c r="I26" i="14"/>
  <c r="I6" i="14"/>
  <c r="M6" i="14" s="1"/>
  <c r="I16" i="14"/>
  <c r="I12" i="14"/>
  <c r="I15" i="14"/>
  <c r="G23" i="14"/>
  <c r="O26" i="13"/>
  <c r="M6" i="13"/>
  <c r="I15" i="13"/>
  <c r="I8" i="13"/>
  <c r="I23" i="13"/>
  <c r="I16" i="13"/>
  <c r="I10" i="13"/>
  <c r="I18" i="13"/>
  <c r="I26" i="13"/>
  <c r="I27" i="13"/>
  <c r="I19" i="13"/>
  <c r="I7" i="13"/>
  <c r="I25" i="13"/>
  <c r="D7" i="13"/>
  <c r="E7" i="13" s="1"/>
  <c r="I29" i="13"/>
  <c r="I28" i="13"/>
  <c r="I21" i="13"/>
  <c r="I5" i="13"/>
  <c r="M5" i="13" s="1"/>
  <c r="I17" i="13"/>
  <c r="I9" i="13"/>
  <c r="I13" i="13"/>
  <c r="G11" i="13"/>
  <c r="D8" i="19"/>
  <c r="E8" i="19" s="1"/>
  <c r="K8" i="19" s="1"/>
  <c r="L8" i="19" s="1"/>
  <c r="M6" i="20"/>
  <c r="I29" i="20"/>
  <c r="I27" i="20"/>
  <c r="I11" i="20"/>
  <c r="I28" i="20"/>
  <c r="D7" i="20"/>
  <c r="E7" i="20" s="1"/>
  <c r="I23" i="20"/>
  <c r="I7" i="20"/>
  <c r="I17" i="20"/>
  <c r="G9" i="20"/>
  <c r="I15" i="20"/>
  <c r="I13" i="20"/>
  <c r="I25" i="20"/>
  <c r="I19" i="20"/>
  <c r="I24" i="20"/>
  <c r="I5" i="20"/>
  <c r="M5" i="20" s="1"/>
  <c r="G21" i="20"/>
  <c r="I14" i="19"/>
  <c r="I24" i="19"/>
  <c r="I12" i="19"/>
  <c r="I29" i="19"/>
  <c r="I13" i="19"/>
  <c r="I5" i="19"/>
  <c r="M5" i="19" s="1"/>
  <c r="I16" i="19"/>
  <c r="I28" i="19"/>
  <c r="I8" i="19"/>
  <c r="M8" i="19" s="1"/>
  <c r="I20" i="19"/>
  <c r="I25" i="19"/>
  <c r="I9" i="19"/>
  <c r="I21" i="19"/>
  <c r="D7" i="22" l="1"/>
  <c r="E7" i="22" s="1"/>
  <c r="D8" i="22" s="1"/>
  <c r="E8" i="22" s="1"/>
  <c r="I23" i="23"/>
  <c r="I16" i="23"/>
  <c r="I15" i="23"/>
  <c r="I22" i="23"/>
  <c r="I20" i="23"/>
  <c r="I30" i="23"/>
  <c r="D11" i="23"/>
  <c r="E11" i="23" s="1"/>
  <c r="I14" i="23"/>
  <c r="I32" i="23"/>
  <c r="I29" i="23"/>
  <c r="I10" i="23"/>
  <c r="M10" i="23" s="1"/>
  <c r="I26" i="23"/>
  <c r="I24" i="23"/>
  <c r="I7" i="14"/>
  <c r="M7" i="14" s="1"/>
  <c r="K8" i="14"/>
  <c r="L8" i="14" s="1"/>
  <c r="M8" i="14" s="1"/>
  <c r="D9" i="14"/>
  <c r="E9" i="14" s="1"/>
  <c r="I23" i="14"/>
  <c r="I20" i="14"/>
  <c r="O25" i="13"/>
  <c r="K7" i="13"/>
  <c r="L7" i="13" s="1"/>
  <c r="M7" i="13" s="1"/>
  <c r="D8" i="13"/>
  <c r="E8" i="13" s="1"/>
  <c r="I11" i="13"/>
  <c r="D9" i="19"/>
  <c r="E9" i="19" s="1"/>
  <c r="K9" i="19" s="1"/>
  <c r="L9" i="19" s="1"/>
  <c r="M9" i="19" s="1"/>
  <c r="I9" i="20"/>
  <c r="K7" i="20"/>
  <c r="L7" i="20" s="1"/>
  <c r="M7" i="20" s="1"/>
  <c r="D8" i="20"/>
  <c r="E8" i="20" s="1"/>
  <c r="I21" i="20"/>
  <c r="K7" i="22" l="1"/>
  <c r="L7" i="22" s="1"/>
  <c r="M7" i="22" s="1"/>
  <c r="K11" i="23"/>
  <c r="L11" i="23" s="1"/>
  <c r="M11" i="23" s="1"/>
  <c r="D12" i="23"/>
  <c r="E12" i="23" s="1"/>
  <c r="K8" i="22"/>
  <c r="L8" i="22" s="1"/>
  <c r="M8" i="22" s="1"/>
  <c r="D9" i="22"/>
  <c r="E9" i="22" s="1"/>
  <c r="K9" i="14"/>
  <c r="L9" i="14" s="1"/>
  <c r="M9" i="14" s="1"/>
  <c r="D10" i="14"/>
  <c r="E10" i="14" s="1"/>
  <c r="O24" i="13"/>
  <c r="K8" i="13"/>
  <c r="L8" i="13" s="1"/>
  <c r="M8" i="13" s="1"/>
  <c r="D9" i="13"/>
  <c r="E9" i="13" s="1"/>
  <c r="D10" i="19"/>
  <c r="E10" i="19" s="1"/>
  <c r="K8" i="20"/>
  <c r="L8" i="20" s="1"/>
  <c r="M8" i="20" s="1"/>
  <c r="D9" i="20"/>
  <c r="E9" i="20" s="1"/>
  <c r="K12" i="23" l="1"/>
  <c r="L12" i="23" s="1"/>
  <c r="M12" i="23" s="1"/>
  <c r="D13" i="23"/>
  <c r="E13" i="23" s="1"/>
  <c r="K9" i="22"/>
  <c r="L9" i="22" s="1"/>
  <c r="M9" i="22" s="1"/>
  <c r="D10" i="22"/>
  <c r="E10" i="22" s="1"/>
  <c r="K10" i="14"/>
  <c r="L10" i="14" s="1"/>
  <c r="M10" i="14" s="1"/>
  <c r="D11" i="14"/>
  <c r="E11" i="14" s="1"/>
  <c r="O23" i="13"/>
  <c r="K9" i="13"/>
  <c r="L9" i="13" s="1"/>
  <c r="M9" i="13" s="1"/>
  <c r="D10" i="13"/>
  <c r="E10" i="13" s="1"/>
  <c r="D11" i="19"/>
  <c r="E11" i="19" s="1"/>
  <c r="K10" i="19"/>
  <c r="L10" i="19" s="1"/>
  <c r="M10" i="19" s="1"/>
  <c r="K9" i="20"/>
  <c r="L9" i="20" s="1"/>
  <c r="M9" i="20" s="1"/>
  <c r="D10" i="20"/>
  <c r="E10" i="20" s="1"/>
  <c r="K13" i="23" l="1"/>
  <c r="L13" i="23" s="1"/>
  <c r="M13" i="23" s="1"/>
  <c r="D14" i="23"/>
  <c r="E14" i="23" s="1"/>
  <c r="K10" i="22"/>
  <c r="L10" i="22" s="1"/>
  <c r="M10" i="22" s="1"/>
  <c r="D11" i="22"/>
  <c r="E11" i="22" s="1"/>
  <c r="K11" i="14"/>
  <c r="L11" i="14" s="1"/>
  <c r="M11" i="14" s="1"/>
  <c r="D12" i="14"/>
  <c r="E12" i="14" s="1"/>
  <c r="O22" i="13"/>
  <c r="P22" i="13" s="1"/>
  <c r="K10" i="13"/>
  <c r="L10" i="13" s="1"/>
  <c r="M10" i="13" s="1"/>
  <c r="D11" i="13"/>
  <c r="E11" i="13" s="1"/>
  <c r="K11" i="19"/>
  <c r="L11" i="19" s="1"/>
  <c r="M11" i="19" s="1"/>
  <c r="D12" i="19"/>
  <c r="E12" i="19" s="1"/>
  <c r="K10" i="20"/>
  <c r="L10" i="20" s="1"/>
  <c r="M10" i="20" s="1"/>
  <c r="D11" i="20"/>
  <c r="E11" i="20" s="1"/>
  <c r="K14" i="23" l="1"/>
  <c r="L14" i="23" s="1"/>
  <c r="M14" i="23" s="1"/>
  <c r="D15" i="23"/>
  <c r="E15" i="23" s="1"/>
  <c r="K11" i="22"/>
  <c r="L11" i="22" s="1"/>
  <c r="M11" i="22" s="1"/>
  <c r="D12" i="22"/>
  <c r="E12" i="22" s="1"/>
  <c r="K12" i="14"/>
  <c r="L12" i="14" s="1"/>
  <c r="M12" i="14" s="1"/>
  <c r="D13" i="14"/>
  <c r="E13" i="14" s="1"/>
  <c r="O21" i="13"/>
  <c r="P21" i="13" s="1"/>
  <c r="D12" i="13"/>
  <c r="E12" i="13" s="1"/>
  <c r="K11" i="13"/>
  <c r="L11" i="13" s="1"/>
  <c r="M11" i="13" s="1"/>
  <c r="K12" i="19"/>
  <c r="L12" i="19" s="1"/>
  <c r="M12" i="19" s="1"/>
  <c r="D13" i="19"/>
  <c r="E13" i="19" s="1"/>
  <c r="K11" i="20"/>
  <c r="L11" i="20" s="1"/>
  <c r="M11" i="20" s="1"/>
  <c r="D12" i="20"/>
  <c r="E12" i="20" s="1"/>
  <c r="K15" i="23" l="1"/>
  <c r="L15" i="23" s="1"/>
  <c r="M15" i="23" s="1"/>
  <c r="D16" i="23"/>
  <c r="E16" i="23" s="1"/>
  <c r="K12" i="22"/>
  <c r="L12" i="22" s="1"/>
  <c r="M12" i="22" s="1"/>
  <c r="D13" i="22"/>
  <c r="E13" i="22" s="1"/>
  <c r="K13" i="14"/>
  <c r="L13" i="14" s="1"/>
  <c r="M13" i="14" s="1"/>
  <c r="D14" i="14"/>
  <c r="E14" i="14" s="1"/>
  <c r="O20" i="13"/>
  <c r="P20" i="13" s="1"/>
  <c r="K12" i="13"/>
  <c r="L12" i="13" s="1"/>
  <c r="M12" i="13" s="1"/>
  <c r="D13" i="13"/>
  <c r="E13" i="13" s="1"/>
  <c r="D14" i="19"/>
  <c r="E14" i="19" s="1"/>
  <c r="K13" i="19"/>
  <c r="L13" i="19" s="1"/>
  <c r="M13" i="19" s="1"/>
  <c r="K12" i="20"/>
  <c r="L12" i="20" s="1"/>
  <c r="M12" i="20" s="1"/>
  <c r="D13" i="20"/>
  <c r="E13" i="20" s="1"/>
  <c r="K16" i="23" l="1"/>
  <c r="L16" i="23" s="1"/>
  <c r="M16" i="23" s="1"/>
  <c r="D17" i="23"/>
  <c r="E17" i="23" s="1"/>
  <c r="K13" i="22"/>
  <c r="L13" i="22" s="1"/>
  <c r="M13" i="22" s="1"/>
  <c r="D14" i="22"/>
  <c r="E14" i="22" s="1"/>
  <c r="K14" i="14"/>
  <c r="L14" i="14" s="1"/>
  <c r="M14" i="14" s="1"/>
  <c r="D15" i="14"/>
  <c r="E15" i="14" s="1"/>
  <c r="O19" i="13"/>
  <c r="P19" i="13" s="1"/>
  <c r="K13" i="13"/>
  <c r="L13" i="13" s="1"/>
  <c r="M13" i="13" s="1"/>
  <c r="D14" i="13"/>
  <c r="E14" i="13" s="1"/>
  <c r="K14" i="19"/>
  <c r="L14" i="19" s="1"/>
  <c r="M14" i="19" s="1"/>
  <c r="D15" i="19"/>
  <c r="E15" i="19" s="1"/>
  <c r="K13" i="20"/>
  <c r="L13" i="20" s="1"/>
  <c r="M13" i="20" s="1"/>
  <c r="D14" i="20"/>
  <c r="E14" i="20" s="1"/>
  <c r="K17" i="23" l="1"/>
  <c r="L17" i="23" s="1"/>
  <c r="M17" i="23" s="1"/>
  <c r="D18" i="23"/>
  <c r="E18" i="23" s="1"/>
  <c r="K14" i="22"/>
  <c r="L14" i="22" s="1"/>
  <c r="M14" i="22" s="1"/>
  <c r="D15" i="22"/>
  <c r="E15" i="22" s="1"/>
  <c r="K15" i="14"/>
  <c r="L15" i="14" s="1"/>
  <c r="M15" i="14" s="1"/>
  <c r="D16" i="14"/>
  <c r="E16" i="14" s="1"/>
  <c r="O18" i="13"/>
  <c r="P18" i="13" s="1"/>
  <c r="D15" i="13"/>
  <c r="E15" i="13" s="1"/>
  <c r="K14" i="13"/>
  <c r="L14" i="13" s="1"/>
  <c r="M14" i="13" s="1"/>
  <c r="K15" i="19"/>
  <c r="L15" i="19" s="1"/>
  <c r="M15" i="19" s="1"/>
  <c r="D16" i="19"/>
  <c r="E16" i="19" s="1"/>
  <c r="K14" i="20"/>
  <c r="L14" i="20" s="1"/>
  <c r="M14" i="20" s="1"/>
  <c r="D15" i="20"/>
  <c r="E15" i="20" s="1"/>
  <c r="K18" i="23" l="1"/>
  <c r="L18" i="23" s="1"/>
  <c r="M18" i="23" s="1"/>
  <c r="D19" i="23"/>
  <c r="E19" i="23" s="1"/>
  <c r="K15" i="22"/>
  <c r="L15" i="22" s="1"/>
  <c r="M15" i="22" s="1"/>
  <c r="D16" i="22"/>
  <c r="E16" i="22" s="1"/>
  <c r="K16" i="14"/>
  <c r="L16" i="14" s="1"/>
  <c r="M16" i="14" s="1"/>
  <c r="D17" i="14"/>
  <c r="E17" i="14" s="1"/>
  <c r="O17" i="13"/>
  <c r="P17" i="13" s="1"/>
  <c r="K15" i="13"/>
  <c r="L15" i="13" s="1"/>
  <c r="M15" i="13" s="1"/>
  <c r="D16" i="13"/>
  <c r="E16" i="13" s="1"/>
  <c r="K16" i="19"/>
  <c r="L16" i="19" s="1"/>
  <c r="M16" i="19" s="1"/>
  <c r="D17" i="19"/>
  <c r="E17" i="19" s="1"/>
  <c r="K15" i="20"/>
  <c r="L15" i="20" s="1"/>
  <c r="M15" i="20" s="1"/>
  <c r="D16" i="20"/>
  <c r="E16" i="20" s="1"/>
  <c r="K19" i="23" l="1"/>
  <c r="L19" i="23" s="1"/>
  <c r="M19" i="23" s="1"/>
  <c r="D20" i="23"/>
  <c r="E20" i="23" s="1"/>
  <c r="K16" i="22"/>
  <c r="L16" i="22" s="1"/>
  <c r="M16" i="22" s="1"/>
  <c r="D17" i="22"/>
  <c r="E17" i="22" s="1"/>
  <c r="K17" i="14"/>
  <c r="L17" i="14" s="1"/>
  <c r="M17" i="14" s="1"/>
  <c r="D18" i="14"/>
  <c r="E18" i="14" s="1"/>
  <c r="O16" i="13"/>
  <c r="P16" i="13" s="1"/>
  <c r="K16" i="13"/>
  <c r="L16" i="13" s="1"/>
  <c r="M16" i="13" s="1"/>
  <c r="D17" i="13"/>
  <c r="E17" i="13" s="1"/>
  <c r="D18" i="19"/>
  <c r="E18" i="19" s="1"/>
  <c r="K17" i="19"/>
  <c r="L17" i="19" s="1"/>
  <c r="M17" i="19" s="1"/>
  <c r="K16" i="20"/>
  <c r="L16" i="20" s="1"/>
  <c r="M16" i="20" s="1"/>
  <c r="D17" i="20"/>
  <c r="E17" i="20" s="1"/>
  <c r="K20" i="23" l="1"/>
  <c r="L20" i="23" s="1"/>
  <c r="M20" i="23" s="1"/>
  <c r="D21" i="23"/>
  <c r="E21" i="23" s="1"/>
  <c r="K17" i="22"/>
  <c r="L17" i="22" s="1"/>
  <c r="M17" i="22" s="1"/>
  <c r="D18" i="22"/>
  <c r="E18" i="22" s="1"/>
  <c r="K18" i="14"/>
  <c r="L18" i="14" s="1"/>
  <c r="M18" i="14" s="1"/>
  <c r="D19" i="14"/>
  <c r="E19" i="14" s="1"/>
  <c r="O15" i="13"/>
  <c r="P15" i="13" s="1"/>
  <c r="K17" i="13"/>
  <c r="L17" i="13" s="1"/>
  <c r="M17" i="13" s="1"/>
  <c r="D18" i="13"/>
  <c r="E18" i="13" s="1"/>
  <c r="K18" i="19"/>
  <c r="L18" i="19" s="1"/>
  <c r="M18" i="19" s="1"/>
  <c r="D19" i="19"/>
  <c r="E19" i="19" s="1"/>
  <c r="K17" i="20"/>
  <c r="L17" i="20" s="1"/>
  <c r="M17" i="20" s="1"/>
  <c r="D18" i="20"/>
  <c r="E18" i="20" s="1"/>
  <c r="K21" i="23" l="1"/>
  <c r="L21" i="23" s="1"/>
  <c r="M21" i="23" s="1"/>
  <c r="D22" i="23"/>
  <c r="E22" i="23" s="1"/>
  <c r="K18" i="22"/>
  <c r="L18" i="22" s="1"/>
  <c r="M18" i="22" s="1"/>
  <c r="D19" i="22"/>
  <c r="E19" i="22" s="1"/>
  <c r="K19" i="14"/>
  <c r="L19" i="14" s="1"/>
  <c r="M19" i="14" s="1"/>
  <c r="D20" i="14"/>
  <c r="E20" i="14" s="1"/>
  <c r="O14" i="13"/>
  <c r="P14" i="13" s="1"/>
  <c r="K18" i="13"/>
  <c r="L18" i="13" s="1"/>
  <c r="M18" i="13" s="1"/>
  <c r="D19" i="13"/>
  <c r="E19" i="13" s="1"/>
  <c r="K19" i="19"/>
  <c r="L19" i="19" s="1"/>
  <c r="M19" i="19" s="1"/>
  <c r="D20" i="19"/>
  <c r="E20" i="19" s="1"/>
  <c r="K18" i="20"/>
  <c r="L18" i="20" s="1"/>
  <c r="M18" i="20" s="1"/>
  <c r="D19" i="20"/>
  <c r="E19" i="20" s="1"/>
  <c r="K22" i="23" l="1"/>
  <c r="L22" i="23" s="1"/>
  <c r="M22" i="23" s="1"/>
  <c r="D23" i="23"/>
  <c r="E23" i="23" s="1"/>
  <c r="K19" i="22"/>
  <c r="L19" i="22" s="1"/>
  <c r="M19" i="22" s="1"/>
  <c r="D20" i="22"/>
  <c r="E20" i="22" s="1"/>
  <c r="K20" i="14"/>
  <c r="L20" i="14" s="1"/>
  <c r="M20" i="14" s="1"/>
  <c r="D21" i="14"/>
  <c r="E21" i="14" s="1"/>
  <c r="O13" i="13"/>
  <c r="P13" i="13" s="1"/>
  <c r="D20" i="13"/>
  <c r="E20" i="13" s="1"/>
  <c r="K19" i="13"/>
  <c r="L19" i="13" s="1"/>
  <c r="M19" i="13" s="1"/>
  <c r="K20" i="19"/>
  <c r="L20" i="19" s="1"/>
  <c r="M20" i="19" s="1"/>
  <c r="D21" i="19"/>
  <c r="E21" i="19" s="1"/>
  <c r="K19" i="20"/>
  <c r="L19" i="20" s="1"/>
  <c r="M19" i="20" s="1"/>
  <c r="D20" i="20"/>
  <c r="E20" i="20" s="1"/>
  <c r="K23" i="23" l="1"/>
  <c r="L23" i="23" s="1"/>
  <c r="M23" i="23" s="1"/>
  <c r="D24" i="23"/>
  <c r="E24" i="23" s="1"/>
  <c r="K20" i="22"/>
  <c r="L20" i="22" s="1"/>
  <c r="M20" i="22" s="1"/>
  <c r="D21" i="22"/>
  <c r="E21" i="22" s="1"/>
  <c r="K21" i="14"/>
  <c r="L21" i="14" s="1"/>
  <c r="M21" i="14" s="1"/>
  <c r="D22" i="14"/>
  <c r="E22" i="14" s="1"/>
  <c r="O12" i="13"/>
  <c r="P12" i="13" s="1"/>
  <c r="K20" i="13"/>
  <c r="L20" i="13" s="1"/>
  <c r="M20" i="13" s="1"/>
  <c r="D21" i="13"/>
  <c r="E21" i="13" s="1"/>
  <c r="K21" i="19"/>
  <c r="L21" i="19" s="1"/>
  <c r="M21" i="19" s="1"/>
  <c r="D22" i="19"/>
  <c r="E22" i="19" s="1"/>
  <c r="K20" i="20"/>
  <c r="L20" i="20" s="1"/>
  <c r="M20" i="20" s="1"/>
  <c r="D21" i="20"/>
  <c r="E21" i="20" s="1"/>
  <c r="K24" i="23" l="1"/>
  <c r="L24" i="23" s="1"/>
  <c r="M24" i="23" s="1"/>
  <c r="D25" i="23"/>
  <c r="E25" i="23" s="1"/>
  <c r="K21" i="22"/>
  <c r="L21" i="22" s="1"/>
  <c r="M21" i="22" s="1"/>
  <c r="D22" i="22"/>
  <c r="E22" i="22" s="1"/>
  <c r="K22" i="14"/>
  <c r="L22" i="14" s="1"/>
  <c r="M22" i="14" s="1"/>
  <c r="D23" i="14"/>
  <c r="E23" i="14" s="1"/>
  <c r="O11" i="13"/>
  <c r="P11" i="13" s="1"/>
  <c r="K21" i="13"/>
  <c r="L21" i="13" s="1"/>
  <c r="M21" i="13" s="1"/>
  <c r="D22" i="13"/>
  <c r="E22" i="13" s="1"/>
  <c r="K22" i="19"/>
  <c r="L22" i="19" s="1"/>
  <c r="M22" i="19" s="1"/>
  <c r="D23" i="19"/>
  <c r="E23" i="19" s="1"/>
  <c r="K21" i="20"/>
  <c r="L21" i="20" s="1"/>
  <c r="M21" i="20" s="1"/>
  <c r="D22" i="20"/>
  <c r="E22" i="20" s="1"/>
  <c r="K25" i="23" l="1"/>
  <c r="L25" i="23" s="1"/>
  <c r="M25" i="23" s="1"/>
  <c r="D26" i="23"/>
  <c r="E26" i="23" s="1"/>
  <c r="K22" i="22"/>
  <c r="L22" i="22" s="1"/>
  <c r="M22" i="22" s="1"/>
  <c r="D23" i="22"/>
  <c r="E23" i="22" s="1"/>
  <c r="K23" i="14"/>
  <c r="L23" i="14" s="1"/>
  <c r="M23" i="14" s="1"/>
  <c r="D24" i="14"/>
  <c r="E24" i="14" s="1"/>
  <c r="O10" i="13"/>
  <c r="P10" i="13" s="1"/>
  <c r="D23" i="13"/>
  <c r="E23" i="13" s="1"/>
  <c r="K22" i="13"/>
  <c r="L22" i="13" s="1"/>
  <c r="M22" i="13" s="1"/>
  <c r="K23" i="19"/>
  <c r="L23" i="19" s="1"/>
  <c r="M23" i="19" s="1"/>
  <c r="D24" i="19"/>
  <c r="E24" i="19" s="1"/>
  <c r="K22" i="20"/>
  <c r="L22" i="20" s="1"/>
  <c r="M22" i="20" s="1"/>
  <c r="D23" i="20"/>
  <c r="E23" i="20" s="1"/>
  <c r="K26" i="23" l="1"/>
  <c r="L26" i="23" s="1"/>
  <c r="M26" i="23" s="1"/>
  <c r="D27" i="23"/>
  <c r="E27" i="23" s="1"/>
  <c r="K23" i="22"/>
  <c r="L23" i="22" s="1"/>
  <c r="M23" i="22" s="1"/>
  <c r="O23" i="22" s="1"/>
  <c r="P23" i="22" s="1"/>
  <c r="D24" i="22"/>
  <c r="E24" i="22" s="1"/>
  <c r="K24" i="14"/>
  <c r="L24" i="14" s="1"/>
  <c r="M24" i="14" s="1"/>
  <c r="D25" i="14"/>
  <c r="E25" i="14" s="1"/>
  <c r="O9" i="13"/>
  <c r="P9" i="13" s="1"/>
  <c r="K23" i="13"/>
  <c r="L23" i="13" s="1"/>
  <c r="M23" i="13" s="1"/>
  <c r="D24" i="13"/>
  <c r="E24" i="13" s="1"/>
  <c r="D25" i="19"/>
  <c r="E25" i="19" s="1"/>
  <c r="K24" i="19"/>
  <c r="L24" i="19" s="1"/>
  <c r="M24" i="19" s="1"/>
  <c r="K23" i="20"/>
  <c r="L23" i="20" s="1"/>
  <c r="M23" i="20" s="1"/>
  <c r="D24" i="20"/>
  <c r="E24" i="20" s="1"/>
  <c r="O22" i="22" l="1"/>
  <c r="P22" i="22" s="1"/>
  <c r="N27" i="23"/>
  <c r="K27" i="23"/>
  <c r="L27" i="23" s="1"/>
  <c r="M27" i="23" s="1"/>
  <c r="D28" i="23"/>
  <c r="E28" i="23" s="1"/>
  <c r="K24" i="22"/>
  <c r="L24" i="22" s="1"/>
  <c r="M24" i="22" s="1"/>
  <c r="O24" i="22" s="1"/>
  <c r="D25" i="22"/>
  <c r="E25" i="22" s="1"/>
  <c r="K25" i="14"/>
  <c r="L25" i="14" s="1"/>
  <c r="M25" i="14" s="1"/>
  <c r="D26" i="14"/>
  <c r="E26" i="14" s="1"/>
  <c r="O8" i="13"/>
  <c r="P8" i="13" s="1"/>
  <c r="K24" i="13"/>
  <c r="L24" i="13" s="1"/>
  <c r="M24" i="13" s="1"/>
  <c r="D25" i="13"/>
  <c r="E25" i="13" s="1"/>
  <c r="K25" i="19"/>
  <c r="L25" i="19" s="1"/>
  <c r="M25" i="19" s="1"/>
  <c r="D26" i="19"/>
  <c r="E26" i="19" s="1"/>
  <c r="K24" i="20"/>
  <c r="L24" i="20" s="1"/>
  <c r="M24" i="20" s="1"/>
  <c r="D25" i="20"/>
  <c r="E25" i="20" s="1"/>
  <c r="Q26" i="23" l="1"/>
  <c r="O27" i="23"/>
  <c r="R27" i="23" s="1"/>
  <c r="U27" i="23" s="1"/>
  <c r="O21" i="22"/>
  <c r="P21" i="22" s="1"/>
  <c r="N26" i="23"/>
  <c r="K28" i="23"/>
  <c r="L28" i="23" s="1"/>
  <c r="M28" i="23" s="1"/>
  <c r="R28" i="23" s="1"/>
  <c r="U28" i="23" s="1"/>
  <c r="D29" i="23"/>
  <c r="E29" i="23" s="1"/>
  <c r="K25" i="22"/>
  <c r="L25" i="22" s="1"/>
  <c r="M25" i="22" s="1"/>
  <c r="O25" i="22" s="1"/>
  <c r="D26" i="22"/>
  <c r="E26" i="22" s="1"/>
  <c r="K26" i="14"/>
  <c r="L26" i="14" s="1"/>
  <c r="M26" i="14" s="1"/>
  <c r="D27" i="14"/>
  <c r="E27" i="14" s="1"/>
  <c r="O7" i="13"/>
  <c r="P7" i="13" s="1"/>
  <c r="K25" i="13"/>
  <c r="L25" i="13" s="1"/>
  <c r="M25" i="13" s="1"/>
  <c r="D26" i="13"/>
  <c r="E26" i="13" s="1"/>
  <c r="K26" i="19"/>
  <c r="L26" i="19" s="1"/>
  <c r="M26" i="19" s="1"/>
  <c r="D27" i="19"/>
  <c r="E27" i="19" s="1"/>
  <c r="K25" i="20"/>
  <c r="L25" i="20" s="1"/>
  <c r="M25" i="20" s="1"/>
  <c r="D26" i="20"/>
  <c r="E26" i="20" s="1"/>
  <c r="O20" i="22" l="1"/>
  <c r="P20" i="22" s="1"/>
  <c r="N25" i="23"/>
  <c r="Q25" i="23"/>
  <c r="O26" i="23"/>
  <c r="R26" i="23" s="1"/>
  <c r="U26" i="23" s="1"/>
  <c r="K29" i="23"/>
  <c r="L29" i="23" s="1"/>
  <c r="M29" i="23" s="1"/>
  <c r="R29" i="23" s="1"/>
  <c r="U29" i="23" s="1"/>
  <c r="D30" i="23"/>
  <c r="E30" i="23" s="1"/>
  <c r="K26" i="22"/>
  <c r="L26" i="22" s="1"/>
  <c r="M26" i="22" s="1"/>
  <c r="D27" i="22"/>
  <c r="E27" i="22" s="1"/>
  <c r="K27" i="14"/>
  <c r="L27" i="14" s="1"/>
  <c r="M27" i="14" s="1"/>
  <c r="D28" i="14"/>
  <c r="E28" i="14" s="1"/>
  <c r="O6" i="13"/>
  <c r="P6" i="13" s="1"/>
  <c r="K26" i="13"/>
  <c r="L26" i="13" s="1"/>
  <c r="M26" i="13" s="1"/>
  <c r="D27" i="13"/>
  <c r="E27" i="13" s="1"/>
  <c r="K27" i="19"/>
  <c r="L27" i="19" s="1"/>
  <c r="M27" i="19" s="1"/>
  <c r="D28" i="19"/>
  <c r="E28" i="19" s="1"/>
  <c r="K26" i="20"/>
  <c r="L26" i="20" s="1"/>
  <c r="M26" i="20" s="1"/>
  <c r="D27" i="20"/>
  <c r="E27" i="20" s="1"/>
  <c r="O25" i="23" l="1"/>
  <c r="R25" i="23" s="1"/>
  <c r="U25" i="23" s="1"/>
  <c r="Q24" i="23"/>
  <c r="O19" i="22"/>
  <c r="P19" i="22" s="1"/>
  <c r="N24" i="23"/>
  <c r="K30" i="23"/>
  <c r="L30" i="23" s="1"/>
  <c r="M30" i="23" s="1"/>
  <c r="D31" i="23"/>
  <c r="E31" i="23" s="1"/>
  <c r="K27" i="22"/>
  <c r="L27" i="22" s="1"/>
  <c r="M27" i="22" s="1"/>
  <c r="D28" i="22"/>
  <c r="E28" i="22" s="1"/>
  <c r="K28" i="14"/>
  <c r="L28" i="14" s="1"/>
  <c r="M28" i="14" s="1"/>
  <c r="D29" i="14"/>
  <c r="E29" i="14" s="1"/>
  <c r="K29" i="14" s="1"/>
  <c r="L29" i="14" s="1"/>
  <c r="M29" i="14" s="1"/>
  <c r="O5" i="13"/>
  <c r="P5" i="13" s="1"/>
  <c r="K27" i="13"/>
  <c r="L27" i="13" s="1"/>
  <c r="M27" i="13" s="1"/>
  <c r="D28" i="13"/>
  <c r="E28" i="13" s="1"/>
  <c r="D29" i="19"/>
  <c r="E29" i="19" s="1"/>
  <c r="K29" i="19" s="1"/>
  <c r="L29" i="19" s="1"/>
  <c r="M29" i="19" s="1"/>
  <c r="K28" i="19"/>
  <c r="L28" i="19" s="1"/>
  <c r="M28" i="19" s="1"/>
  <c r="K27" i="20"/>
  <c r="L27" i="20" s="1"/>
  <c r="M27" i="20" s="1"/>
  <c r="D28" i="20"/>
  <c r="E28" i="20" s="1"/>
  <c r="Q23" i="23" l="1"/>
  <c r="O24" i="23"/>
  <c r="R24" i="23" s="1"/>
  <c r="U24" i="23" s="1"/>
  <c r="O18" i="22"/>
  <c r="P18" i="22" s="1"/>
  <c r="N23" i="23"/>
  <c r="K31" i="23"/>
  <c r="L31" i="23" s="1"/>
  <c r="M31" i="23" s="1"/>
  <c r="D32" i="23"/>
  <c r="E32" i="23" s="1"/>
  <c r="K28" i="22"/>
  <c r="L28" i="22" s="1"/>
  <c r="M28" i="22" s="1"/>
  <c r="D29" i="22"/>
  <c r="E29" i="22" s="1"/>
  <c r="K29" i="22" s="1"/>
  <c r="L29" i="22" s="1"/>
  <c r="M29" i="22" s="1"/>
  <c r="O29" i="22" s="1"/>
  <c r="P29" i="22" s="1"/>
  <c r="N33" i="23" s="1"/>
  <c r="K28" i="13"/>
  <c r="L28" i="13" s="1"/>
  <c r="M28" i="13" s="1"/>
  <c r="D29" i="13"/>
  <c r="E29" i="13" s="1"/>
  <c r="K29" i="13" s="1"/>
  <c r="L29" i="13" s="1"/>
  <c r="M29" i="13" s="1"/>
  <c r="K28" i="20"/>
  <c r="L28" i="20" s="1"/>
  <c r="M28" i="20" s="1"/>
  <c r="D29" i="20"/>
  <c r="E29" i="20" s="1"/>
  <c r="K29" i="20" s="1"/>
  <c r="L29" i="20" s="1"/>
  <c r="M29" i="20" s="1"/>
  <c r="O23" i="23" l="1"/>
  <c r="R23" i="23" s="1"/>
  <c r="U23" i="23" s="1"/>
  <c r="Q22" i="23"/>
  <c r="O17" i="22"/>
  <c r="P17" i="22" s="1"/>
  <c r="N22" i="23"/>
  <c r="O33" i="23"/>
  <c r="Q32" i="23"/>
  <c r="K32" i="23"/>
  <c r="L32" i="23" s="1"/>
  <c r="M32" i="23" s="1"/>
  <c r="D33" i="23"/>
  <c r="E33" i="23" s="1"/>
  <c r="K33" i="23" s="1"/>
  <c r="L33" i="23" s="1"/>
  <c r="M33" i="23" s="1"/>
  <c r="O28" i="22"/>
  <c r="P28" i="22" s="1"/>
  <c r="Q21" i="23" l="1"/>
  <c r="O22" i="23"/>
  <c r="R22" i="23" s="1"/>
  <c r="U22" i="23" s="1"/>
  <c r="O16" i="22"/>
  <c r="P16" i="22" s="1"/>
  <c r="N21" i="23"/>
  <c r="O27" i="22"/>
  <c r="P27" i="22" s="1"/>
  <c r="N32" i="23"/>
  <c r="R33" i="23"/>
  <c r="U33" i="23" s="1"/>
  <c r="O26" i="22" l="1"/>
  <c r="N31" i="23"/>
  <c r="Q20" i="23"/>
  <c r="O21" i="23"/>
  <c r="R21" i="23" s="1"/>
  <c r="U21" i="23" s="1"/>
  <c r="O15" i="22"/>
  <c r="P15" i="22" s="1"/>
  <c r="N20" i="23"/>
  <c r="Q31" i="23"/>
  <c r="O32" i="23"/>
  <c r="R32" i="23" s="1"/>
  <c r="U32" i="23" s="1"/>
  <c r="O14" i="22" l="1"/>
  <c r="P14" i="22" s="1"/>
  <c r="N19" i="23"/>
  <c r="Q19" i="23"/>
  <c r="O20" i="23"/>
  <c r="R20" i="23" s="1"/>
  <c r="U20" i="23" s="1"/>
  <c r="Q30" i="23"/>
  <c r="R30" i="23" s="1"/>
  <c r="U30" i="23" s="1"/>
  <c r="O31" i="23"/>
  <c r="R31" i="23" s="1"/>
  <c r="U31" i="23" s="1"/>
  <c r="Q18" i="23" l="1"/>
  <c r="O19" i="23"/>
  <c r="R19" i="23" s="1"/>
  <c r="U19" i="23" s="1"/>
  <c r="O13" i="22"/>
  <c r="P13" i="22" s="1"/>
  <c r="N18" i="23"/>
  <c r="O12" i="22" l="1"/>
  <c r="P12" i="22" s="1"/>
  <c r="N17" i="23"/>
  <c r="Q17" i="23"/>
  <c r="O18" i="23"/>
  <c r="R18" i="23" s="1"/>
  <c r="U18" i="23" s="1"/>
  <c r="O17" i="23" l="1"/>
  <c r="R17" i="23" s="1"/>
  <c r="U17" i="23" s="1"/>
  <c r="Q16" i="23"/>
  <c r="O11" i="22"/>
  <c r="P11" i="22" s="1"/>
  <c r="N16" i="23"/>
  <c r="O10" i="22" l="1"/>
  <c r="P10" i="22" s="1"/>
  <c r="N15" i="23"/>
  <c r="Q15" i="23"/>
  <c r="O16" i="23"/>
  <c r="R16" i="23" s="1"/>
  <c r="U16" i="23" s="1"/>
  <c r="O15" i="23" l="1"/>
  <c r="R15" i="23" s="1"/>
  <c r="U15" i="23" s="1"/>
  <c r="Q14" i="23"/>
  <c r="O9" i="22"/>
  <c r="P9" i="22" s="1"/>
  <c r="N14" i="23"/>
  <c r="O14" i="23" l="1"/>
  <c r="R14" i="23" s="1"/>
  <c r="U14" i="23" s="1"/>
  <c r="Q13" i="23"/>
  <c r="O8" i="22"/>
  <c r="P8" i="22" s="1"/>
  <c r="N13" i="23"/>
  <c r="O13" i="23" l="1"/>
  <c r="R13" i="23" s="1"/>
  <c r="U13" i="23" s="1"/>
  <c r="Q12" i="23"/>
  <c r="O7" i="22"/>
  <c r="P7" i="22" s="1"/>
  <c r="N12" i="23"/>
  <c r="Q11" i="23" l="1"/>
  <c r="O12" i="23"/>
  <c r="R12" i="23" s="1"/>
  <c r="U12" i="23" s="1"/>
  <c r="O6" i="22"/>
  <c r="P6" i="22" s="1"/>
  <c r="N11" i="23"/>
  <c r="Q10" i="23" l="1"/>
  <c r="O11" i="23"/>
  <c r="R11" i="23" s="1"/>
  <c r="U11" i="23" s="1"/>
  <c r="O5" i="22"/>
  <c r="P5" i="22" s="1"/>
  <c r="N10" i="23"/>
  <c r="Q9" i="23" l="1"/>
  <c r="R9" i="23" s="1"/>
  <c r="U9" i="23" s="1"/>
  <c r="O10" i="23"/>
  <c r="R10" i="23" s="1"/>
  <c r="U10" i="23" s="1"/>
  <c r="H3" i="23" l="1"/>
</calcChain>
</file>

<file path=xl/sharedStrings.xml><?xml version="1.0" encoding="utf-8"?>
<sst xmlns="http://schemas.openxmlformats.org/spreadsheetml/2006/main" count="265" uniqueCount="127">
  <si>
    <t>Name:</t>
  </si>
  <si>
    <t>Mortalty Table</t>
  </si>
  <si>
    <t>AM92</t>
  </si>
  <si>
    <t>Age</t>
  </si>
  <si>
    <t>l[x]</t>
  </si>
  <si>
    <t>l[x-1]+1</t>
  </si>
  <si>
    <t>lx</t>
  </si>
  <si>
    <t>q[x]</t>
  </si>
  <si>
    <t>q[x-1]+1</t>
  </si>
  <si>
    <t>qx</t>
  </si>
  <si>
    <t>Inputs</t>
  </si>
  <si>
    <t>First year allocation percentage</t>
  </si>
  <si>
    <t xml:space="preserve"> =A</t>
  </si>
  <si>
    <t>Bid-offer spread</t>
  </si>
  <si>
    <t xml:space="preserve"> =BO</t>
  </si>
  <si>
    <t>Guaranteed minimum death benefit</t>
  </si>
  <si>
    <t xml:space="preserve"> =D</t>
  </si>
  <si>
    <t>Level annual premium</t>
  </si>
  <si>
    <t xml:space="preserve"> =P</t>
  </si>
  <si>
    <t>RESERVING BASIS</t>
  </si>
  <si>
    <t>PROFIT TESTING BASIS</t>
  </si>
  <si>
    <r>
      <t xml:space="preserve">Unit growth rate </t>
    </r>
    <r>
      <rPr>
        <i/>
        <sz val="11"/>
        <color theme="1"/>
        <rFont val="Calibri"/>
        <family val="2"/>
        <scheme val="minor"/>
      </rPr>
      <t>pa</t>
    </r>
  </si>
  <si>
    <t xml:space="preserve"> =ResUG</t>
  </si>
  <si>
    <t xml:space="preserve"> =ProUG</t>
  </si>
  <si>
    <r>
      <t xml:space="preserve">Non-unit interest rate </t>
    </r>
    <r>
      <rPr>
        <i/>
        <sz val="11"/>
        <color theme="1"/>
        <rFont val="Calibri"/>
        <family val="2"/>
        <scheme val="minor"/>
      </rPr>
      <t>pa</t>
    </r>
  </si>
  <si>
    <t xml:space="preserve"> =ResINT</t>
  </si>
  <si>
    <t xml:space="preserve"> =ProINT</t>
  </si>
  <si>
    <t>Initial expenses</t>
  </si>
  <si>
    <t xml:space="preserve"> =ResIE</t>
  </si>
  <si>
    <t xml:space="preserve"> =ProIE</t>
  </si>
  <si>
    <r>
      <t xml:space="preserve">Renewal expenses </t>
    </r>
    <r>
      <rPr>
        <i/>
        <sz val="11"/>
        <color theme="1"/>
        <rFont val="Calibri"/>
        <family val="2"/>
        <scheme val="minor"/>
      </rPr>
      <t>pa</t>
    </r>
  </si>
  <si>
    <t xml:space="preserve"> =ResRE</t>
  </si>
  <si>
    <t xml:space="preserve"> =ProRE</t>
  </si>
  <si>
    <r>
      <t xml:space="preserve">Inflation rate </t>
    </r>
    <r>
      <rPr>
        <i/>
        <sz val="11"/>
        <color theme="1"/>
        <rFont val="Calibri"/>
        <family val="2"/>
        <scheme val="minor"/>
      </rPr>
      <t>pa</t>
    </r>
  </si>
  <si>
    <t xml:space="preserve"> =ResINF</t>
  </si>
  <si>
    <t xml:space="preserve"> =ProINF</t>
  </si>
  <si>
    <t>Mortality Factor</t>
  </si>
  <si>
    <t xml:space="preserve"> =ProMM</t>
  </si>
  <si>
    <t>Reserves</t>
  </si>
  <si>
    <t>UNIT FUND PROJECTION</t>
  </si>
  <si>
    <t>NON-UNIT CASHFLOW PROJECTION</t>
  </si>
  <si>
    <t>Cost of</t>
  </si>
  <si>
    <t>Unit fund at</t>
  </si>
  <si>
    <t>Prem less</t>
  </si>
  <si>
    <t>Mortality</t>
  </si>
  <si>
    <t>Sum at risk</t>
  </si>
  <si>
    <t>Expected</t>
  </si>
  <si>
    <t>Non-unit</t>
  </si>
  <si>
    <t>Year</t>
  </si>
  <si>
    <t>Premium</t>
  </si>
  <si>
    <t>allocation</t>
  </si>
  <si>
    <t>Start of yr</t>
  </si>
  <si>
    <t>End of yr</t>
  </si>
  <si>
    <t>cost of alln</t>
  </si>
  <si>
    <t>Expenses</t>
  </si>
  <si>
    <t>Interest</t>
  </si>
  <si>
    <t>probability</t>
  </si>
  <si>
    <t>on death</t>
  </si>
  <si>
    <t>death cost</t>
  </si>
  <si>
    <t>cashflow</t>
  </si>
  <si>
    <t>Profit test</t>
  </si>
  <si>
    <t>Subject: Pricing &amp; Reserving of Life Insurance Products 2 (PRLI 2)</t>
  </si>
  <si>
    <t>Project Work</t>
  </si>
  <si>
    <t>Roll No:</t>
  </si>
  <si>
    <t>Institute of Actuarial &amp; Quantitative Studies: Semester 6</t>
  </si>
  <si>
    <t>Kareena Tated</t>
  </si>
  <si>
    <t>Reserving Basis</t>
  </si>
  <si>
    <t>Non Unit Cashflow</t>
  </si>
  <si>
    <t>Profit Test Basis</t>
  </si>
  <si>
    <t>Similarities:</t>
  </si>
  <si>
    <t>There is a very large cashflow in the first year in both the basis</t>
  </si>
  <si>
    <t xml:space="preserve">Both the basis exhibit a similar pattern of cashflows roughly. </t>
  </si>
  <si>
    <t>The decline reduces and the cashflow becomes positive again in both cases.</t>
  </si>
  <si>
    <t>This decline is noticed at time 22 for reserving basis and time 20 for the profit test basis</t>
  </si>
  <si>
    <t>After the first year a considerable decline is noticed in both cases. With the low peak being reached in the mid years</t>
  </si>
  <si>
    <t>A slight increase is noticed which is followed by a second decline</t>
  </si>
  <si>
    <t>Differences:</t>
  </si>
  <si>
    <t xml:space="preserve">The cashflows are higher at all times for the profit test basis than the reserving basis </t>
  </si>
  <si>
    <t xml:space="preserve">The reason behind this could be that mortality for profit test basis is only 80% of that used in reserving basis </t>
  </si>
  <si>
    <t>Interest rate is also higher (2% for profit test basis as compared to 1.5% for reserving basis)</t>
  </si>
  <si>
    <t>Thus overall the profit test basis is computing cashflows on more optimistic basis and hence results in higher cashflows.</t>
  </si>
  <si>
    <t xml:space="preserve">Also, the more prudent assumptions for reserving basis could also be the reason for the fact that the cashflows are becoming negative twice in 25 years </t>
  </si>
  <si>
    <t>as compared to profit test basis where they become negative only once during the mid years</t>
  </si>
  <si>
    <t>It is also worth noting that the high cash flow in the first year is because the cash inflow is high in the first year and then</t>
  </si>
  <si>
    <t xml:space="preserve"> falls to a level which remains constant throughout</t>
  </si>
  <si>
    <t xml:space="preserve">While inflows become level, outflows in the form of expense are very high first but then fall to a lower level but are still increasing with inflation </t>
  </si>
  <si>
    <t>outflows in the form of expected death cost increases in both cases. In the later years the expected death cost also becomes 0</t>
  </si>
  <si>
    <t>Again, lower mortality probability in profit test basis shows an impact in the expected death cost since its lower for the profit test basis</t>
  </si>
  <si>
    <t>Probability</t>
  </si>
  <si>
    <t>Non unit</t>
  </si>
  <si>
    <t xml:space="preserve">Probability </t>
  </si>
  <si>
    <t>of survival</t>
  </si>
  <si>
    <t>Non Unit reserve</t>
  </si>
  <si>
    <t>req to zeroize</t>
  </si>
  <si>
    <t xml:space="preserve">New </t>
  </si>
  <si>
    <t>Cashflow</t>
  </si>
  <si>
    <t xml:space="preserve">Here we are zerosing by adjusing the negative cashflows </t>
  </si>
  <si>
    <t>This is done by holding reserves required for those policyholders that are expected to survive the year</t>
  </si>
  <si>
    <t>The years where cashflows are positive, no reserve is required and hence NUR is set to 0</t>
  </si>
  <si>
    <t>on reserves</t>
  </si>
  <si>
    <t xml:space="preserve">Interest </t>
  </si>
  <si>
    <t>Reserves at</t>
  </si>
  <si>
    <t xml:space="preserve"> the end</t>
  </si>
  <si>
    <t xml:space="preserve">Profit </t>
  </si>
  <si>
    <t>Vector</t>
  </si>
  <si>
    <t xml:space="preserve">With </t>
  </si>
  <si>
    <t>reserves</t>
  </si>
  <si>
    <t xml:space="preserve">Without </t>
  </si>
  <si>
    <t>There is a large negative cashflow in the first year when reserves are held as compared to a large positive cashflow when reserves are not held</t>
  </si>
  <si>
    <t>However when reserves are held, profit is positive in all other years. This is in contrast to the negative dips noticed when reserves arent held</t>
  </si>
  <si>
    <t>The amount of profits are also lower when the reserves are held</t>
  </si>
  <si>
    <t>This is fundamentally what happens when reserves are held, the emergence of profit is deferred and profit reduces but there is no negative cashflow</t>
  </si>
  <si>
    <t>so the policy is self funding after the first year</t>
  </si>
  <si>
    <t>Hence, there is a trade off between profitability or security when reserves are held</t>
  </si>
  <si>
    <t>However, holding reserves is important because in case reserves are not held the company runs the risk of insolvency if they are unable to payout the negative cashflows</t>
  </si>
  <si>
    <t>IRR</t>
  </si>
  <si>
    <t>NPV</t>
  </si>
  <si>
    <t>Prob of policy</t>
  </si>
  <si>
    <t>in force</t>
  </si>
  <si>
    <t>Discount</t>
  </si>
  <si>
    <t>factor</t>
  </si>
  <si>
    <t>Net Present</t>
  </si>
  <si>
    <t>Value</t>
  </si>
  <si>
    <t>Allocation rate</t>
  </si>
  <si>
    <t>Refer to word document uploaded together</t>
  </si>
  <si>
    <t>It could be argued that it is actually good financial management to be prudent or conservative for reserving and being slightly more optimistic for profit testing.</t>
  </si>
  <si>
    <t>The negative cashflows are for a longer period in the reserving basis than for the profit test basis and even the magnitude is smaller, as noticed earlier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</si>
</sst>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##\ ##0"/>
    <numFmt numFmtId="165" formatCode="0.0000"/>
    <numFmt numFmtId="166" formatCode="0.000000"/>
    <numFmt numFmtId="167" formatCode="0.0%"/>
    <numFmt numFmtId="168" formatCode="0.000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rgb="FF000000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</font>
    <font>
      <b/>
      <i/>
      <sz val="11"/>
      <color theme="2" tint="-0.74999237037263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b/>
      <i/>
      <sz val="14"/>
      <color theme="2" tint="-0.74999237037263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1C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43" fontId="16" fillId="0" borderId="0" applyFont="0" applyFill="0" applyBorder="0" applyAlignment="0" applyProtection="0"/>
  </cellStyleXfs>
  <cellXfs count="145">
    <xf numFmtId="0" fontId="0" fillId="0" borderId="0" xfId="0"/>
    <xf numFmtId="0" fontId="9" fillId="0" borderId="0" xfId="1" applyFont="1" applyAlignment="1">
      <alignment vertical="center"/>
    </xf>
    <xf numFmtId="0" fontId="5" fillId="0" borderId="0" xfId="1"/>
    <xf numFmtId="0" fontId="10" fillId="0" borderId="0" xfId="1" applyFont="1" applyAlignment="1">
      <alignment vertical="center"/>
    </xf>
    <xf numFmtId="0" fontId="5" fillId="3" borderId="0" xfId="1" applyFill="1"/>
    <xf numFmtId="0" fontId="12" fillId="0" borderId="0" xfId="1" applyFont="1"/>
    <xf numFmtId="0" fontId="13" fillId="0" borderId="0" xfId="1" applyFont="1"/>
    <xf numFmtId="0" fontId="8" fillId="0" borderId="0" xfId="1" applyFont="1"/>
    <xf numFmtId="0" fontId="12" fillId="0" borderId="0" xfId="1" applyFont="1" applyAlignment="1">
      <alignment horizontal="left" vertical="center"/>
    </xf>
    <xf numFmtId="0" fontId="15" fillId="2" borderId="0" xfId="2" applyFont="1" applyFill="1"/>
    <xf numFmtId="0" fontId="4" fillId="2" borderId="0" xfId="2" applyFill="1"/>
    <xf numFmtId="0" fontId="4" fillId="0" borderId="1" xfId="2" applyBorder="1"/>
    <xf numFmtId="0" fontId="4" fillId="0" borderId="0" xfId="2"/>
    <xf numFmtId="0" fontId="6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164" fontId="6" fillId="0" borderId="0" xfId="2" applyNumberFormat="1" applyFont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6" fontId="4" fillId="0" borderId="1" xfId="2" applyNumberFormat="1" applyFont="1" applyBorder="1" applyAlignment="1">
      <alignment horizontal="center"/>
    </xf>
    <xf numFmtId="166" fontId="4" fillId="0" borderId="0" xfId="2" applyNumberFormat="1"/>
    <xf numFmtId="0" fontId="4" fillId="0" borderId="0" xfId="2" applyFill="1"/>
    <xf numFmtId="2" fontId="4" fillId="0" borderId="0" xfId="2" applyNumberFormat="1"/>
    <xf numFmtId="0" fontId="4" fillId="0" borderId="2" xfId="2" applyBorder="1"/>
    <xf numFmtId="0" fontId="4" fillId="0" borderId="3" xfId="2" applyFill="1" applyBorder="1"/>
    <xf numFmtId="3" fontId="4" fillId="0" borderId="4" xfId="2" applyNumberFormat="1" applyFill="1" applyBorder="1"/>
    <xf numFmtId="10" fontId="4" fillId="0" borderId="0" xfId="2" applyNumberFormat="1"/>
    <xf numFmtId="0" fontId="4" fillId="0" borderId="5" xfId="2" applyBorder="1"/>
    <xf numFmtId="3" fontId="4" fillId="0" borderId="6" xfId="2" applyNumberFormat="1" applyFill="1" applyBorder="1"/>
    <xf numFmtId="167" fontId="4" fillId="0" borderId="7" xfId="2" applyNumberFormat="1" applyFill="1" applyBorder="1"/>
    <xf numFmtId="3" fontId="4" fillId="0" borderId="0" xfId="2" applyNumberFormat="1" applyFill="1"/>
    <xf numFmtId="167" fontId="4" fillId="0" borderId="0" xfId="2" applyNumberFormat="1" applyFill="1"/>
    <xf numFmtId="0" fontId="8" fillId="0" borderId="2" xfId="2" applyFont="1" applyBorder="1"/>
    <xf numFmtId="0" fontId="4" fillId="0" borderId="4" xfId="2" applyFill="1" applyBorder="1"/>
    <xf numFmtId="0" fontId="4" fillId="0" borderId="2" xfId="2" applyFont="1" applyBorder="1"/>
    <xf numFmtId="0" fontId="4" fillId="0" borderId="0" xfId="2" applyFont="1" applyFill="1"/>
    <xf numFmtId="0" fontId="4" fillId="0" borderId="0" xfId="2" applyFont="1" applyFill="1" applyBorder="1"/>
    <xf numFmtId="167" fontId="4" fillId="0" borderId="4" xfId="2" applyNumberFormat="1" applyFill="1" applyBorder="1"/>
    <xf numFmtId="0" fontId="4" fillId="0" borderId="0" xfId="2" applyBorder="1"/>
    <xf numFmtId="167" fontId="4" fillId="0" borderId="0" xfId="2" applyNumberFormat="1" applyFill="1" applyBorder="1"/>
    <xf numFmtId="0" fontId="4" fillId="0" borderId="0" xfId="2" applyFill="1" applyBorder="1"/>
    <xf numFmtId="4" fontId="4" fillId="0" borderId="0" xfId="2" applyNumberFormat="1" applyFill="1" applyBorder="1"/>
    <xf numFmtId="9" fontId="4" fillId="0" borderId="0" xfId="2" applyNumberFormat="1" applyFill="1"/>
    <xf numFmtId="9" fontId="4" fillId="0" borderId="0" xfId="2" applyNumberFormat="1" applyFill="1" applyBorder="1"/>
    <xf numFmtId="3" fontId="4" fillId="0" borderId="0" xfId="2" applyNumberFormat="1" applyFill="1" applyBorder="1"/>
    <xf numFmtId="0" fontId="8" fillId="0" borderId="8" xfId="2" applyFont="1" applyBorder="1"/>
    <xf numFmtId="0" fontId="4" fillId="0" borderId="9" xfId="2" applyBorder="1"/>
    <xf numFmtId="0" fontId="4" fillId="0" borderId="10" xfId="2" applyBorder="1"/>
    <xf numFmtId="16" fontId="14" fillId="0" borderId="0" xfId="2" applyNumberFormat="1" applyFont="1" applyBorder="1" applyAlignment="1">
      <alignment horizontal="center"/>
    </xf>
    <xf numFmtId="0" fontId="4" fillId="0" borderId="11" xfId="2" applyBorder="1" applyAlignment="1">
      <alignment horizontal="center"/>
    </xf>
    <xf numFmtId="0" fontId="4" fillId="0" borderId="12" xfId="2" applyBorder="1" applyAlignment="1">
      <alignment horizontal="center"/>
    </xf>
    <xf numFmtId="0" fontId="4" fillId="0" borderId="8" xfId="2" applyBorder="1" applyAlignment="1">
      <alignment horizontal="center"/>
    </xf>
    <xf numFmtId="0" fontId="4" fillId="0" borderId="13" xfId="2" applyBorder="1" applyAlignment="1">
      <alignment horizontal="center"/>
    </xf>
    <xf numFmtId="0" fontId="4" fillId="0" borderId="0" xfId="2" applyBorder="1" applyAlignment="1">
      <alignment horizontal="center"/>
    </xf>
    <xf numFmtId="0" fontId="4" fillId="0" borderId="14" xfId="2" applyBorder="1" applyAlignment="1">
      <alignment horizontal="center"/>
    </xf>
    <xf numFmtId="0" fontId="4" fillId="0" borderId="5" xfId="2" applyBorder="1" applyAlignment="1">
      <alignment horizontal="center"/>
    </xf>
    <xf numFmtId="0" fontId="4" fillId="0" borderId="1" xfId="2" applyBorder="1" applyAlignment="1">
      <alignment horizontal="center"/>
    </xf>
    <xf numFmtId="4" fontId="4" fillId="0" borderId="1" xfId="2" applyNumberFormat="1" applyBorder="1"/>
    <xf numFmtId="2" fontId="4" fillId="0" borderId="1" xfId="2" applyNumberFormat="1" applyBorder="1"/>
    <xf numFmtId="2" fontId="4" fillId="0" borderId="2" xfId="2" applyNumberFormat="1" applyBorder="1"/>
    <xf numFmtId="0" fontId="4" fillId="0" borderId="13" xfId="2" applyBorder="1"/>
    <xf numFmtId="4" fontId="4" fillId="0" borderId="0" xfId="2" applyNumberFormat="1" applyBorder="1"/>
    <xf numFmtId="0" fontId="4" fillId="0" borderId="4" xfId="2" applyBorder="1"/>
    <xf numFmtId="0" fontId="4" fillId="0" borderId="3" xfId="2" applyBorder="1"/>
    <xf numFmtId="16" fontId="14" fillId="0" borderId="0" xfId="2" applyNumberFormat="1" applyFont="1" applyAlignment="1">
      <alignment horizontal="center"/>
    </xf>
    <xf numFmtId="0" fontId="4" fillId="0" borderId="0" xfId="2" applyAlignment="1">
      <alignment horizontal="center"/>
    </xf>
    <xf numFmtId="4" fontId="4" fillId="0" borderId="0" xfId="2" applyNumberFormat="1"/>
    <xf numFmtId="166" fontId="4" fillId="0" borderId="1" xfId="2" applyNumberFormat="1" applyBorder="1"/>
    <xf numFmtId="4" fontId="4" fillId="0" borderId="13" xfId="2" applyNumberFormat="1" applyBorder="1" applyAlignment="1"/>
    <xf numFmtId="4" fontId="4" fillId="0" borderId="0" xfId="2" applyNumberFormat="1" applyBorder="1" applyAlignment="1"/>
    <xf numFmtId="166" fontId="4" fillId="0" borderId="0" xfId="2" applyNumberFormat="1" applyBorder="1"/>
    <xf numFmtId="2" fontId="4" fillId="0" borderId="0" xfId="2" applyNumberFormat="1" applyBorder="1"/>
    <xf numFmtId="167" fontId="4" fillId="4" borderId="1" xfId="2" applyNumberFormat="1" applyFill="1" applyBorder="1" applyAlignment="1">
      <alignment horizontal="center"/>
    </xf>
    <xf numFmtId="3" fontId="4" fillId="4" borderId="1" xfId="2" applyNumberFormat="1" applyFill="1" applyBorder="1" applyAlignment="1">
      <alignment horizontal="center"/>
    </xf>
    <xf numFmtId="0" fontId="4" fillId="4" borderId="1" xfId="2" applyFill="1" applyBorder="1" applyAlignment="1">
      <alignment horizontal="center"/>
    </xf>
    <xf numFmtId="0" fontId="3" fillId="0" borderId="0" xfId="1" applyFont="1"/>
    <xf numFmtId="0" fontId="5" fillId="4" borderId="0" xfId="1" applyFill="1"/>
    <xf numFmtId="0" fontId="7" fillId="0" borderId="0" xfId="0" applyFont="1" applyFill="1"/>
    <xf numFmtId="0" fontId="2" fillId="4" borderId="0" xfId="1" applyFont="1" applyFill="1"/>
    <xf numFmtId="0" fontId="2" fillId="0" borderId="0" xfId="1" applyFont="1"/>
    <xf numFmtId="0" fontId="18" fillId="0" borderId="23" xfId="1" applyFont="1" applyBorder="1"/>
    <xf numFmtId="0" fontId="18" fillId="0" borderId="25" xfId="1" applyFont="1" applyBorder="1"/>
    <xf numFmtId="43" fontId="18" fillId="0" borderId="24" xfId="3" applyFont="1" applyBorder="1"/>
    <xf numFmtId="43" fontId="18" fillId="0" borderId="26" xfId="3" applyFont="1" applyBorder="1"/>
    <xf numFmtId="0" fontId="18" fillId="0" borderId="27" xfId="1" applyFont="1" applyBorder="1"/>
    <xf numFmtId="43" fontId="18" fillId="0" borderId="28" xfId="3" applyFont="1" applyBorder="1"/>
    <xf numFmtId="0" fontId="17" fillId="0" borderId="21" xfId="1" applyFont="1" applyBorder="1"/>
    <xf numFmtId="43" fontId="17" fillId="0" borderId="22" xfId="3" applyFont="1" applyBorder="1"/>
    <xf numFmtId="0" fontId="17" fillId="0" borderId="22" xfId="1" applyFont="1" applyBorder="1"/>
    <xf numFmtId="0" fontId="20" fillId="0" borderId="0" xfId="0" applyFont="1" applyBorder="1"/>
    <xf numFmtId="0" fontId="2" fillId="0" borderId="0" xfId="1" applyFont="1" applyBorder="1"/>
    <xf numFmtId="0" fontId="5" fillId="0" borderId="0" xfId="1" applyBorder="1"/>
    <xf numFmtId="43" fontId="5" fillId="0" borderId="0" xfId="3" applyFont="1"/>
    <xf numFmtId="0" fontId="8" fillId="0" borderId="15" xfId="0" applyFont="1" applyBorder="1"/>
    <xf numFmtId="0" fontId="20" fillId="0" borderId="29" xfId="0" applyFont="1" applyBorder="1"/>
    <xf numFmtId="0" fontId="2" fillId="0" borderId="29" xfId="1" applyFont="1" applyBorder="1"/>
    <xf numFmtId="0" fontId="5" fillId="0" borderId="29" xfId="1" applyBorder="1"/>
    <xf numFmtId="0" fontId="5" fillId="0" borderId="16" xfId="1" applyBorder="1"/>
    <xf numFmtId="0" fontId="2" fillId="0" borderId="17" xfId="1" applyFont="1" applyBorder="1"/>
    <xf numFmtId="0" fontId="5" fillId="0" borderId="18" xfId="1" applyBorder="1"/>
    <xf numFmtId="0" fontId="6" fillId="0" borderId="17" xfId="0" applyFont="1" applyBorder="1"/>
    <xf numFmtId="0" fontId="20" fillId="0" borderId="17" xfId="0" applyFont="1" applyBorder="1"/>
    <xf numFmtId="0" fontId="21" fillId="0" borderId="17" xfId="0" applyFont="1" applyBorder="1"/>
    <xf numFmtId="0" fontId="5" fillId="0" borderId="17" xfId="1" applyBorder="1"/>
    <xf numFmtId="0" fontId="2" fillId="0" borderId="19" xfId="1" applyFont="1" applyBorder="1"/>
    <xf numFmtId="0" fontId="5" fillId="0" borderId="30" xfId="1" applyBorder="1"/>
    <xf numFmtId="0" fontId="5" fillId="0" borderId="20" xfId="1" applyBorder="1"/>
    <xf numFmtId="0" fontId="2" fillId="0" borderId="0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18" fillId="0" borderId="0" xfId="2" applyFont="1"/>
    <xf numFmtId="0" fontId="2" fillId="5" borderId="1" xfId="2" applyFont="1" applyFill="1" applyBorder="1" applyAlignment="1">
      <alignment horizontal="center"/>
    </xf>
    <xf numFmtId="4" fontId="4" fillId="0" borderId="1" xfId="2" applyNumberFormat="1" applyBorder="1" applyAlignment="1"/>
    <xf numFmtId="2" fontId="4" fillId="0" borderId="5" xfId="2" applyNumberFormat="1" applyBorder="1"/>
    <xf numFmtId="4" fontId="4" fillId="0" borderId="14" xfId="2" applyNumberFormat="1" applyBorder="1" applyAlignment="1"/>
    <xf numFmtId="166" fontId="4" fillId="0" borderId="14" xfId="2" applyNumberFormat="1" applyBorder="1"/>
    <xf numFmtId="4" fontId="4" fillId="0" borderId="14" xfId="2" applyNumberFormat="1" applyBorder="1"/>
    <xf numFmtId="2" fontId="4" fillId="0" borderId="14" xfId="2" applyNumberFormat="1" applyBorder="1"/>
    <xf numFmtId="0" fontId="2" fillId="0" borderId="0" xfId="2" applyFont="1" applyBorder="1"/>
    <xf numFmtId="0" fontId="4" fillId="5" borderId="11" xfId="2" applyFill="1" applyBorder="1" applyAlignment="1">
      <alignment horizontal="center"/>
    </xf>
    <xf numFmtId="0" fontId="4" fillId="5" borderId="14" xfId="2" applyFill="1" applyBorder="1" applyAlignment="1">
      <alignment horizontal="center"/>
    </xf>
    <xf numFmtId="0" fontId="4" fillId="0" borderId="11" xfId="2" applyFill="1" applyBorder="1" applyAlignment="1">
      <alignment horizontal="center"/>
    </xf>
    <xf numFmtId="0" fontId="4" fillId="0" borderId="14" xfId="2" applyFill="1" applyBorder="1" applyAlignment="1">
      <alignment horizontal="center"/>
    </xf>
    <xf numFmtId="0" fontId="4" fillId="0" borderId="31" xfId="2" applyFill="1" applyBorder="1" applyAlignment="1">
      <alignment horizontal="center"/>
    </xf>
    <xf numFmtId="0" fontId="4" fillId="4" borderId="33" xfId="2" applyFill="1" applyBorder="1" applyAlignment="1">
      <alignment horizontal="center"/>
    </xf>
    <xf numFmtId="0" fontId="4" fillId="0" borderId="34" xfId="2" applyFill="1" applyBorder="1" applyAlignment="1">
      <alignment horizontal="center"/>
    </xf>
    <xf numFmtId="0" fontId="4" fillId="4" borderId="35" xfId="2" applyFill="1" applyBorder="1" applyAlignment="1">
      <alignment horizontal="center"/>
    </xf>
    <xf numFmtId="0" fontId="4" fillId="0" borderId="23" xfId="2" applyBorder="1" applyAlignment="1">
      <alignment horizontal="center"/>
    </xf>
    <xf numFmtId="2" fontId="5" fillId="0" borderId="24" xfId="1" applyNumberFormat="1" applyBorder="1"/>
    <xf numFmtId="0" fontId="4" fillId="0" borderId="25" xfId="2" applyBorder="1" applyAlignment="1">
      <alignment horizontal="center"/>
    </xf>
    <xf numFmtId="2" fontId="4" fillId="0" borderId="36" xfId="2" applyNumberFormat="1" applyBorder="1"/>
    <xf numFmtId="2" fontId="5" fillId="0" borderId="26" xfId="1" applyNumberFormat="1" applyBorder="1"/>
    <xf numFmtId="0" fontId="2" fillId="0" borderId="1" xfId="2" applyFont="1" applyFill="1" applyBorder="1" applyAlignment="1">
      <alignment horizontal="center"/>
    </xf>
    <xf numFmtId="0" fontId="8" fillId="5" borderId="15" xfId="2" applyFont="1" applyFill="1" applyBorder="1"/>
    <xf numFmtId="168" fontId="8" fillId="5" borderId="16" xfId="2" applyNumberFormat="1" applyFont="1" applyFill="1" applyBorder="1"/>
    <xf numFmtId="0" fontId="2" fillId="0" borderId="17" xfId="2" applyFont="1" applyBorder="1"/>
    <xf numFmtId="9" fontId="4" fillId="0" borderId="18" xfId="2" applyNumberFormat="1" applyBorder="1"/>
    <xf numFmtId="0" fontId="2" fillId="0" borderId="19" xfId="2" applyFont="1" applyBorder="1"/>
    <xf numFmtId="4" fontId="4" fillId="0" borderId="20" xfId="2" applyNumberFormat="1" applyBorder="1"/>
    <xf numFmtId="0" fontId="2" fillId="7" borderId="32" xfId="2" applyFont="1" applyFill="1" applyBorder="1" applyAlignment="1">
      <alignment horizontal="center"/>
    </xf>
    <xf numFmtId="0" fontId="2" fillId="7" borderId="14" xfId="2" applyFont="1" applyFill="1" applyBorder="1" applyAlignment="1">
      <alignment horizontal="center"/>
    </xf>
    <xf numFmtId="0" fontId="6" fillId="0" borderId="0" xfId="0" applyFont="1"/>
    <xf numFmtId="0" fontId="1" fillId="0" borderId="17" xfId="1" applyFont="1" applyBorder="1"/>
    <xf numFmtId="0" fontId="19" fillId="5" borderId="15" xfId="1" applyFont="1" applyFill="1" applyBorder="1" applyAlignment="1">
      <alignment horizontal="center"/>
    </xf>
    <xf numFmtId="0" fontId="19" fillId="5" borderId="16" xfId="1" applyFont="1" applyFill="1" applyBorder="1" applyAlignment="1">
      <alignment horizontal="center"/>
    </xf>
    <xf numFmtId="0" fontId="19" fillId="6" borderId="15" xfId="1" applyFont="1" applyFill="1" applyBorder="1" applyAlignment="1">
      <alignment horizontal="center"/>
    </xf>
    <xf numFmtId="0" fontId="19" fillId="6" borderId="16" xfId="1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1C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Reserving Basis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'Answer 1'!$C$4</c:f>
              <c:strCache>
                <c:ptCount val="1"/>
                <c:pt idx="0">
                  <c:v> Non Unit Cashflow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'Answer 1'!$B$5:$B$29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'Answer 1'!$C$5:$C$29</c:f>
              <c:numCache>
                <c:formatCode>_(* #,##0.00_);_(* \(#,##0.00\);_(* "-"??_);_(@_)</c:formatCode>
                <c:ptCount val="25"/>
                <c:pt idx="0">
                  <c:v>72.075164823756111</c:v>
                </c:pt>
                <c:pt idx="1">
                  <c:v>-1.1784376888189527</c:v>
                </c:pt>
                <c:pt idx="2">
                  <c:v>-4.7962892579068281</c:v>
                </c:pt>
                <c:pt idx="3">
                  <c:v>-8.6356023205183448</c:v>
                </c:pt>
                <c:pt idx="4">
                  <c:v>-12.631650991491682</c:v>
                </c:pt>
                <c:pt idx="5">
                  <c:v>-16.821624276656522</c:v>
                </c:pt>
                <c:pt idx="6">
                  <c:v>-21.053626157765031</c:v>
                </c:pt>
                <c:pt idx="7">
                  <c:v>-25.304430820233328</c:v>
                </c:pt>
                <c:pt idx="8">
                  <c:v>-29.471770851594592</c:v>
                </c:pt>
                <c:pt idx="9">
                  <c:v>-33.353798896265268</c:v>
                </c:pt>
                <c:pt idx="10">
                  <c:v>-36.887349569595735</c:v>
                </c:pt>
                <c:pt idx="11">
                  <c:v>-39.751730767389972</c:v>
                </c:pt>
                <c:pt idx="12">
                  <c:v>-41.781718530091155</c:v>
                </c:pt>
                <c:pt idx="13">
                  <c:v>-42.591244463867675</c:v>
                </c:pt>
                <c:pt idx="14">
                  <c:v>-41.812052250859281</c:v>
                </c:pt>
                <c:pt idx="15">
                  <c:v>-38.979640530700735</c:v>
                </c:pt>
                <c:pt idx="16">
                  <c:v>-33.536902373090498</c:v>
                </c:pt>
                <c:pt idx="17">
                  <c:v>-24.797599886633964</c:v>
                </c:pt>
                <c:pt idx="18">
                  <c:v>-11.965716920006376</c:v>
                </c:pt>
                <c:pt idx="19">
                  <c:v>5.9057536888376649</c:v>
                </c:pt>
                <c:pt idx="20">
                  <c:v>7.302354840527272</c:v>
                </c:pt>
                <c:pt idx="21">
                  <c:v>4.5525504857431081</c:v>
                </c:pt>
                <c:pt idx="22">
                  <c:v>1.7202520003153974</c:v>
                </c:pt>
                <c:pt idx="23">
                  <c:v>-1.1970154396751513</c:v>
                </c:pt>
                <c:pt idx="24">
                  <c:v>-4.2018009028653971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7-4517-91DB-4B194FA8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074095"/>
        <c:axId val="1638826399"/>
      </c:barChart>
      <c:catAx>
        <c:axId val="15930740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826399"/>
        <c:crosses val="autoZero"/>
        <c:auto val="1"/>
        <c:lblAlgn val="ctr"/>
        <c:lblOffset val="100"/>
        <c:noMultiLvlLbl val="0"/>
      </c:catAx>
      <c:valAx>
        <c:axId val="1638826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Non unit</a:t>
                </a:r>
                <a:r>
                  <a:rPr lang="en-IN" baseline="0"/>
                  <a:t> cashflow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074095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Profit Test Basis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'Answer 1'!$F$4</c:f>
              <c:strCache>
                <c:ptCount val="1"/>
                <c:pt idx="0">
                  <c:v>Non Unit Cashflow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'Answer 1'!$E$5:$E$29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'Answer 1'!$F$5:$F$29</c:f>
              <c:numCache>
                <c:formatCode>_(* #,##0.00_);_(* \(#,##0.00\);_(* "-"??_);_(@_)</c:formatCode>
                <c:ptCount val="25"/>
                <c:pt idx="0">
                  <c:v>81.872380712004883</c:v>
                </c:pt>
                <c:pt idx="1">
                  <c:v>9.1642754265648421</c:v>
                </c:pt>
                <c:pt idx="2">
                  <c:v>6.5289988337657263</c:v>
                </c:pt>
                <c:pt idx="3">
                  <c:v>3.7628494925735154</c:v>
                </c:pt>
                <c:pt idx="4">
                  <c:v>0.92787059896141244</c:v>
                </c:pt>
                <c:pt idx="5">
                  <c:v>-1.9919715112360876</c:v>
                </c:pt>
                <c:pt idx="6">
                  <c:v>-4.858676582515649</c:v>
                </c:pt>
                <c:pt idx="7">
                  <c:v>-7.6316690550623747</c:v>
                </c:pt>
                <c:pt idx="8">
                  <c:v>-10.201602560891402</c:v>
                </c:pt>
                <c:pt idx="9">
                  <c:v>-12.374397273636276</c:v>
                </c:pt>
                <c:pt idx="10">
                  <c:v>-14.05387720058134</c:v>
                </c:pt>
                <c:pt idx="11">
                  <c:v>-14.934282142779161</c:v>
                </c:pt>
                <c:pt idx="12">
                  <c:v>-14.813148151946976</c:v>
                </c:pt>
                <c:pt idx="13">
                  <c:v>-13.304325001219652</c:v>
                </c:pt>
                <c:pt idx="14">
                  <c:v>-10.012848651259972</c:v>
                </c:pt>
                <c:pt idx="15">
                  <c:v>-4.4450191299310475</c:v>
                </c:pt>
                <c:pt idx="16">
                  <c:v>3.9951892496339028</c:v>
                </c:pt>
                <c:pt idx="17">
                  <c:v>16.034369569361509</c:v>
                </c:pt>
                <c:pt idx="18">
                  <c:v>26.609441373610089</c:v>
                </c:pt>
                <c:pt idx="19">
                  <c:v>25.152630201082296</c:v>
                </c:pt>
                <c:pt idx="20">
                  <c:v>23.666682805103932</c:v>
                </c:pt>
                <c:pt idx="21">
                  <c:v>22.151016461206023</c:v>
                </c:pt>
                <c:pt idx="22">
                  <c:v>20.60503679043013</c:v>
                </c:pt>
                <c:pt idx="23">
                  <c:v>19.028137526238748</c:v>
                </c:pt>
                <c:pt idx="24">
                  <c:v>17.419700276763525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0-465B-9FB5-D88D59C9B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612815"/>
        <c:axId val="1240617391"/>
      </c:barChart>
      <c:catAx>
        <c:axId val="1240612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617391"/>
        <c:crosses val="autoZero"/>
        <c:auto val="1"/>
        <c:lblAlgn val="ctr"/>
        <c:lblOffset val="100"/>
        <c:noMultiLvlLbl val="0"/>
      </c:catAx>
      <c:valAx>
        <c:axId val="124061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Non unit</a:t>
                </a:r>
                <a:r>
                  <a:rPr lang="en-IN" baseline="0"/>
                  <a:t> cashflow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612815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Profit wiith Reserves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'Answer 4'!$B$4:$B$28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'Answer 4'!$C$4:$C$28</c:f>
              <c:numCache>
                <c:formatCode>0.00</c:formatCode>
                <c:ptCount val="25"/>
                <c:pt idx="0">
                  <c:v>-305.09969162443565</c:v>
                </c:pt>
                <c:pt idx="1">
                  <c:v>12.199468393663437</c:v>
                </c:pt>
                <c:pt idx="2">
                  <c:v>13.199787297605099</c:v>
                </c:pt>
                <c:pt idx="3">
                  <c:v>14.272918805159236</c:v>
                </c:pt>
                <c:pt idx="4">
                  <c:v>15.415050457000632</c:v>
                </c:pt>
                <c:pt idx="5">
                  <c:v>16.646386590716759</c:v>
                </c:pt>
                <c:pt idx="6">
                  <c:v>17.952266385416124</c:v>
                </c:pt>
                <c:pt idx="7">
                  <c:v>19.349834692712989</c:v>
                </c:pt>
                <c:pt idx="8">
                  <c:v>20.846278401269103</c:v>
                </c:pt>
                <c:pt idx="9">
                  <c:v>22.434644009123986</c:v>
                </c:pt>
                <c:pt idx="10">
                  <c:v>24.14952769464503</c:v>
                </c:pt>
                <c:pt idx="11">
                  <c:v>25.978305174350709</c:v>
                </c:pt>
                <c:pt idx="12">
                  <c:v>27.961724989373465</c:v>
                </c:pt>
                <c:pt idx="13">
                  <c:v>30.104294447104621</c:v>
                </c:pt>
                <c:pt idx="14">
                  <c:v>32.438527738313212</c:v>
                </c:pt>
                <c:pt idx="15">
                  <c:v>35.000588913359778</c:v>
                </c:pt>
                <c:pt idx="16">
                  <c:v>37.837489556736728</c:v>
                </c:pt>
                <c:pt idx="17">
                  <c:v>40.998548886217328</c:v>
                </c:pt>
                <c:pt idx="18">
                  <c:v>38.634102711941622</c:v>
                </c:pt>
                <c:pt idx="19">
                  <c:v>25.152630201082296</c:v>
                </c:pt>
                <c:pt idx="20">
                  <c:v>23.666682805103932</c:v>
                </c:pt>
                <c:pt idx="21">
                  <c:v>18.787615804583162</c:v>
                </c:pt>
                <c:pt idx="22">
                  <c:v>18.891183964947029</c:v>
                </c:pt>
                <c:pt idx="23">
                  <c:v>20.241818733243097</c:v>
                </c:pt>
                <c:pt idx="24">
                  <c:v>21.642199706244021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4-43C0-9BAB-2163CB7E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4835183"/>
        <c:axId val="1834846415"/>
      </c:barChart>
      <c:catAx>
        <c:axId val="18348351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846415"/>
        <c:crosses val="autoZero"/>
        <c:auto val="1"/>
        <c:lblAlgn val="ctr"/>
        <c:lblOffset val="100"/>
        <c:noMultiLvlLbl val="0"/>
      </c:catAx>
      <c:valAx>
        <c:axId val="183484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83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 without Reserves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'Answer 4'!$D$2:$D$3</c:f>
              <c:strCache>
                <c:ptCount val="2"/>
                <c:pt idx="0">
                  <c:v>Without </c:v>
                </c:pt>
                <c:pt idx="1">
                  <c:v>Reserves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'Answer 4'!$B$4:$B$28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'Answer 4'!$D$4:$D$28</c:f>
              <c:numCache>
                <c:formatCode>0.00</c:formatCode>
                <c:ptCount val="25"/>
                <c:pt idx="0">
                  <c:v>81.872380712004883</c:v>
                </c:pt>
                <c:pt idx="1">
                  <c:v>9.1642754265648421</c:v>
                </c:pt>
                <c:pt idx="2">
                  <c:v>6.5289988337657263</c:v>
                </c:pt>
                <c:pt idx="3">
                  <c:v>3.7628494925735154</c:v>
                </c:pt>
                <c:pt idx="4">
                  <c:v>0.92787059896141244</c:v>
                </c:pt>
                <c:pt idx="5">
                  <c:v>-1.9919715112360876</c:v>
                </c:pt>
                <c:pt idx="6">
                  <c:v>-4.858676582515649</c:v>
                </c:pt>
                <c:pt idx="7">
                  <c:v>-7.6316690550623747</c:v>
                </c:pt>
                <c:pt idx="8">
                  <c:v>-10.201602560891402</c:v>
                </c:pt>
                <c:pt idx="9">
                  <c:v>-12.374397273636276</c:v>
                </c:pt>
                <c:pt idx="10">
                  <c:v>-14.05387720058134</c:v>
                </c:pt>
                <c:pt idx="11">
                  <c:v>-14.934282142779161</c:v>
                </c:pt>
                <c:pt idx="12">
                  <c:v>-14.813148151946976</c:v>
                </c:pt>
                <c:pt idx="13">
                  <c:v>-13.304325001219652</c:v>
                </c:pt>
                <c:pt idx="14">
                  <c:v>-10.012848651259972</c:v>
                </c:pt>
                <c:pt idx="15">
                  <c:v>-4.4450191299310475</c:v>
                </c:pt>
                <c:pt idx="16">
                  <c:v>3.9951892496339028</c:v>
                </c:pt>
                <c:pt idx="17">
                  <c:v>16.034369569361509</c:v>
                </c:pt>
                <c:pt idx="18">
                  <c:v>26.609441373610089</c:v>
                </c:pt>
                <c:pt idx="19">
                  <c:v>25.152630201082296</c:v>
                </c:pt>
                <c:pt idx="20">
                  <c:v>23.666682805103932</c:v>
                </c:pt>
                <c:pt idx="21">
                  <c:v>22.151016461206023</c:v>
                </c:pt>
                <c:pt idx="22">
                  <c:v>20.60503679043013</c:v>
                </c:pt>
                <c:pt idx="23">
                  <c:v>19.028137526238748</c:v>
                </c:pt>
                <c:pt idx="24">
                  <c:v>17.419700276763525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6E-4455-B28E-7E880BF5D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3954783"/>
        <c:axId val="1823956031"/>
      </c:barChart>
      <c:catAx>
        <c:axId val="18239547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956031"/>
        <c:crosses val="autoZero"/>
        <c:auto val="1"/>
        <c:lblAlgn val="ctr"/>
        <c:lblOffset val="100"/>
        <c:noMultiLvlLbl val="0"/>
      </c:catAx>
      <c:valAx>
        <c:axId val="182395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95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38031</xdr:colOff>
      <xdr:row>1</xdr:row>
      <xdr:rowOff>139936</xdr:rowOff>
    </xdr:from>
    <xdr:to>
      <xdr:col>14</xdr:col>
      <xdr:colOff>455977</xdr:colOff>
      <xdr:row>17</xdr:row>
      <xdr:rowOff>48217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98F537-BCA6-4CD1-904A-93F1BACDE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260140</xdr:colOff>
      <xdr:row>1</xdr:row>
      <xdr:rowOff>177773</xdr:rowOff>
    </xdr:from>
    <xdr:to>
      <xdr:col>22</xdr:col>
      <xdr:colOff>630245</xdr:colOff>
      <xdr:row>17</xdr:row>
      <xdr:rowOff>46182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BFDF50-8FF3-4642-A208-D5C4654E1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7257</xdr:rowOff>
    </xdr:from>
    <xdr:to>
      <xdr:col>14</xdr:col>
      <xdr:colOff>172357</xdr:colOff>
      <xdr:row>16</xdr:row>
      <xdr:rowOff>29028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68AABF-5304-4851-BBC2-B416107D9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355599</xdr:colOff>
      <xdr:row>1</xdr:row>
      <xdr:rowOff>12699</xdr:rowOff>
    </xdr:from>
    <xdr:to>
      <xdr:col>21</xdr:col>
      <xdr:colOff>228848</xdr:colOff>
      <xdr:row>16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FAB38E-C52D-465B-9BAE-9E0AEA99C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pserviceslimited-my.sharepoint.com/personal/robertchadburn_bpp_com/Documents/Robert/CM1B/CM1B%20Y%20Assignments/CM1B%20Y2%20assignments/CM1B%20Assignment%20Y2%20Q3(now%20Q2)%20-OLD%20QUES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Mortality table"/>
      <sheetName val="Inputs"/>
      <sheetName val="Reserves"/>
      <sheetName val="Profit test"/>
    </sheetNames>
    <sheetDataSet>
      <sheetData sheetId="0" refreshError="1"/>
      <sheetData sheetId="1" refreshError="1">
        <row r="27">
          <cell r="H27">
            <v>9.3699999999987576E-4</v>
          </cell>
        </row>
        <row r="28">
          <cell r="H28">
            <v>1.0139999999998718E-3</v>
          </cell>
        </row>
        <row r="29">
          <cell r="H29">
            <v>1.1040000000000186E-3</v>
          </cell>
        </row>
        <row r="30">
          <cell r="H30">
            <v>1.2079999999999012E-3</v>
          </cell>
        </row>
        <row r="31">
          <cell r="H31">
            <v>1.3270000000000194E-3</v>
          </cell>
        </row>
        <row r="32">
          <cell r="H32">
            <v>1.4649999999999626E-3</v>
          </cell>
        </row>
        <row r="33">
          <cell r="H33">
            <v>1.6220000000000613E-3</v>
          </cell>
        </row>
        <row r="34">
          <cell r="H34">
            <v>1.8019999999999542E-3</v>
          </cell>
        </row>
        <row r="35">
          <cell r="H35">
            <v>2.0079999999999599E-3</v>
          </cell>
        </row>
        <row r="36">
          <cell r="H36">
            <v>2.2410000000001075E-3</v>
          </cell>
        </row>
        <row r="37">
          <cell r="H37">
            <v>2.5079999999998615E-3</v>
          </cell>
        </row>
        <row r="38">
          <cell r="H38">
            <v>2.8089999999999665E-3</v>
          </cell>
        </row>
        <row r="39">
          <cell r="H39">
            <v>3.1519999999999829E-3</v>
          </cell>
        </row>
        <row r="40">
          <cell r="H40">
            <v>3.5389999999999042E-3</v>
          </cell>
        </row>
        <row r="41">
          <cell r="H41">
            <v>3.9760000000000177E-3</v>
          </cell>
        </row>
        <row r="42">
          <cell r="H42">
            <v>4.4690000000000294E-3</v>
          </cell>
        </row>
        <row r="43">
          <cell r="H43">
            <v>5.0249999999998846E-3</v>
          </cell>
        </row>
        <row r="44">
          <cell r="H44">
            <v>5.6499999999999519E-3</v>
          </cell>
        </row>
        <row r="45">
          <cell r="H45">
            <v>6.3520000000000633E-3</v>
          </cell>
        </row>
        <row r="46">
          <cell r="H46">
            <v>7.1400000000001072E-3</v>
          </cell>
        </row>
        <row r="47">
          <cell r="H47">
            <v>8.022000000000069E-3</v>
          </cell>
        </row>
        <row r="48">
          <cell r="H48">
            <v>9.0090000000001332E-3</v>
          </cell>
        </row>
        <row r="49">
          <cell r="H49">
            <v>1.0111999999999927E-2</v>
          </cell>
        </row>
        <row r="50">
          <cell r="H50">
            <v>1.134400000000001E-2</v>
          </cell>
        </row>
        <row r="51">
          <cell r="H51">
            <v>1.271599999999987E-2</v>
          </cell>
        </row>
      </sheetData>
      <sheetData sheetId="2" refreshError="1">
        <row r="4">
          <cell r="D4">
            <v>0.45</v>
          </cell>
        </row>
        <row r="5">
          <cell r="D5">
            <v>0.05</v>
          </cell>
        </row>
        <row r="6">
          <cell r="D6">
            <v>50000</v>
          </cell>
        </row>
        <row r="7">
          <cell r="D7">
            <v>1950</v>
          </cell>
        </row>
        <row r="10">
          <cell r="D10">
            <v>0.03</v>
          </cell>
          <cell r="F10">
            <v>0.04</v>
          </cell>
        </row>
        <row r="11">
          <cell r="D11">
            <v>1.4999999999999999E-2</v>
          </cell>
          <cell r="F11">
            <v>0.02</v>
          </cell>
        </row>
        <row r="12">
          <cell r="D12">
            <v>1000</v>
          </cell>
          <cell r="F12">
            <v>1000</v>
          </cell>
        </row>
        <row r="13">
          <cell r="D13">
            <v>50</v>
          </cell>
          <cell r="F13">
            <v>50</v>
          </cell>
        </row>
        <row r="14">
          <cell r="D14">
            <v>0.03</v>
          </cell>
          <cell r="F14">
            <v>0.02</v>
          </cell>
        </row>
        <row r="15">
          <cell r="F15">
            <v>0.8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showGridLines="0" workbookViewId="0">
      <selection activeCell="C8" sqref="C8"/>
    </sheetView>
  </sheetViews>
  <sheetFormatPr defaultColWidth="9.1796875" defaultRowHeight="14.5" x14ac:dyDescent="0.35"/>
  <cols>
    <col min="1" max="1" width="3.7265625" style="2" customWidth="1"/>
    <col min="2" max="2" width="8.1796875" style="2" customWidth="1"/>
    <col min="3" max="3" width="21.453125" style="2" customWidth="1"/>
    <col min="4" max="4" width="35.54296875" style="2" customWidth="1"/>
    <col min="5" max="16384" width="9.1796875" style="2"/>
  </cols>
  <sheetData>
    <row r="1" spans="1:8" ht="26.5" customHeight="1" x14ac:dyDescent="0.35">
      <c r="A1" s="1" t="s">
        <v>64</v>
      </c>
    </row>
    <row r="2" spans="1:8" ht="26" x14ac:dyDescent="0.35">
      <c r="A2" s="1" t="s">
        <v>61</v>
      </c>
    </row>
    <row r="3" spans="1:8" ht="26" x14ac:dyDescent="0.35">
      <c r="A3" s="1" t="s">
        <v>62</v>
      </c>
      <c r="B3" s="1"/>
    </row>
    <row r="4" spans="1:8" ht="23.5" x14ac:dyDescent="0.35">
      <c r="A4" s="3"/>
    </row>
    <row r="5" spans="1:8" x14ac:dyDescent="0.35">
      <c r="E5" s="4"/>
      <c r="F5" s="4"/>
      <c r="G5" s="4"/>
      <c r="H5" s="4"/>
    </row>
    <row r="6" spans="1:8" x14ac:dyDescent="0.35">
      <c r="B6" s="2" t="s">
        <v>0</v>
      </c>
      <c r="C6" s="77" t="s">
        <v>65</v>
      </c>
      <c r="E6" s="4"/>
      <c r="F6" s="4"/>
      <c r="G6" s="4"/>
      <c r="H6" s="4"/>
    </row>
    <row r="7" spans="1:8" x14ac:dyDescent="0.35">
      <c r="E7" s="4"/>
      <c r="F7" s="4"/>
      <c r="G7" s="4"/>
      <c r="H7" s="4"/>
    </row>
    <row r="8" spans="1:8" x14ac:dyDescent="0.35">
      <c r="B8" s="74" t="s">
        <v>63</v>
      </c>
      <c r="C8" s="75">
        <v>709</v>
      </c>
      <c r="D8" s="5"/>
      <c r="E8" s="4"/>
      <c r="F8" s="4"/>
      <c r="G8" s="4"/>
      <c r="H8" s="4"/>
    </row>
    <row r="9" spans="1:8" x14ac:dyDescent="0.35">
      <c r="D9" s="5"/>
      <c r="E9" s="4"/>
      <c r="F9" s="4"/>
      <c r="G9" s="4"/>
      <c r="H9" s="4"/>
    </row>
    <row r="10" spans="1:8" x14ac:dyDescent="0.35">
      <c r="D10" s="6"/>
      <c r="E10" s="4"/>
      <c r="F10" s="4"/>
      <c r="G10" s="4"/>
      <c r="H10" s="4"/>
    </row>
    <row r="11" spans="1:8" x14ac:dyDescent="0.35">
      <c r="D11" s="5"/>
      <c r="E11" s="4"/>
      <c r="F11" s="4"/>
      <c r="G11" s="4"/>
      <c r="H11" s="4"/>
    </row>
    <row r="12" spans="1:8" x14ac:dyDescent="0.35">
      <c r="D12" s="5"/>
      <c r="E12" s="4"/>
      <c r="F12" s="4"/>
      <c r="G12" s="4"/>
      <c r="H12" s="4"/>
    </row>
    <row r="13" spans="1:8" x14ac:dyDescent="0.35">
      <c r="D13" s="5"/>
      <c r="E13" s="4"/>
      <c r="F13" s="4"/>
      <c r="G13" s="4"/>
      <c r="H13" s="4"/>
    </row>
    <row r="15" spans="1:8" x14ac:dyDescent="0.35">
      <c r="D15" s="6"/>
    </row>
    <row r="16" spans="1:8" x14ac:dyDescent="0.35">
      <c r="D16" s="6"/>
    </row>
    <row r="17" spans="1:2" x14ac:dyDescent="0.35">
      <c r="A17" s="7"/>
    </row>
    <row r="18" spans="1:2" x14ac:dyDescent="0.35">
      <c r="B18" s="8"/>
    </row>
    <row r="19" spans="1:2" x14ac:dyDescent="0.35">
      <c r="B19" s="8"/>
    </row>
    <row r="20" spans="1:2" x14ac:dyDescent="0.35">
      <c r="B20" s="8"/>
    </row>
    <row r="21" spans="1:2" x14ac:dyDescent="0.35">
      <c r="B21" s="8"/>
    </row>
    <row r="22" spans="1:2" x14ac:dyDescent="0.35">
      <c r="B22" s="8"/>
    </row>
    <row r="23" spans="1:2" x14ac:dyDescent="0.35">
      <c r="B23" s="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9"/>
  <sheetViews>
    <sheetView workbookViewId="0">
      <selection activeCell="C6" sqref="C6"/>
    </sheetView>
  </sheetViews>
  <sheetFormatPr defaultColWidth="11.7265625" defaultRowHeight="14.5" x14ac:dyDescent="0.35"/>
  <cols>
    <col min="1" max="5" width="11.7265625" style="12"/>
    <col min="6" max="6" width="1.453125" style="12" customWidth="1"/>
    <col min="7" max="14" width="11.7265625" style="12"/>
    <col min="15" max="15" width="12.6328125" style="12" bestFit="1" customWidth="1"/>
    <col min="16" max="16" width="21.08984375" style="12" customWidth="1"/>
    <col min="17" max="16384" width="11.7265625" style="12"/>
  </cols>
  <sheetData>
    <row r="1" spans="1:17" s="10" customFormat="1" ht="21" x14ac:dyDescent="0.5">
      <c r="A1" s="9" t="s">
        <v>38</v>
      </c>
    </row>
    <row r="2" spans="1:17" x14ac:dyDescent="0.35">
      <c r="B2" s="44" t="s">
        <v>39</v>
      </c>
      <c r="C2" s="45"/>
      <c r="G2" s="44" t="s">
        <v>40</v>
      </c>
      <c r="H2" s="46"/>
      <c r="I2" s="45"/>
      <c r="N2" s="47"/>
      <c r="O2" s="47"/>
      <c r="P2" s="47"/>
    </row>
    <row r="3" spans="1:17" x14ac:dyDescent="0.35">
      <c r="A3" s="48"/>
      <c r="B3" s="48"/>
      <c r="C3" s="48" t="s">
        <v>41</v>
      </c>
      <c r="D3" s="48" t="s">
        <v>42</v>
      </c>
      <c r="E3" s="48" t="s">
        <v>42</v>
      </c>
      <c r="F3" s="49"/>
      <c r="G3" s="48" t="s">
        <v>43</v>
      </c>
      <c r="H3" s="48"/>
      <c r="I3" s="48"/>
      <c r="J3" s="48" t="s">
        <v>44</v>
      </c>
      <c r="K3" s="48" t="s">
        <v>45</v>
      </c>
      <c r="L3" s="48" t="s">
        <v>46</v>
      </c>
      <c r="M3" s="50" t="s">
        <v>47</v>
      </c>
      <c r="N3" s="107" t="s">
        <v>90</v>
      </c>
      <c r="O3" s="107" t="s">
        <v>94</v>
      </c>
      <c r="P3" s="130" t="s">
        <v>92</v>
      </c>
      <c r="Q3" s="108"/>
    </row>
    <row r="4" spans="1:17" x14ac:dyDescent="0.35">
      <c r="A4" s="53" t="s">
        <v>48</v>
      </c>
      <c r="B4" s="53" t="s">
        <v>49</v>
      </c>
      <c r="C4" s="53" t="s">
        <v>50</v>
      </c>
      <c r="D4" s="53" t="s">
        <v>51</v>
      </c>
      <c r="E4" s="53" t="s">
        <v>52</v>
      </c>
      <c r="F4" s="53"/>
      <c r="G4" s="53" t="s">
        <v>53</v>
      </c>
      <c r="H4" s="53" t="s">
        <v>54</v>
      </c>
      <c r="I4" s="53" t="s">
        <v>55</v>
      </c>
      <c r="J4" s="53" t="s">
        <v>56</v>
      </c>
      <c r="K4" s="53" t="s">
        <v>57</v>
      </c>
      <c r="L4" s="53" t="s">
        <v>58</v>
      </c>
      <c r="M4" s="54" t="s">
        <v>59</v>
      </c>
      <c r="N4" s="107" t="s">
        <v>91</v>
      </c>
      <c r="O4" s="55" t="s">
        <v>95</v>
      </c>
      <c r="P4" s="130" t="s">
        <v>93</v>
      </c>
      <c r="Q4" s="108"/>
    </row>
    <row r="5" spans="1:17" x14ac:dyDescent="0.35">
      <c r="A5" s="55">
        <v>1</v>
      </c>
      <c r="B5" s="56">
        <f t="shared" ref="B5:B29" si="0">P</f>
        <v>1950</v>
      </c>
      <c r="C5" s="56">
        <f>B5*New_alloc*(1-BO)</f>
        <v>707.03364373347904</v>
      </c>
      <c r="D5" s="56">
        <f>C5</f>
        <v>707.03364373347904</v>
      </c>
      <c r="E5" s="56">
        <f t="shared" ref="E5:E29" si="1">D5*(1+ResUG)</f>
        <v>728.24465304548346</v>
      </c>
      <c r="G5" s="57">
        <f t="shared" ref="G5:G29" si="2">B5-C5</f>
        <v>1242.966356266521</v>
      </c>
      <c r="H5" s="57">
        <f>-ResIE</f>
        <v>-1000</v>
      </c>
      <c r="I5" s="57">
        <f t="shared" ref="I5:I29" si="3">(G5+H5)*ResINT</f>
        <v>3.6444953439978143</v>
      </c>
      <c r="J5" s="11">
        <f>'[1]Mortality table'!H27</f>
        <v>9.3699999999987576E-4</v>
      </c>
      <c r="K5" s="57">
        <f t="shared" ref="K5:K29" si="4">MAX(D-E5,0)</f>
        <v>49271.755346954516</v>
      </c>
      <c r="L5" s="57">
        <f>-J5*K5</f>
        <v>-46.167634760090259</v>
      </c>
      <c r="M5" s="58">
        <f>G5+H5+I5+L5</f>
        <v>200.44321685042851</v>
      </c>
      <c r="N5" s="11">
        <f>1-J5</f>
        <v>0.99906300000000015</v>
      </c>
      <c r="O5" s="56">
        <f t="shared" ref="O5:O27" si="5">M5-P6*N5</f>
        <v>-194.28171436367663</v>
      </c>
      <c r="P5" s="56">
        <f t="shared" ref="P5:P23" si="6">-O5/(1+ResINT)</f>
        <v>191.41055602332673</v>
      </c>
      <c r="Q5" s="108"/>
    </row>
    <row r="6" spans="1:17" x14ac:dyDescent="0.35">
      <c r="A6" s="55">
        <v>2</v>
      </c>
      <c r="B6" s="56">
        <f t="shared" si="0"/>
        <v>1950</v>
      </c>
      <c r="C6" s="56">
        <f t="shared" ref="C6:C29" si="7">B6*(1-BO)</f>
        <v>1852.5</v>
      </c>
      <c r="D6" s="56">
        <f t="shared" ref="D6:D29" si="8">C6+E5</f>
        <v>2580.7446530454836</v>
      </c>
      <c r="E6" s="56">
        <f t="shared" si="1"/>
        <v>2658.1669926368481</v>
      </c>
      <c r="G6" s="57">
        <f t="shared" si="2"/>
        <v>97.5</v>
      </c>
      <c r="H6" s="57">
        <f t="shared" ref="H6:H29" si="9">-ResRE*(1+ResINF)^A5</f>
        <v>-51.5</v>
      </c>
      <c r="I6" s="57">
        <f t="shared" si="3"/>
        <v>0.69</v>
      </c>
      <c r="J6" s="11">
        <f>'[1]Mortality table'!H28</f>
        <v>1.0139999999998718E-3</v>
      </c>
      <c r="K6" s="57">
        <f t="shared" si="4"/>
        <v>47341.833007363151</v>
      </c>
      <c r="L6" s="57">
        <f t="shared" ref="L6:L29" si="10">-J6*K6</f>
        <v>-48.004618669460164</v>
      </c>
      <c r="M6" s="58">
        <f t="shared" ref="M6:M29" si="11">G6+H6+I6+L6</f>
        <v>-1.3146186694601667</v>
      </c>
      <c r="N6" s="11">
        <f t="shared" ref="N6:N29" si="12">1-J6</f>
        <v>0.99898600000000015</v>
      </c>
      <c r="O6" s="56">
        <f t="shared" si="5"/>
        <v>-401.02156238627259</v>
      </c>
      <c r="P6" s="56">
        <f t="shared" si="6"/>
        <v>395.09513535593362</v>
      </c>
    </row>
    <row r="7" spans="1:17" x14ac:dyDescent="0.35">
      <c r="A7" s="55">
        <v>3</v>
      </c>
      <c r="B7" s="56">
        <f t="shared" si="0"/>
        <v>1950</v>
      </c>
      <c r="C7" s="56">
        <f t="shared" si="7"/>
        <v>1852.5</v>
      </c>
      <c r="D7" s="56">
        <f t="shared" si="8"/>
        <v>4510.6669926368486</v>
      </c>
      <c r="E7" s="56">
        <f t="shared" si="1"/>
        <v>4645.9870024159545</v>
      </c>
      <c r="G7" s="57">
        <f t="shared" si="2"/>
        <v>97.5</v>
      </c>
      <c r="H7" s="57">
        <f t="shared" si="9"/>
        <v>-53.044999999999995</v>
      </c>
      <c r="I7" s="57">
        <f t="shared" si="3"/>
        <v>0.666825</v>
      </c>
      <c r="J7" s="11">
        <f>'[1]Mortality table'!H29</f>
        <v>1.1040000000000186E-3</v>
      </c>
      <c r="K7" s="57">
        <f t="shared" si="4"/>
        <v>45354.012997584046</v>
      </c>
      <c r="L7" s="57">
        <f t="shared" si="10"/>
        <v>-50.070830349333633</v>
      </c>
      <c r="M7" s="58">
        <f t="shared" si="11"/>
        <v>-4.9490053493336248</v>
      </c>
      <c r="N7" s="11">
        <f t="shared" si="12"/>
        <v>0.99889600000000001</v>
      </c>
      <c r="O7" s="56">
        <f t="shared" si="5"/>
        <v>-406.11434782125525</v>
      </c>
      <c r="P7" s="56">
        <f t="shared" si="6"/>
        <v>400.11265795197568</v>
      </c>
    </row>
    <row r="8" spans="1:17" x14ac:dyDescent="0.35">
      <c r="A8" s="55">
        <v>4</v>
      </c>
      <c r="B8" s="56">
        <f t="shared" si="0"/>
        <v>1950</v>
      </c>
      <c r="C8" s="56">
        <f t="shared" si="7"/>
        <v>1852.5</v>
      </c>
      <c r="D8" s="56">
        <f t="shared" si="8"/>
        <v>6498.4870024159545</v>
      </c>
      <c r="E8" s="56">
        <f t="shared" si="1"/>
        <v>6693.4416124884337</v>
      </c>
      <c r="G8" s="57">
        <f t="shared" si="2"/>
        <v>97.5</v>
      </c>
      <c r="H8" s="57">
        <f t="shared" si="9"/>
        <v>-54.63635</v>
      </c>
      <c r="I8" s="57">
        <f t="shared" si="3"/>
        <v>0.64295475000000002</v>
      </c>
      <c r="J8" s="11">
        <f>'[1]Mortality table'!H30</f>
        <v>1.2079999999999012E-3</v>
      </c>
      <c r="K8" s="57">
        <f t="shared" si="4"/>
        <v>43306.55838751157</v>
      </c>
      <c r="L8" s="57">
        <f t="shared" si="10"/>
        <v>-52.314322532109699</v>
      </c>
      <c r="M8" s="58">
        <f t="shared" si="11"/>
        <v>-8.8077177821096981</v>
      </c>
      <c r="N8" s="11">
        <f t="shared" si="12"/>
        <v>0.99879200000000012</v>
      </c>
      <c r="O8" s="56">
        <f t="shared" si="5"/>
        <v>-407.63284927459961</v>
      </c>
      <c r="P8" s="56">
        <f t="shared" si="6"/>
        <v>401.60871849714249</v>
      </c>
    </row>
    <row r="9" spans="1:17" x14ac:dyDescent="0.35">
      <c r="A9" s="55">
        <v>5</v>
      </c>
      <c r="B9" s="56">
        <f t="shared" si="0"/>
        <v>1950</v>
      </c>
      <c r="C9" s="56">
        <f t="shared" si="7"/>
        <v>1852.5</v>
      </c>
      <c r="D9" s="56">
        <f t="shared" si="8"/>
        <v>8545.9416124884337</v>
      </c>
      <c r="E9" s="56">
        <f t="shared" si="1"/>
        <v>8802.3198608630864</v>
      </c>
      <c r="G9" s="57">
        <f t="shared" si="2"/>
        <v>97.5</v>
      </c>
      <c r="H9" s="57">
        <f t="shared" si="9"/>
        <v>-56.275440499999995</v>
      </c>
      <c r="I9" s="57">
        <f t="shared" si="3"/>
        <v>0.61836839250000009</v>
      </c>
      <c r="J9" s="11">
        <f>'[1]Mortality table'!H31</f>
        <v>1.3270000000000194E-3</v>
      </c>
      <c r="K9" s="57">
        <f t="shared" si="4"/>
        <v>41197.680139136915</v>
      </c>
      <c r="L9" s="57">
        <f t="shared" si="10"/>
        <v>-54.669321544635487</v>
      </c>
      <c r="M9" s="58">
        <f t="shared" si="11"/>
        <v>-12.826393652135479</v>
      </c>
      <c r="N9" s="11">
        <f t="shared" si="12"/>
        <v>0.99867300000000003</v>
      </c>
      <c r="O9" s="56">
        <f t="shared" si="5"/>
        <v>-405.29710737058082</v>
      </c>
      <c r="P9" s="56">
        <f t="shared" si="6"/>
        <v>399.30749494638508</v>
      </c>
    </row>
    <row r="10" spans="1:17" x14ac:dyDescent="0.35">
      <c r="A10" s="55">
        <v>6</v>
      </c>
      <c r="B10" s="56">
        <f t="shared" si="0"/>
        <v>1950</v>
      </c>
      <c r="C10" s="56">
        <f t="shared" si="7"/>
        <v>1852.5</v>
      </c>
      <c r="D10" s="56">
        <f t="shared" si="8"/>
        <v>10654.819860863086</v>
      </c>
      <c r="E10" s="56">
        <f t="shared" si="1"/>
        <v>10974.46445668898</v>
      </c>
      <c r="G10" s="57">
        <f t="shared" si="2"/>
        <v>97.5</v>
      </c>
      <c r="H10" s="57">
        <f t="shared" si="9"/>
        <v>-57.963703714999994</v>
      </c>
      <c r="I10" s="57">
        <f t="shared" si="3"/>
        <v>0.59304444427500003</v>
      </c>
      <c r="J10" s="11">
        <f>'[1]Mortality table'!H32</f>
        <v>1.4649999999999626E-3</v>
      </c>
      <c r="K10" s="57">
        <f t="shared" si="4"/>
        <v>39025.535543311024</v>
      </c>
      <c r="L10" s="57">
        <f t="shared" si="10"/>
        <v>-57.172409570949192</v>
      </c>
      <c r="M10" s="58">
        <f t="shared" si="11"/>
        <v>-17.043068841674184</v>
      </c>
      <c r="N10" s="11">
        <f t="shared" si="12"/>
        <v>0.99853500000000006</v>
      </c>
      <c r="O10" s="56">
        <f t="shared" si="5"/>
        <v>-398.88709760274077</v>
      </c>
      <c r="P10" s="56">
        <f t="shared" si="6"/>
        <v>392.99221438693678</v>
      </c>
    </row>
    <row r="11" spans="1:17" x14ac:dyDescent="0.35">
      <c r="A11" s="55">
        <v>7</v>
      </c>
      <c r="B11" s="56">
        <f t="shared" si="0"/>
        <v>1950</v>
      </c>
      <c r="C11" s="56">
        <f t="shared" si="7"/>
        <v>1852.5</v>
      </c>
      <c r="D11" s="56">
        <f t="shared" si="8"/>
        <v>12826.96445668898</v>
      </c>
      <c r="E11" s="56">
        <f t="shared" si="1"/>
        <v>13211.77339038965</v>
      </c>
      <c r="G11" s="57">
        <f t="shared" si="2"/>
        <v>97.5</v>
      </c>
      <c r="H11" s="57">
        <f t="shared" si="9"/>
        <v>-59.702614826449995</v>
      </c>
      <c r="I11" s="57">
        <f t="shared" si="3"/>
        <v>0.56696077760325003</v>
      </c>
      <c r="J11" s="11">
        <f>'[1]Mortality table'!H33</f>
        <v>1.6220000000000613E-3</v>
      </c>
      <c r="K11" s="57">
        <f t="shared" si="4"/>
        <v>36788.226609610349</v>
      </c>
      <c r="L11" s="57">
        <f t="shared" si="10"/>
        <v>-59.670503560790245</v>
      </c>
      <c r="M11" s="58">
        <f t="shared" si="11"/>
        <v>-21.30615760963699</v>
      </c>
      <c r="N11" s="11">
        <f t="shared" si="12"/>
        <v>0.99837799999999999</v>
      </c>
      <c r="O11" s="56">
        <f t="shared" si="5"/>
        <v>-388.1403147535965</v>
      </c>
      <c r="P11" s="56">
        <f t="shared" si="6"/>
        <v>382.40425098876506</v>
      </c>
    </row>
    <row r="12" spans="1:17" x14ac:dyDescent="0.35">
      <c r="A12" s="55">
        <v>8</v>
      </c>
      <c r="B12" s="56">
        <f t="shared" si="0"/>
        <v>1950</v>
      </c>
      <c r="C12" s="56">
        <f t="shared" si="7"/>
        <v>1852.5</v>
      </c>
      <c r="D12" s="56">
        <f t="shared" si="8"/>
        <v>15064.27339038965</v>
      </c>
      <c r="E12" s="56">
        <f t="shared" si="1"/>
        <v>15516.201592101339</v>
      </c>
      <c r="G12" s="57">
        <f t="shared" si="2"/>
        <v>97.5</v>
      </c>
      <c r="H12" s="57">
        <f t="shared" si="9"/>
        <v>-61.493693271243501</v>
      </c>
      <c r="I12" s="57">
        <f t="shared" si="3"/>
        <v>0.54009460093134742</v>
      </c>
      <c r="J12" s="11">
        <f>'[1]Mortality table'!H34</f>
        <v>1.8019999999999542E-3</v>
      </c>
      <c r="K12" s="57">
        <f t="shared" si="4"/>
        <v>34483.798407898663</v>
      </c>
      <c r="L12" s="57">
        <f t="shared" si="10"/>
        <v>-62.139804731031809</v>
      </c>
      <c r="M12" s="58">
        <f t="shared" si="11"/>
        <v>-25.593403401343963</v>
      </c>
      <c r="N12" s="11">
        <f t="shared" si="12"/>
        <v>0.99819800000000003</v>
      </c>
      <c r="O12" s="56">
        <f t="shared" si="5"/>
        <v>-372.94158074508738</v>
      </c>
      <c r="P12" s="56">
        <f t="shared" si="6"/>
        <v>367.430128812894</v>
      </c>
    </row>
    <row r="13" spans="1:17" x14ac:dyDescent="0.35">
      <c r="A13" s="55">
        <v>9</v>
      </c>
      <c r="B13" s="56">
        <f t="shared" si="0"/>
        <v>1950</v>
      </c>
      <c r="C13" s="56">
        <f t="shared" si="7"/>
        <v>1852.5</v>
      </c>
      <c r="D13" s="56">
        <f t="shared" si="8"/>
        <v>17368.701592101337</v>
      </c>
      <c r="E13" s="56">
        <f t="shared" si="1"/>
        <v>17889.762639864377</v>
      </c>
      <c r="G13" s="57">
        <f t="shared" si="2"/>
        <v>97.5</v>
      </c>
      <c r="H13" s="57">
        <f t="shared" si="9"/>
        <v>-63.338504069380797</v>
      </c>
      <c r="I13" s="57">
        <f t="shared" si="3"/>
        <v>0.51242243895928807</v>
      </c>
      <c r="J13" s="11">
        <f>'[1]Mortality table'!H35</f>
        <v>2.0079999999999599E-3</v>
      </c>
      <c r="K13" s="57">
        <f t="shared" si="4"/>
        <v>32110.237360135623</v>
      </c>
      <c r="L13" s="57">
        <f t="shared" si="10"/>
        <v>-64.477356619151038</v>
      </c>
      <c r="M13" s="58">
        <f t="shared" si="11"/>
        <v>-29.803438249572544</v>
      </c>
      <c r="N13" s="11">
        <f t="shared" si="12"/>
        <v>0.99799199999999999</v>
      </c>
      <c r="O13" s="56">
        <f t="shared" si="5"/>
        <v>-353.19485713645946</v>
      </c>
      <c r="P13" s="56">
        <f t="shared" si="6"/>
        <v>347.97522870587142</v>
      </c>
    </row>
    <row r="14" spans="1:17" x14ac:dyDescent="0.35">
      <c r="A14" s="55">
        <v>10</v>
      </c>
      <c r="B14" s="56">
        <f t="shared" si="0"/>
        <v>1950</v>
      </c>
      <c r="C14" s="56">
        <f t="shared" si="7"/>
        <v>1852.5</v>
      </c>
      <c r="D14" s="56">
        <f t="shared" si="8"/>
        <v>19742.262639864377</v>
      </c>
      <c r="E14" s="56">
        <f t="shared" si="1"/>
        <v>20334.53051906031</v>
      </c>
      <c r="G14" s="57">
        <f t="shared" si="2"/>
        <v>97.5</v>
      </c>
      <c r="H14" s="57">
        <f t="shared" si="9"/>
        <v>-65.238659191462219</v>
      </c>
      <c r="I14" s="57">
        <f t="shared" si="3"/>
        <v>0.48392011212806668</v>
      </c>
      <c r="J14" s="11">
        <f>'[1]Mortality table'!H36</f>
        <v>2.2410000000001075E-3</v>
      </c>
      <c r="K14" s="56">
        <f t="shared" si="4"/>
        <v>29665.46948093969</v>
      </c>
      <c r="L14" s="56">
        <f t="shared" si="10"/>
        <v>-66.48031710678903</v>
      </c>
      <c r="M14" s="58">
        <f t="shared" si="11"/>
        <v>-33.735056186123181</v>
      </c>
      <c r="N14" s="11">
        <f t="shared" si="12"/>
        <v>0.99775899999999984</v>
      </c>
      <c r="O14" s="56">
        <f t="shared" si="5"/>
        <v>-328.90272684569635</v>
      </c>
      <c r="P14" s="56">
        <f t="shared" si="6"/>
        <v>324.04209541447921</v>
      </c>
    </row>
    <row r="15" spans="1:17" x14ac:dyDescent="0.35">
      <c r="A15" s="55">
        <v>11</v>
      </c>
      <c r="B15" s="56">
        <f t="shared" si="0"/>
        <v>1950</v>
      </c>
      <c r="C15" s="56">
        <f t="shared" si="7"/>
        <v>1852.5</v>
      </c>
      <c r="D15" s="56">
        <f t="shared" si="8"/>
        <v>22187.03051906031</v>
      </c>
      <c r="E15" s="56">
        <f t="shared" si="1"/>
        <v>22852.641434632122</v>
      </c>
      <c r="G15" s="57">
        <f t="shared" si="2"/>
        <v>97.5</v>
      </c>
      <c r="H15" s="57">
        <f t="shared" si="9"/>
        <v>-67.195818967206094</v>
      </c>
      <c r="I15" s="57">
        <f t="shared" si="3"/>
        <v>0.45456271549190858</v>
      </c>
      <c r="J15" s="11">
        <f>'[1]Mortality table'!H37</f>
        <v>2.5079999999998615E-3</v>
      </c>
      <c r="K15" s="56">
        <f t="shared" si="4"/>
        <v>27147.358565367878</v>
      </c>
      <c r="L15" s="56">
        <f t="shared" si="10"/>
        <v>-68.085575281938873</v>
      </c>
      <c r="M15" s="58">
        <f t="shared" si="11"/>
        <v>-37.326831533653056</v>
      </c>
      <c r="N15" s="11">
        <f t="shared" si="12"/>
        <v>0.99749200000000016</v>
      </c>
      <c r="O15" s="56">
        <f t="shared" si="5"/>
        <v>-300.26808650131625</v>
      </c>
      <c r="P15" s="56">
        <f t="shared" si="6"/>
        <v>295.83062709489286</v>
      </c>
    </row>
    <row r="16" spans="1:17" x14ac:dyDescent="0.35">
      <c r="A16" s="55">
        <v>12</v>
      </c>
      <c r="B16" s="56">
        <f t="shared" si="0"/>
        <v>1950</v>
      </c>
      <c r="C16" s="56">
        <f t="shared" si="7"/>
        <v>1852.5</v>
      </c>
      <c r="D16" s="56">
        <f t="shared" si="8"/>
        <v>24705.141434632122</v>
      </c>
      <c r="E16" s="56">
        <f t="shared" si="1"/>
        <v>25446.295677671085</v>
      </c>
      <c r="G16" s="57">
        <f t="shared" si="2"/>
        <v>97.5</v>
      </c>
      <c r="H16" s="57">
        <f t="shared" si="9"/>
        <v>-69.21169353622227</v>
      </c>
      <c r="I16" s="57">
        <f t="shared" si="3"/>
        <v>0.42432459695666591</v>
      </c>
      <c r="J16" s="11">
        <f>'[1]Mortality table'!H38</f>
        <v>2.8089999999999665E-3</v>
      </c>
      <c r="K16" s="56">
        <f t="shared" si="4"/>
        <v>24553.704322328915</v>
      </c>
      <c r="L16" s="56">
        <f t="shared" si="10"/>
        <v>-68.971355441421096</v>
      </c>
      <c r="M16" s="58">
        <f t="shared" si="11"/>
        <v>-40.258724380686701</v>
      </c>
      <c r="N16" s="11">
        <f t="shared" si="12"/>
        <v>0.99719100000000005</v>
      </c>
      <c r="O16" s="56">
        <f t="shared" si="5"/>
        <v>-267.55640525656156</v>
      </c>
      <c r="P16" s="56">
        <f t="shared" si="6"/>
        <v>263.60236971089813</v>
      </c>
    </row>
    <row r="17" spans="1:16" x14ac:dyDescent="0.35">
      <c r="A17" s="55">
        <v>13</v>
      </c>
      <c r="B17" s="56">
        <f t="shared" si="0"/>
        <v>1950</v>
      </c>
      <c r="C17" s="56">
        <f t="shared" si="7"/>
        <v>1852.5</v>
      </c>
      <c r="D17" s="56">
        <f t="shared" si="8"/>
        <v>27298.795677671085</v>
      </c>
      <c r="E17" s="56">
        <f t="shared" si="1"/>
        <v>28117.759548001217</v>
      </c>
      <c r="G17" s="57">
        <f t="shared" si="2"/>
        <v>97.5</v>
      </c>
      <c r="H17" s="57">
        <f t="shared" si="9"/>
        <v>-71.288044342308936</v>
      </c>
      <c r="I17" s="57">
        <f t="shared" si="3"/>
        <v>0.39317933486536594</v>
      </c>
      <c r="J17" s="11">
        <f>'[1]Mortality table'!H39</f>
        <v>3.1519999999999829E-3</v>
      </c>
      <c r="K17" s="56">
        <f t="shared" si="4"/>
        <v>21882.240451998783</v>
      </c>
      <c r="L17" s="56">
        <f t="shared" si="10"/>
        <v>-68.972821904699785</v>
      </c>
      <c r="M17" s="58">
        <f t="shared" si="11"/>
        <v>-42.367686912143355</v>
      </c>
      <c r="N17" s="11">
        <f t="shared" si="12"/>
        <v>0.99684800000000007</v>
      </c>
      <c r="O17" s="56">
        <f t="shared" si="5"/>
        <v>-231.3570279806105</v>
      </c>
      <c r="P17" s="56">
        <f t="shared" si="6"/>
        <v>227.93795860158673</v>
      </c>
    </row>
    <row r="18" spans="1:16" x14ac:dyDescent="0.35">
      <c r="A18" s="55">
        <v>14</v>
      </c>
      <c r="B18" s="56">
        <f t="shared" si="0"/>
        <v>1950</v>
      </c>
      <c r="C18" s="56">
        <f t="shared" si="7"/>
        <v>1852.5</v>
      </c>
      <c r="D18" s="56">
        <f t="shared" si="8"/>
        <v>29970.259548001217</v>
      </c>
      <c r="E18" s="56">
        <f t="shared" si="1"/>
        <v>30869.367334441253</v>
      </c>
      <c r="G18" s="57">
        <f t="shared" si="2"/>
        <v>97.5</v>
      </c>
      <c r="H18" s="57">
        <f t="shared" si="9"/>
        <v>-73.426685672578202</v>
      </c>
      <c r="I18" s="57">
        <f t="shared" si="3"/>
        <v>0.36109971491132697</v>
      </c>
      <c r="J18" s="11">
        <f>'[1]Mortality table'!H40</f>
        <v>3.5389999999999042E-3</v>
      </c>
      <c r="K18" s="56">
        <f t="shared" si="4"/>
        <v>19130.632665558747</v>
      </c>
      <c r="L18" s="56">
        <f t="shared" si="10"/>
        <v>-67.703309003410567</v>
      </c>
      <c r="M18" s="58">
        <f t="shared" si="11"/>
        <v>-43.268894961077443</v>
      </c>
      <c r="N18" s="11">
        <f t="shared" si="12"/>
        <v>0.99646100000000004</v>
      </c>
      <c r="O18" s="56">
        <f t="shared" si="5"/>
        <v>-192.43072282283168</v>
      </c>
      <c r="P18" s="56">
        <f t="shared" si="6"/>
        <v>189.58691903727262</v>
      </c>
    </row>
    <row r="19" spans="1:16" x14ac:dyDescent="0.35">
      <c r="A19" s="55">
        <v>15</v>
      </c>
      <c r="B19" s="56">
        <f t="shared" si="0"/>
        <v>1950</v>
      </c>
      <c r="C19" s="56">
        <f t="shared" si="7"/>
        <v>1852.5</v>
      </c>
      <c r="D19" s="56">
        <f t="shared" si="8"/>
        <v>32721.867334441253</v>
      </c>
      <c r="E19" s="56">
        <f t="shared" si="1"/>
        <v>33703.523354474491</v>
      </c>
      <c r="G19" s="57">
        <f t="shared" si="2"/>
        <v>97.5</v>
      </c>
      <c r="H19" s="57">
        <f t="shared" si="9"/>
        <v>-75.629486242755547</v>
      </c>
      <c r="I19" s="57">
        <f t="shared" si="3"/>
        <v>0.32805770635866677</v>
      </c>
      <c r="J19" s="11">
        <f>'[1]Mortality table'!H41</f>
        <v>3.9760000000000177E-3</v>
      </c>
      <c r="K19" s="56">
        <f t="shared" si="4"/>
        <v>16296.476645525509</v>
      </c>
      <c r="L19" s="56">
        <f t="shared" si="10"/>
        <v>-64.794791142609711</v>
      </c>
      <c r="M19" s="58">
        <f t="shared" si="11"/>
        <v>-42.596219679006595</v>
      </c>
      <c r="N19" s="11">
        <f t="shared" si="12"/>
        <v>0.99602400000000002</v>
      </c>
      <c r="O19" s="56">
        <f t="shared" si="5"/>
        <v>-151.93696018176377</v>
      </c>
      <c r="P19" s="56">
        <f t="shared" si="6"/>
        <v>149.69158638597418</v>
      </c>
    </row>
    <row r="20" spans="1:16" x14ac:dyDescent="0.35">
      <c r="A20" s="55">
        <v>16</v>
      </c>
      <c r="B20" s="56">
        <f t="shared" si="0"/>
        <v>1950</v>
      </c>
      <c r="C20" s="56">
        <f t="shared" si="7"/>
        <v>1852.5</v>
      </c>
      <c r="D20" s="56">
        <f t="shared" si="8"/>
        <v>35556.023354474491</v>
      </c>
      <c r="E20" s="56">
        <f t="shared" si="1"/>
        <v>36622.704055108727</v>
      </c>
      <c r="G20" s="57">
        <f t="shared" si="2"/>
        <v>97.5</v>
      </c>
      <c r="H20" s="57">
        <f t="shared" si="9"/>
        <v>-77.898370830038218</v>
      </c>
      <c r="I20" s="57">
        <f t="shared" si="3"/>
        <v>0.2940244375494267</v>
      </c>
      <c r="J20" s="11">
        <f>'[1]Mortality table'!H42</f>
        <v>4.4690000000000294E-3</v>
      </c>
      <c r="K20" s="56">
        <f t="shared" si="4"/>
        <v>13377.295944891273</v>
      </c>
      <c r="L20" s="56">
        <f t="shared" si="10"/>
        <v>-59.783135577719491</v>
      </c>
      <c r="M20" s="58">
        <f t="shared" si="11"/>
        <v>-39.887481970208285</v>
      </c>
      <c r="N20" s="11">
        <f t="shared" si="12"/>
        <v>0.99553099999999994</v>
      </c>
      <c r="O20" s="56">
        <f t="shared" si="5"/>
        <v>-111.42387292906449</v>
      </c>
      <c r="P20" s="56">
        <f t="shared" si="6"/>
        <v>109.77721470843792</v>
      </c>
    </row>
    <row r="21" spans="1:16" x14ac:dyDescent="0.35">
      <c r="A21" s="55">
        <v>17</v>
      </c>
      <c r="B21" s="56">
        <f t="shared" si="0"/>
        <v>1950</v>
      </c>
      <c r="C21" s="56">
        <f t="shared" si="7"/>
        <v>1852.5</v>
      </c>
      <c r="D21" s="56">
        <f t="shared" si="8"/>
        <v>38475.204055108727</v>
      </c>
      <c r="E21" s="56">
        <f t="shared" si="1"/>
        <v>39629.46017676199</v>
      </c>
      <c r="G21" s="57">
        <f t="shared" si="2"/>
        <v>97.5</v>
      </c>
      <c r="H21" s="57">
        <f t="shared" si="9"/>
        <v>-80.235321954939351</v>
      </c>
      <c r="I21" s="57">
        <f t="shared" si="3"/>
        <v>0.25897017067590972</v>
      </c>
      <c r="J21" s="11">
        <f>'[1]Mortality table'!H43</f>
        <v>5.0249999999998846E-3</v>
      </c>
      <c r="K21" s="56">
        <f t="shared" si="4"/>
        <v>10370.53982323801</v>
      </c>
      <c r="L21" s="56">
        <f t="shared" si="10"/>
        <v>-52.111962611769805</v>
      </c>
      <c r="M21" s="58">
        <f t="shared" si="11"/>
        <v>-34.588314396033248</v>
      </c>
      <c r="N21" s="11">
        <f t="shared" si="12"/>
        <v>0.99497500000000016</v>
      </c>
      <c r="O21" s="56">
        <f t="shared" si="5"/>
        <v>-72.935385059068025</v>
      </c>
      <c r="P21" s="56">
        <f t="shared" si="6"/>
        <v>71.857522225682786</v>
      </c>
    </row>
    <row r="22" spans="1:16" x14ac:dyDescent="0.35">
      <c r="A22" s="55">
        <v>18</v>
      </c>
      <c r="B22" s="56">
        <f t="shared" si="0"/>
        <v>1950</v>
      </c>
      <c r="C22" s="56">
        <f t="shared" si="7"/>
        <v>1852.5</v>
      </c>
      <c r="D22" s="56">
        <f t="shared" si="8"/>
        <v>41481.96017676199</v>
      </c>
      <c r="E22" s="56">
        <f t="shared" si="1"/>
        <v>42726.418982064853</v>
      </c>
      <c r="G22" s="57">
        <f t="shared" si="2"/>
        <v>97.5</v>
      </c>
      <c r="H22" s="57">
        <f t="shared" si="9"/>
        <v>-82.642381613587531</v>
      </c>
      <c r="I22" s="57">
        <f t="shared" si="3"/>
        <v>0.22286427579618703</v>
      </c>
      <c r="J22" s="11">
        <f>'[1]Mortality table'!H44</f>
        <v>5.6499999999999519E-3</v>
      </c>
      <c r="K22" s="56">
        <f t="shared" si="4"/>
        <v>7273.5810179351465</v>
      </c>
      <c r="L22" s="56">
        <f t="shared" si="10"/>
        <v>-41.09573275133323</v>
      </c>
      <c r="M22" s="58">
        <f t="shared" si="11"/>
        <v>-26.015250089124574</v>
      </c>
      <c r="N22" s="11">
        <f t="shared" si="12"/>
        <v>0.99435000000000007</v>
      </c>
      <c r="O22" s="56">
        <f t="shared" si="5"/>
        <v>-39.118848938898253</v>
      </c>
      <c r="P22" s="56">
        <f t="shared" si="6"/>
        <v>38.54073787083572</v>
      </c>
    </row>
    <row r="23" spans="1:16" x14ac:dyDescent="0.35">
      <c r="A23" s="55">
        <v>19</v>
      </c>
      <c r="B23" s="56">
        <f t="shared" si="0"/>
        <v>1950</v>
      </c>
      <c r="C23" s="56">
        <f t="shared" si="7"/>
        <v>1852.5</v>
      </c>
      <c r="D23" s="56">
        <f t="shared" si="8"/>
        <v>44578.918982064853</v>
      </c>
      <c r="E23" s="56">
        <f t="shared" si="1"/>
        <v>45916.286551526799</v>
      </c>
      <c r="G23" s="57">
        <f t="shared" si="2"/>
        <v>97.5</v>
      </c>
      <c r="H23" s="57">
        <f t="shared" si="9"/>
        <v>-85.121653061995161</v>
      </c>
      <c r="I23" s="57">
        <f t="shared" si="3"/>
        <v>0.18567520407007257</v>
      </c>
      <c r="J23" s="11">
        <f>'[1]Mortality table'!H45</f>
        <v>6.3520000000000633E-3</v>
      </c>
      <c r="K23" s="56">
        <f t="shared" si="4"/>
        <v>4083.7134484732014</v>
      </c>
      <c r="L23" s="56">
        <f t="shared" si="10"/>
        <v>-25.939747824702035</v>
      </c>
      <c r="M23" s="58">
        <f t="shared" si="11"/>
        <v>-13.375725682627124</v>
      </c>
      <c r="N23" s="11">
        <f t="shared" si="12"/>
        <v>0.99364799999999998</v>
      </c>
      <c r="O23" s="56">
        <f t="shared" si="5"/>
        <v>-13.375725682627124</v>
      </c>
      <c r="P23" s="56">
        <f t="shared" si="6"/>
        <v>13.178054859731157</v>
      </c>
    </row>
    <row r="24" spans="1:16" x14ac:dyDescent="0.35">
      <c r="A24" s="55">
        <v>20</v>
      </c>
      <c r="B24" s="56">
        <f t="shared" si="0"/>
        <v>1950</v>
      </c>
      <c r="C24" s="56">
        <f t="shared" si="7"/>
        <v>1852.5</v>
      </c>
      <c r="D24" s="56">
        <f t="shared" si="8"/>
        <v>47768.786551526799</v>
      </c>
      <c r="E24" s="56">
        <f t="shared" si="1"/>
        <v>49201.850148072604</v>
      </c>
      <c r="G24" s="57">
        <f t="shared" si="2"/>
        <v>97.5</v>
      </c>
      <c r="H24" s="57">
        <f t="shared" si="9"/>
        <v>-87.675302653855013</v>
      </c>
      <c r="I24" s="57">
        <f t="shared" si="3"/>
        <v>0.14737046019217478</v>
      </c>
      <c r="J24" s="11">
        <f>'[1]Mortality table'!H46</f>
        <v>7.1400000000001072E-3</v>
      </c>
      <c r="K24" s="56">
        <f t="shared" si="4"/>
        <v>798.1498519273955</v>
      </c>
      <c r="L24" s="56">
        <f t="shared" si="10"/>
        <v>-5.6987899427616897</v>
      </c>
      <c r="M24" s="58">
        <f t="shared" si="11"/>
        <v>4.2732778635754718</v>
      </c>
      <c r="N24" s="11">
        <f t="shared" si="12"/>
        <v>0.99285999999999985</v>
      </c>
      <c r="O24" s="56">
        <f t="shared" si="5"/>
        <v>4.2732778635754718</v>
      </c>
      <c r="P24" s="56">
        <v>0</v>
      </c>
    </row>
    <row r="25" spans="1:16" x14ac:dyDescent="0.35">
      <c r="A25" s="55">
        <v>21</v>
      </c>
      <c r="B25" s="56">
        <f t="shared" si="0"/>
        <v>1950</v>
      </c>
      <c r="C25" s="56">
        <f t="shared" si="7"/>
        <v>1852.5</v>
      </c>
      <c r="D25" s="56">
        <f t="shared" si="8"/>
        <v>51054.350148072604</v>
      </c>
      <c r="E25" s="56">
        <f t="shared" si="1"/>
        <v>52585.980652514787</v>
      </c>
      <c r="G25" s="57">
        <f t="shared" si="2"/>
        <v>97.5</v>
      </c>
      <c r="H25" s="57">
        <f t="shared" si="9"/>
        <v>-90.305561733470668</v>
      </c>
      <c r="I25" s="57">
        <f t="shared" si="3"/>
        <v>0.10791657399793997</v>
      </c>
      <c r="J25" s="11">
        <f>'[1]Mortality table'!H47</f>
        <v>8.022000000000069E-3</v>
      </c>
      <c r="K25" s="56">
        <f t="shared" si="4"/>
        <v>0</v>
      </c>
      <c r="L25" s="56">
        <f t="shared" si="10"/>
        <v>0</v>
      </c>
      <c r="M25" s="58">
        <f t="shared" si="11"/>
        <v>7.302354840527272</v>
      </c>
      <c r="N25" s="11">
        <f t="shared" si="12"/>
        <v>0.99197799999999992</v>
      </c>
      <c r="O25" s="56">
        <f t="shared" si="5"/>
        <v>7.302354840527272</v>
      </c>
      <c r="P25" s="56">
        <v>0</v>
      </c>
    </row>
    <row r="26" spans="1:16" x14ac:dyDescent="0.35">
      <c r="A26" s="55">
        <v>22</v>
      </c>
      <c r="B26" s="56">
        <f t="shared" si="0"/>
        <v>1950</v>
      </c>
      <c r="C26" s="56">
        <f t="shared" si="7"/>
        <v>1852.5</v>
      </c>
      <c r="D26" s="56">
        <f t="shared" si="8"/>
        <v>54438.480652514787</v>
      </c>
      <c r="E26" s="56">
        <f t="shared" si="1"/>
        <v>56071.635072090234</v>
      </c>
      <c r="G26" s="57">
        <f t="shared" si="2"/>
        <v>97.5</v>
      </c>
      <c r="H26" s="57">
        <f t="shared" si="9"/>
        <v>-93.014728585474771</v>
      </c>
      <c r="I26" s="57">
        <f t="shared" si="3"/>
        <v>6.7279071217878433E-2</v>
      </c>
      <c r="J26" s="11">
        <f>'[1]Mortality table'!H48</f>
        <v>9.0090000000001332E-3</v>
      </c>
      <c r="K26" s="56">
        <f t="shared" si="4"/>
        <v>0</v>
      </c>
      <c r="L26" s="56">
        <f t="shared" si="10"/>
        <v>0</v>
      </c>
      <c r="M26" s="58">
        <f t="shared" si="11"/>
        <v>4.5525504857431081</v>
      </c>
      <c r="N26" s="11">
        <f t="shared" si="12"/>
        <v>0.99099099999999984</v>
      </c>
      <c r="O26" s="56">
        <f t="shared" si="5"/>
        <v>1.1952539983921278</v>
      </c>
      <c r="P26" s="56">
        <v>0</v>
      </c>
    </row>
    <row r="27" spans="1:16" x14ac:dyDescent="0.35">
      <c r="A27" s="55">
        <v>23</v>
      </c>
      <c r="B27" s="56">
        <f t="shared" si="0"/>
        <v>1950</v>
      </c>
      <c r="C27" s="56">
        <f t="shared" si="7"/>
        <v>1852.5</v>
      </c>
      <c r="D27" s="56">
        <f t="shared" si="8"/>
        <v>57924.135072090234</v>
      </c>
      <c r="E27" s="56">
        <f t="shared" si="1"/>
        <v>59661.859124252944</v>
      </c>
      <c r="G27" s="57">
        <f t="shared" si="2"/>
        <v>97.5</v>
      </c>
      <c r="H27" s="57">
        <f t="shared" si="9"/>
        <v>-95.805170443039017</v>
      </c>
      <c r="I27" s="57">
        <f t="shared" si="3"/>
        <v>2.5422443354414737E-2</v>
      </c>
      <c r="J27" s="11">
        <f>'[1]Mortality table'!H49</f>
        <v>1.0111999999999927E-2</v>
      </c>
      <c r="K27" s="56">
        <f t="shared" si="4"/>
        <v>0</v>
      </c>
      <c r="L27" s="56">
        <f t="shared" si="10"/>
        <v>0</v>
      </c>
      <c r="M27" s="58">
        <f t="shared" si="11"/>
        <v>1.7202520003153974</v>
      </c>
      <c r="N27" s="11">
        <f t="shared" si="12"/>
        <v>0.9898880000000001</v>
      </c>
      <c r="O27" s="56">
        <f t="shared" si="5"/>
        <v>-3.4386345937160328</v>
      </c>
      <c r="P27" s="56">
        <f>-O27/(1+ResINT)</f>
        <v>3.3878173337103776</v>
      </c>
    </row>
    <row r="28" spans="1:16" x14ac:dyDescent="0.35">
      <c r="A28" s="55">
        <v>24</v>
      </c>
      <c r="B28" s="56">
        <f t="shared" si="0"/>
        <v>1950</v>
      </c>
      <c r="C28" s="56">
        <f t="shared" si="7"/>
        <v>1852.5</v>
      </c>
      <c r="D28" s="56">
        <f t="shared" si="8"/>
        <v>61514.359124252944</v>
      </c>
      <c r="E28" s="56">
        <f t="shared" si="1"/>
        <v>63359.789897980532</v>
      </c>
      <c r="G28" s="57">
        <f t="shared" si="2"/>
        <v>97.5</v>
      </c>
      <c r="H28" s="57">
        <f t="shared" si="9"/>
        <v>-98.679325556330198</v>
      </c>
      <c r="I28" s="57">
        <f t="shared" si="3"/>
        <v>-1.7689883344952972E-2</v>
      </c>
      <c r="J28" s="11">
        <f>'[1]Mortality table'!H50</f>
        <v>1.134400000000001E-2</v>
      </c>
      <c r="K28" s="56">
        <f t="shared" si="4"/>
        <v>0</v>
      </c>
      <c r="L28" s="56">
        <f t="shared" si="10"/>
        <v>0</v>
      </c>
      <c r="M28" s="58">
        <f t="shared" si="11"/>
        <v>-1.1970154396751513</v>
      </c>
      <c r="N28" s="11">
        <f t="shared" si="12"/>
        <v>0.98865599999999998</v>
      </c>
      <c r="O28" s="56">
        <f>M28-P29*N28</f>
        <v>-5.289759945510907</v>
      </c>
      <c r="P28" s="56">
        <f>-O28/(1+ResINT)</f>
        <v>5.2115861532127168</v>
      </c>
    </row>
    <row r="29" spans="1:16" x14ac:dyDescent="0.35">
      <c r="A29" s="55">
        <v>25</v>
      </c>
      <c r="B29" s="56">
        <f t="shared" si="0"/>
        <v>1950</v>
      </c>
      <c r="C29" s="56">
        <f t="shared" si="7"/>
        <v>1852.5</v>
      </c>
      <c r="D29" s="56">
        <f t="shared" si="8"/>
        <v>65212.289897980532</v>
      </c>
      <c r="E29" s="56">
        <f t="shared" si="1"/>
        <v>67168.658594919951</v>
      </c>
      <c r="G29" s="57">
        <f t="shared" si="2"/>
        <v>97.5</v>
      </c>
      <c r="H29" s="57">
        <f t="shared" si="9"/>
        <v>-101.6397053230201</v>
      </c>
      <c r="I29" s="57">
        <f t="shared" si="3"/>
        <v>-6.2095579845301424E-2</v>
      </c>
      <c r="J29" s="11">
        <f>'[1]Mortality table'!H51</f>
        <v>1.271599999999987E-2</v>
      </c>
      <c r="K29" s="56">
        <f t="shared" si="4"/>
        <v>0</v>
      </c>
      <c r="L29" s="56">
        <f t="shared" si="10"/>
        <v>0</v>
      </c>
      <c r="M29" s="58">
        <f t="shared" si="11"/>
        <v>-4.2018009028653971</v>
      </c>
      <c r="N29" s="11">
        <f t="shared" si="12"/>
        <v>0.98728400000000016</v>
      </c>
      <c r="O29" s="56">
        <f>M29</f>
        <v>-4.2018009028653971</v>
      </c>
      <c r="P29" s="56">
        <f>-O29/(1+ResINT)</f>
        <v>4.1397053230200962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38"/>
  <sheetViews>
    <sheetView tabSelected="1" zoomScale="85" zoomScaleNormal="85" workbookViewId="0">
      <selection activeCell="G10" sqref="G10"/>
    </sheetView>
  </sheetViews>
  <sheetFormatPr defaultColWidth="11.7265625" defaultRowHeight="14.5" x14ac:dyDescent="0.35"/>
  <cols>
    <col min="1" max="5" width="11.7265625" style="12"/>
    <col min="6" max="6" width="1.453125" style="12" customWidth="1"/>
    <col min="7" max="7" width="30.6328125" style="12" bestFit="1" customWidth="1"/>
    <col min="8" max="16384" width="11.7265625" style="12"/>
  </cols>
  <sheetData>
    <row r="1" spans="1:21" x14ac:dyDescent="0.35">
      <c r="G1" s="131" t="s">
        <v>123</v>
      </c>
      <c r="H1" s="132">
        <v>0.38166458501132472</v>
      </c>
    </row>
    <row r="2" spans="1:21" x14ac:dyDescent="0.35">
      <c r="G2" s="133" t="s">
        <v>115</v>
      </c>
      <c r="H2" s="134">
        <v>0.1</v>
      </c>
    </row>
    <row r="3" spans="1:21" ht="15" thickBot="1" x14ac:dyDescent="0.4">
      <c r="G3" s="135" t="s">
        <v>116</v>
      </c>
      <c r="H3" s="136">
        <f>SUM(U9:U33)</f>
        <v>-1.3500311979441904E-13</v>
      </c>
    </row>
    <row r="4" spans="1:21" x14ac:dyDescent="0.35">
      <c r="G4" s="116"/>
      <c r="H4" s="60"/>
    </row>
    <row r="5" spans="1:21" s="10" customFormat="1" ht="21" x14ac:dyDescent="0.5">
      <c r="A5" s="9" t="s">
        <v>60</v>
      </c>
    </row>
    <row r="6" spans="1:21" x14ac:dyDescent="0.35">
      <c r="B6" s="31" t="s">
        <v>39</v>
      </c>
      <c r="C6" s="61"/>
      <c r="G6" s="31" t="s">
        <v>40</v>
      </c>
      <c r="H6" s="62"/>
      <c r="I6" s="61"/>
      <c r="N6" s="63"/>
      <c r="O6" s="63"/>
      <c r="P6" s="63"/>
      <c r="Q6" s="63"/>
      <c r="R6" s="63"/>
    </row>
    <row r="7" spans="1:21" x14ac:dyDescent="0.35">
      <c r="A7" s="48"/>
      <c r="B7" s="48"/>
      <c r="C7" s="48" t="s">
        <v>41</v>
      </c>
      <c r="D7" s="48" t="s">
        <v>42</v>
      </c>
      <c r="E7" s="48" t="s">
        <v>42</v>
      </c>
      <c r="F7" s="64"/>
      <c r="G7" s="48" t="s">
        <v>43</v>
      </c>
      <c r="H7" s="48"/>
      <c r="I7" s="48"/>
      <c r="J7" s="48" t="s">
        <v>44</v>
      </c>
      <c r="K7" s="48" t="s">
        <v>45</v>
      </c>
      <c r="L7" s="48" t="s">
        <v>46</v>
      </c>
      <c r="M7" s="48" t="s">
        <v>47</v>
      </c>
      <c r="N7" s="48" t="s">
        <v>89</v>
      </c>
      <c r="O7" s="48" t="s">
        <v>100</v>
      </c>
      <c r="P7" s="48" t="s">
        <v>88</v>
      </c>
      <c r="Q7" s="48" t="s">
        <v>101</v>
      </c>
      <c r="R7" s="119" t="s">
        <v>103</v>
      </c>
      <c r="S7" s="106" t="s">
        <v>117</v>
      </c>
      <c r="T7" s="106" t="s">
        <v>119</v>
      </c>
      <c r="U7" s="106" t="s">
        <v>121</v>
      </c>
    </row>
    <row r="8" spans="1:21" x14ac:dyDescent="0.35">
      <c r="A8" s="53" t="s">
        <v>48</v>
      </c>
      <c r="B8" s="53" t="s">
        <v>49</v>
      </c>
      <c r="C8" s="53" t="s">
        <v>50</v>
      </c>
      <c r="D8" s="53" t="s">
        <v>51</v>
      </c>
      <c r="E8" s="53" t="s">
        <v>52</v>
      </c>
      <c r="F8" s="64"/>
      <c r="G8" s="53" t="s">
        <v>53</v>
      </c>
      <c r="H8" s="53" t="s">
        <v>54</v>
      </c>
      <c r="I8" s="53" t="s">
        <v>55</v>
      </c>
      <c r="J8" s="53" t="s">
        <v>56</v>
      </c>
      <c r="K8" s="53" t="s">
        <v>57</v>
      </c>
      <c r="L8" s="53" t="s">
        <v>58</v>
      </c>
      <c r="M8" s="53" t="s">
        <v>59</v>
      </c>
      <c r="N8" s="53" t="s">
        <v>38</v>
      </c>
      <c r="O8" s="53" t="s">
        <v>99</v>
      </c>
      <c r="P8" s="53" t="s">
        <v>91</v>
      </c>
      <c r="Q8" s="53" t="s">
        <v>102</v>
      </c>
      <c r="R8" s="120" t="s">
        <v>104</v>
      </c>
      <c r="S8" s="106" t="s">
        <v>118</v>
      </c>
      <c r="T8" s="106" t="s">
        <v>120</v>
      </c>
      <c r="U8" s="106" t="s">
        <v>122</v>
      </c>
    </row>
    <row r="9" spans="1:21" x14ac:dyDescent="0.35">
      <c r="A9" s="55">
        <v>1</v>
      </c>
      <c r="B9" s="56">
        <f t="shared" ref="B9:B33" si="0">P</f>
        <v>1950</v>
      </c>
      <c r="C9" s="56">
        <f>B9*New_alloc*(1-BO)</f>
        <v>707.03364373347904</v>
      </c>
      <c r="D9" s="56">
        <f>C9</f>
        <v>707.03364373347904</v>
      </c>
      <c r="E9" s="56">
        <f t="shared" ref="E9:E33" si="1">D9*(1+ProUG)</f>
        <v>735.31498948281819</v>
      </c>
      <c r="F9" s="65"/>
      <c r="G9" s="57">
        <f t="shared" ref="G9:G33" si="2">B9-C9</f>
        <v>1242.966356266521</v>
      </c>
      <c r="H9" s="57">
        <f>-ProIE</f>
        <v>-1000</v>
      </c>
      <c r="I9" s="57">
        <f t="shared" ref="I9:I33" si="3">(G9+H9)*ProINT</f>
        <v>4.8593271253304193</v>
      </c>
      <c r="J9" s="66">
        <f>'[1]Mortality table'!H27*ProMM</f>
        <v>7.4959999999990069E-4</v>
      </c>
      <c r="K9" s="57">
        <f t="shared" ref="K9:K33" si="4">MAX(D-E9,0)</f>
        <v>49264.685010517183</v>
      </c>
      <c r="L9" s="57">
        <f>-J9*K9</f>
        <v>-36.92880788387879</v>
      </c>
      <c r="M9" s="111">
        <f>G9+H9+I9+L9</f>
        <v>210.8968755079726</v>
      </c>
      <c r="N9" s="112">
        <v>0</v>
      </c>
      <c r="O9" s="112">
        <f t="shared" ref="O9:O33" si="5">N9*ProINT</f>
        <v>0</v>
      </c>
      <c r="P9" s="113">
        <f>1-J9</f>
        <v>0.99925040000000009</v>
      </c>
      <c r="Q9" s="114">
        <f>N10*P9</f>
        <v>394.79897204247084</v>
      </c>
      <c r="R9" s="115">
        <f>M9+N9+O9-Q9</f>
        <v>-183.90209653449824</v>
      </c>
      <c r="S9" s="69">
        <f>1</f>
        <v>1</v>
      </c>
      <c r="T9" s="69">
        <f>(1+$H$2)^-A9</f>
        <v>0.90909090909090906</v>
      </c>
      <c r="U9" s="60">
        <f>R9*S9*T9</f>
        <v>-167.18372412227112</v>
      </c>
    </row>
    <row r="10" spans="1:21" x14ac:dyDescent="0.35">
      <c r="A10" s="55">
        <v>2</v>
      </c>
      <c r="B10" s="56">
        <f t="shared" si="0"/>
        <v>1950</v>
      </c>
      <c r="C10" s="56">
        <f t="shared" ref="C10:C33" si="6">B10*(1-BO)</f>
        <v>1852.5</v>
      </c>
      <c r="D10" s="56">
        <f t="shared" ref="D10:D33" si="7">C10+E9</f>
        <v>2587.8149894828184</v>
      </c>
      <c r="E10" s="56">
        <f t="shared" si="1"/>
        <v>2691.3275890621312</v>
      </c>
      <c r="F10" s="65"/>
      <c r="G10" s="57">
        <f t="shared" si="2"/>
        <v>97.5</v>
      </c>
      <c r="H10" s="57">
        <f t="shared" ref="H10:H33" si="8">-ProRE*(1+ProINF)^A9</f>
        <v>-51</v>
      </c>
      <c r="I10" s="57">
        <f t="shared" si="3"/>
        <v>0.93</v>
      </c>
      <c r="J10" s="66">
        <f>'[1]Mortality table'!H28*ProMM</f>
        <v>8.1119999999989742E-4</v>
      </c>
      <c r="K10" s="57">
        <f t="shared" si="4"/>
        <v>47308.67241093787</v>
      </c>
      <c r="L10" s="57">
        <f t="shared" ref="L10:L33" si="9">-J10*K10</f>
        <v>-38.376795059747948</v>
      </c>
      <c r="M10" s="58">
        <f t="shared" ref="M10:M33" si="10">G10+H10+I10+L10</f>
        <v>9.0532049402520514</v>
      </c>
      <c r="N10" s="110">
        <f>'Answer 5 reserves'!P6</f>
        <v>395.09513535593362</v>
      </c>
      <c r="O10" s="110">
        <f t="shared" si="5"/>
        <v>7.9019027071186727</v>
      </c>
      <c r="P10" s="66">
        <f t="shared" ref="P10:P33" si="11">1-J10</f>
        <v>0.9991888000000001</v>
      </c>
      <c r="Q10" s="56">
        <f t="shared" ref="Q10:Q33" si="12">N11*P10</f>
        <v>399.78808656384507</v>
      </c>
      <c r="R10" s="57">
        <f t="shared" ref="R10:R33" si="13">M10+N10+O10-Q10</f>
        <v>12.262156439459261</v>
      </c>
      <c r="S10" s="69">
        <f>S9*P9</f>
        <v>0.99925040000000009</v>
      </c>
      <c r="T10" s="69">
        <f t="shared" ref="T10:T33" si="14">(1+$H$2)^-A10</f>
        <v>0.82644628099173545</v>
      </c>
      <c r="U10" s="60">
        <f t="shared" ref="U10:U33" si="15">R10*S10*T10</f>
        <v>10.126417129745654</v>
      </c>
    </row>
    <row r="11" spans="1:21" x14ac:dyDescent="0.35">
      <c r="A11" s="55">
        <v>3</v>
      </c>
      <c r="B11" s="56">
        <f t="shared" si="0"/>
        <v>1950</v>
      </c>
      <c r="C11" s="56">
        <f t="shared" si="6"/>
        <v>1852.5</v>
      </c>
      <c r="D11" s="56">
        <f t="shared" si="7"/>
        <v>4543.8275890621317</v>
      </c>
      <c r="E11" s="56">
        <f t="shared" si="1"/>
        <v>4725.5806926246169</v>
      </c>
      <c r="F11" s="65"/>
      <c r="G11" s="57">
        <f t="shared" si="2"/>
        <v>97.5</v>
      </c>
      <c r="H11" s="57">
        <f t="shared" si="8"/>
        <v>-52.019999999999996</v>
      </c>
      <c r="I11" s="57">
        <f t="shared" si="3"/>
        <v>0.90960000000000008</v>
      </c>
      <c r="J11" s="66">
        <f>'[1]Mortality table'!H29*ProMM</f>
        <v>8.8320000000001496E-4</v>
      </c>
      <c r="K11" s="57">
        <f t="shared" si="4"/>
        <v>45274.419307375385</v>
      </c>
      <c r="L11" s="57">
        <f t="shared" si="9"/>
        <v>-39.986367132274616</v>
      </c>
      <c r="M11" s="58">
        <f t="shared" si="10"/>
        <v>6.4032328677253858</v>
      </c>
      <c r="N11" s="110">
        <f>'Answer 5 reserves'!P7</f>
        <v>400.11265795197568</v>
      </c>
      <c r="O11" s="110">
        <f t="shared" si="5"/>
        <v>8.0022531590395136</v>
      </c>
      <c r="P11" s="66">
        <f t="shared" si="11"/>
        <v>0.99911680000000003</v>
      </c>
      <c r="Q11" s="56">
        <f t="shared" si="12"/>
        <v>401.25401767696582</v>
      </c>
      <c r="R11" s="57">
        <f t="shared" si="13"/>
        <v>13.264126301774752</v>
      </c>
      <c r="S11" s="69">
        <f t="shared" ref="S11:S33" si="16">S10*P10</f>
        <v>0.99843980807552024</v>
      </c>
      <c r="T11" s="69">
        <f t="shared" si="14"/>
        <v>0.75131480090157754</v>
      </c>
      <c r="U11" s="60">
        <f t="shared" si="15"/>
        <v>9.9499862652392483</v>
      </c>
    </row>
    <row r="12" spans="1:21" x14ac:dyDescent="0.35">
      <c r="A12" s="55">
        <v>4</v>
      </c>
      <c r="B12" s="56">
        <f t="shared" si="0"/>
        <v>1950</v>
      </c>
      <c r="C12" s="56">
        <f t="shared" si="6"/>
        <v>1852.5</v>
      </c>
      <c r="D12" s="56">
        <f t="shared" si="7"/>
        <v>6578.0806926246169</v>
      </c>
      <c r="E12" s="56">
        <f t="shared" si="1"/>
        <v>6841.2039203296017</v>
      </c>
      <c r="F12" s="65"/>
      <c r="G12" s="57">
        <f t="shared" si="2"/>
        <v>97.5</v>
      </c>
      <c r="H12" s="57">
        <f t="shared" si="8"/>
        <v>-53.060399999999994</v>
      </c>
      <c r="I12" s="57">
        <f t="shared" si="3"/>
        <v>0.88879200000000014</v>
      </c>
      <c r="J12" s="66">
        <f>'[1]Mortality table'!H30*ProMM</f>
        <v>9.6639999999992103E-4</v>
      </c>
      <c r="K12" s="57">
        <f t="shared" si="4"/>
        <v>43158.796079670399</v>
      </c>
      <c r="L12" s="57">
        <f t="shared" si="9"/>
        <v>-41.708660531390066</v>
      </c>
      <c r="M12" s="58">
        <f t="shared" si="10"/>
        <v>3.6197314686099418</v>
      </c>
      <c r="N12" s="110">
        <f>'Answer 5 reserves'!P8</f>
        <v>401.60871849714249</v>
      </c>
      <c r="O12" s="110">
        <f t="shared" si="5"/>
        <v>8.0321743699428492</v>
      </c>
      <c r="P12" s="66">
        <f t="shared" si="11"/>
        <v>0.99903360000000008</v>
      </c>
      <c r="Q12" s="56">
        <f t="shared" si="12"/>
        <v>398.92160418326893</v>
      </c>
      <c r="R12" s="57">
        <f t="shared" si="13"/>
        <v>14.339020152426315</v>
      </c>
      <c r="S12" s="69">
        <f t="shared" si="16"/>
        <v>0.99755798603702794</v>
      </c>
      <c r="T12" s="69">
        <f t="shared" si="14"/>
        <v>0.68301345536507052</v>
      </c>
      <c r="U12" s="60">
        <f t="shared" si="15"/>
        <v>9.7698272419908125</v>
      </c>
    </row>
    <row r="13" spans="1:21" x14ac:dyDescent="0.35">
      <c r="A13" s="55">
        <v>5</v>
      </c>
      <c r="B13" s="56">
        <f t="shared" si="0"/>
        <v>1950</v>
      </c>
      <c r="C13" s="56">
        <f t="shared" si="6"/>
        <v>1852.5</v>
      </c>
      <c r="D13" s="56">
        <f t="shared" si="7"/>
        <v>8693.7039203296008</v>
      </c>
      <c r="E13" s="56">
        <f t="shared" si="1"/>
        <v>9041.4520771427851</v>
      </c>
      <c r="F13" s="65"/>
      <c r="G13" s="57">
        <f t="shared" si="2"/>
        <v>97.5</v>
      </c>
      <c r="H13" s="57">
        <f t="shared" si="8"/>
        <v>-54.121608000000002</v>
      </c>
      <c r="I13" s="57">
        <f t="shared" si="3"/>
        <v>0.86756783999999998</v>
      </c>
      <c r="J13" s="66">
        <f>'[1]Mortality table'!H31*ProMM</f>
        <v>1.0616000000000156E-3</v>
      </c>
      <c r="K13" s="57">
        <f t="shared" si="4"/>
        <v>40958.547922857215</v>
      </c>
      <c r="L13" s="57">
        <f t="shared" si="9"/>
        <v>-43.481594474905862</v>
      </c>
      <c r="M13" s="58">
        <f t="shared" si="10"/>
        <v>0.764365365094136</v>
      </c>
      <c r="N13" s="110">
        <f>'Answer 5 reserves'!P9</f>
        <v>399.30749494638508</v>
      </c>
      <c r="O13" s="110">
        <f t="shared" si="5"/>
        <v>7.9861498989277013</v>
      </c>
      <c r="P13" s="66">
        <f t="shared" si="11"/>
        <v>0.9989384</v>
      </c>
      <c r="Q13" s="56">
        <f t="shared" si="12"/>
        <v>392.57501385214363</v>
      </c>
      <c r="R13" s="57">
        <f t="shared" si="13"/>
        <v>15.482996358263279</v>
      </c>
      <c r="S13" s="69">
        <f t="shared" si="16"/>
        <v>0.99659394599932183</v>
      </c>
      <c r="T13" s="69">
        <f t="shared" si="14"/>
        <v>0.62092132305915493</v>
      </c>
      <c r="U13" s="60">
        <f t="shared" si="15"/>
        <v>9.5809777254253152</v>
      </c>
    </row>
    <row r="14" spans="1:21" x14ac:dyDescent="0.35">
      <c r="A14" s="55">
        <v>6</v>
      </c>
      <c r="B14" s="56">
        <f t="shared" si="0"/>
        <v>1950</v>
      </c>
      <c r="C14" s="56">
        <f t="shared" si="6"/>
        <v>1852.5</v>
      </c>
      <c r="D14" s="56">
        <f t="shared" si="7"/>
        <v>10893.952077142785</v>
      </c>
      <c r="E14" s="56">
        <f t="shared" si="1"/>
        <v>11329.710160228497</v>
      </c>
      <c r="F14" s="65"/>
      <c r="G14" s="57">
        <f t="shared" si="2"/>
        <v>97.5</v>
      </c>
      <c r="H14" s="57">
        <f t="shared" si="8"/>
        <v>-55.204040159999998</v>
      </c>
      <c r="I14" s="57">
        <f t="shared" si="3"/>
        <v>0.84591919680000005</v>
      </c>
      <c r="J14" s="66">
        <f>'[1]Mortality table'!H32*ProMM</f>
        <v>1.1719999999999702E-3</v>
      </c>
      <c r="K14" s="57">
        <f t="shared" si="4"/>
        <v>38670.289839771503</v>
      </c>
      <c r="L14" s="57">
        <f t="shared" si="9"/>
        <v>-45.321579692211046</v>
      </c>
      <c r="M14" s="58">
        <f t="shared" si="10"/>
        <v>-2.1797006554110467</v>
      </c>
      <c r="N14" s="110">
        <f>'Answer 5 reserves'!P10</f>
        <v>392.99221438693678</v>
      </c>
      <c r="O14" s="110">
        <f t="shared" si="5"/>
        <v>7.8598442877387358</v>
      </c>
      <c r="P14" s="66">
        <f t="shared" si="11"/>
        <v>0.99882800000000005</v>
      </c>
      <c r="Q14" s="56">
        <f t="shared" si="12"/>
        <v>381.95607320660622</v>
      </c>
      <c r="R14" s="57">
        <f t="shared" si="13"/>
        <v>16.716284812658216</v>
      </c>
      <c r="S14" s="69">
        <f t="shared" si="16"/>
        <v>0.99553596186624893</v>
      </c>
      <c r="T14" s="69">
        <f t="shared" si="14"/>
        <v>0.56447393005377722</v>
      </c>
      <c r="U14" s="60">
        <f t="shared" si="15"/>
        <v>9.3937847354959043</v>
      </c>
    </row>
    <row r="15" spans="1:21" x14ac:dyDescent="0.35">
      <c r="A15" s="55">
        <v>7</v>
      </c>
      <c r="B15" s="56">
        <f t="shared" si="0"/>
        <v>1950</v>
      </c>
      <c r="C15" s="56">
        <f t="shared" si="6"/>
        <v>1852.5</v>
      </c>
      <c r="D15" s="56">
        <f t="shared" si="7"/>
        <v>13182.210160228497</v>
      </c>
      <c r="E15" s="56">
        <f t="shared" si="1"/>
        <v>13709.498566637636</v>
      </c>
      <c r="F15" s="65"/>
      <c r="G15" s="57">
        <f t="shared" si="2"/>
        <v>97.5</v>
      </c>
      <c r="H15" s="57">
        <f t="shared" si="8"/>
        <v>-56.308120963200004</v>
      </c>
      <c r="I15" s="57">
        <f t="shared" si="3"/>
        <v>0.82383758073599989</v>
      </c>
      <c r="J15" s="66">
        <f>'[1]Mortality table'!H33*ProMM</f>
        <v>1.2976000000000491E-3</v>
      </c>
      <c r="K15" s="57">
        <f t="shared" si="4"/>
        <v>36290.501433362362</v>
      </c>
      <c r="L15" s="57">
        <f t="shared" si="9"/>
        <v>-47.090554659932785</v>
      </c>
      <c r="M15" s="58">
        <f t="shared" si="10"/>
        <v>-5.0748380423967916</v>
      </c>
      <c r="N15" s="110">
        <f>'Answer 5 reserves'!P11</f>
        <v>382.40425098876506</v>
      </c>
      <c r="O15" s="110">
        <f t="shared" si="5"/>
        <v>7.6480850197753014</v>
      </c>
      <c r="P15" s="66">
        <f t="shared" si="11"/>
        <v>0.99870239999999999</v>
      </c>
      <c r="Q15" s="56">
        <f t="shared" si="12"/>
        <v>366.95335147774637</v>
      </c>
      <c r="R15" s="57">
        <f t="shared" si="13"/>
        <v>18.024146488397207</v>
      </c>
      <c r="S15" s="69">
        <f t="shared" si="16"/>
        <v>0.99436919371894172</v>
      </c>
      <c r="T15" s="69">
        <f t="shared" si="14"/>
        <v>0.51315811823070645</v>
      </c>
      <c r="U15" s="60">
        <f t="shared" si="15"/>
        <v>9.1971564323726707</v>
      </c>
    </row>
    <row r="16" spans="1:21" x14ac:dyDescent="0.35">
      <c r="A16" s="55">
        <v>8</v>
      </c>
      <c r="B16" s="56">
        <f t="shared" si="0"/>
        <v>1950</v>
      </c>
      <c r="C16" s="56">
        <f t="shared" si="6"/>
        <v>1852.5</v>
      </c>
      <c r="D16" s="56">
        <f t="shared" si="7"/>
        <v>15561.998566637636</v>
      </c>
      <c r="E16" s="56">
        <f t="shared" si="1"/>
        <v>16184.478509303142</v>
      </c>
      <c r="F16" s="65"/>
      <c r="G16" s="57">
        <f t="shared" si="2"/>
        <v>97.5</v>
      </c>
      <c r="H16" s="57">
        <f t="shared" si="8"/>
        <v>-57.434283382463988</v>
      </c>
      <c r="I16" s="57">
        <f t="shared" si="3"/>
        <v>0.80131433235072025</v>
      </c>
      <c r="J16" s="66">
        <f>'[1]Mortality table'!H34*ProMM</f>
        <v>1.4415999999999635E-3</v>
      </c>
      <c r="K16" s="57">
        <f t="shared" si="4"/>
        <v>33815.521490696861</v>
      </c>
      <c r="L16" s="57">
        <f t="shared" si="9"/>
        <v>-48.748455780987364</v>
      </c>
      <c r="M16" s="58">
        <f t="shared" si="10"/>
        <v>-7.881424831100631</v>
      </c>
      <c r="N16" s="110">
        <f>'Answer 5 reserves'!P12</f>
        <v>367.430128812894</v>
      </c>
      <c r="O16" s="110">
        <f t="shared" si="5"/>
        <v>7.3486025762578802</v>
      </c>
      <c r="P16" s="66">
        <f t="shared" si="11"/>
        <v>0.99855840000000007</v>
      </c>
      <c r="Q16" s="56">
        <f t="shared" si="12"/>
        <v>347.47358761616903</v>
      </c>
      <c r="R16" s="57">
        <f t="shared" si="13"/>
        <v>19.423718941882214</v>
      </c>
      <c r="S16" s="69">
        <f t="shared" si="16"/>
        <v>0.99307890025317203</v>
      </c>
      <c r="T16" s="69">
        <f t="shared" si="14"/>
        <v>0.46650738020973315</v>
      </c>
      <c r="U16" s="60">
        <f t="shared" si="15"/>
        <v>8.9985940193590963</v>
      </c>
    </row>
    <row r="17" spans="1:21" x14ac:dyDescent="0.35">
      <c r="A17" s="55">
        <v>9</v>
      </c>
      <c r="B17" s="56">
        <f t="shared" si="0"/>
        <v>1950</v>
      </c>
      <c r="C17" s="56">
        <f t="shared" si="6"/>
        <v>1852.5</v>
      </c>
      <c r="D17" s="56">
        <f t="shared" si="7"/>
        <v>18036.978509303142</v>
      </c>
      <c r="E17" s="56">
        <f t="shared" si="1"/>
        <v>18758.457649675267</v>
      </c>
      <c r="F17" s="65"/>
      <c r="G17" s="57">
        <f t="shared" si="2"/>
        <v>97.5</v>
      </c>
      <c r="H17" s="57">
        <f t="shared" si="8"/>
        <v>-58.582969050113277</v>
      </c>
      <c r="I17" s="57">
        <f t="shared" si="3"/>
        <v>0.77834061899773443</v>
      </c>
      <c r="J17" s="66">
        <f>'[1]Mortality table'!H35*ProMM</f>
        <v>1.6063999999999679E-3</v>
      </c>
      <c r="K17" s="57">
        <f t="shared" si="4"/>
        <v>31241.542350324733</v>
      </c>
      <c r="L17" s="57">
        <f t="shared" si="9"/>
        <v>-50.186413631560647</v>
      </c>
      <c r="M17" s="58">
        <f t="shared" si="10"/>
        <v>-10.491042062676193</v>
      </c>
      <c r="N17" s="110">
        <f>'Answer 5 reserves'!P13</f>
        <v>347.97522870587142</v>
      </c>
      <c r="O17" s="110">
        <f t="shared" si="5"/>
        <v>6.9595045741174282</v>
      </c>
      <c r="P17" s="66">
        <f t="shared" si="11"/>
        <v>0.99839359999999999</v>
      </c>
      <c r="Q17" s="56">
        <f t="shared" si="12"/>
        <v>323.5215541924054</v>
      </c>
      <c r="R17" s="57">
        <f t="shared" si="13"/>
        <v>20.922137024907272</v>
      </c>
      <c r="S17" s="69">
        <f t="shared" si="16"/>
        <v>0.99164727771056715</v>
      </c>
      <c r="T17" s="69">
        <f t="shared" si="14"/>
        <v>0.42409761837248466</v>
      </c>
      <c r="U17" s="60">
        <f t="shared" si="15"/>
        <v>8.7989145407368365</v>
      </c>
    </row>
    <row r="18" spans="1:21" x14ac:dyDescent="0.35">
      <c r="A18" s="55">
        <v>10</v>
      </c>
      <c r="B18" s="56">
        <f t="shared" si="0"/>
        <v>1950</v>
      </c>
      <c r="C18" s="56">
        <f t="shared" si="6"/>
        <v>1852.5</v>
      </c>
      <c r="D18" s="56">
        <f t="shared" si="7"/>
        <v>20610.957649675267</v>
      </c>
      <c r="E18" s="56">
        <f t="shared" si="1"/>
        <v>21435.395955662279</v>
      </c>
      <c r="F18" s="65"/>
      <c r="G18" s="57">
        <f t="shared" si="2"/>
        <v>97.5</v>
      </c>
      <c r="H18" s="57">
        <f t="shared" si="8"/>
        <v>-59.754628431115542</v>
      </c>
      <c r="I18" s="57">
        <f t="shared" si="3"/>
        <v>0.75490743137768923</v>
      </c>
      <c r="J18" s="66">
        <f>'[1]Mortality table'!H36*ProMM</f>
        <v>1.7928000000000861E-3</v>
      </c>
      <c r="K18" s="57">
        <f t="shared" si="4"/>
        <v>28564.604044337721</v>
      </c>
      <c r="L18" s="57">
        <f t="shared" si="9"/>
        <v>-51.210622130691121</v>
      </c>
      <c r="M18" s="58">
        <f t="shared" si="10"/>
        <v>-12.710343130428974</v>
      </c>
      <c r="N18" s="110">
        <f>'Answer 5 reserves'!P14</f>
        <v>324.04209541447921</v>
      </c>
      <c r="O18" s="110">
        <f t="shared" si="5"/>
        <v>6.4808419082895838</v>
      </c>
      <c r="P18" s="66">
        <f t="shared" si="11"/>
        <v>0.99820719999999996</v>
      </c>
      <c r="Q18" s="56">
        <f t="shared" si="12"/>
        <v>295.30026194663714</v>
      </c>
      <c r="R18" s="57">
        <f t="shared" si="13"/>
        <v>22.51233224570268</v>
      </c>
      <c r="S18" s="69">
        <f t="shared" si="16"/>
        <v>0.99005429552365287</v>
      </c>
      <c r="T18" s="69">
        <f t="shared" si="14"/>
        <v>0.38554328942953148</v>
      </c>
      <c r="U18" s="60">
        <f t="shared" si="15"/>
        <v>8.5931550973084079</v>
      </c>
    </row>
    <row r="19" spans="1:21" x14ac:dyDescent="0.35">
      <c r="A19" s="55">
        <v>11</v>
      </c>
      <c r="B19" s="56">
        <f t="shared" si="0"/>
        <v>1950</v>
      </c>
      <c r="C19" s="56">
        <f t="shared" si="6"/>
        <v>1852.5</v>
      </c>
      <c r="D19" s="56">
        <f t="shared" si="7"/>
        <v>23287.895955662279</v>
      </c>
      <c r="E19" s="56">
        <f t="shared" si="1"/>
        <v>24219.411793888772</v>
      </c>
      <c r="F19" s="65"/>
      <c r="G19" s="57">
        <f t="shared" si="2"/>
        <v>97.5</v>
      </c>
      <c r="H19" s="57">
        <f t="shared" si="8"/>
        <v>-60.949720999737856</v>
      </c>
      <c r="I19" s="57">
        <f t="shared" si="3"/>
        <v>0.73100558000524285</v>
      </c>
      <c r="J19" s="66">
        <f>'[1]Mortality table'!H37*ProMM</f>
        <v>2.0063999999998892E-3</v>
      </c>
      <c r="K19" s="57">
        <f t="shared" si="4"/>
        <v>25780.588206111228</v>
      </c>
      <c r="L19" s="57">
        <f t="shared" si="9"/>
        <v>-51.726172176738707</v>
      </c>
      <c r="M19" s="58">
        <f t="shared" si="10"/>
        <v>-14.444887596471318</v>
      </c>
      <c r="N19" s="110">
        <f>'Answer 5 reserves'!P15</f>
        <v>295.83062709489286</v>
      </c>
      <c r="O19" s="110">
        <f t="shared" si="5"/>
        <v>5.916612541897857</v>
      </c>
      <c r="P19" s="66">
        <f t="shared" si="11"/>
        <v>0.99799360000000015</v>
      </c>
      <c r="Q19" s="56">
        <f t="shared" si="12"/>
        <v>263.0734779163102</v>
      </c>
      <c r="R19" s="57">
        <f t="shared" si="13"/>
        <v>24.228874124009224</v>
      </c>
      <c r="S19" s="69">
        <f t="shared" si="16"/>
        <v>0.98827932618263803</v>
      </c>
      <c r="T19" s="69">
        <f t="shared" si="14"/>
        <v>0.3504938994813922</v>
      </c>
      <c r="U19" s="60">
        <f t="shared" si="15"/>
        <v>8.3925397591207371</v>
      </c>
    </row>
    <row r="20" spans="1:21" x14ac:dyDescent="0.35">
      <c r="A20" s="55">
        <v>12</v>
      </c>
      <c r="B20" s="56">
        <f t="shared" si="0"/>
        <v>1950</v>
      </c>
      <c r="C20" s="56">
        <f t="shared" si="6"/>
        <v>1852.5</v>
      </c>
      <c r="D20" s="56">
        <f t="shared" si="7"/>
        <v>26071.911793888772</v>
      </c>
      <c r="E20" s="56">
        <f t="shared" si="1"/>
        <v>27114.788265644325</v>
      </c>
      <c r="F20" s="65"/>
      <c r="G20" s="57">
        <f t="shared" si="2"/>
        <v>97.5</v>
      </c>
      <c r="H20" s="57">
        <f t="shared" si="8"/>
        <v>-62.1687154197326</v>
      </c>
      <c r="I20" s="57">
        <f t="shared" si="3"/>
        <v>0.70662569160534805</v>
      </c>
      <c r="J20" s="66">
        <f>'[1]Mortality table'!H38*ProMM</f>
        <v>2.2471999999999731E-3</v>
      </c>
      <c r="K20" s="57">
        <f t="shared" si="4"/>
        <v>22885.211734355675</v>
      </c>
      <c r="L20" s="57">
        <f t="shared" si="9"/>
        <v>-51.427647809443457</v>
      </c>
      <c r="M20" s="58">
        <f t="shared" si="10"/>
        <v>-15.38973753757071</v>
      </c>
      <c r="N20" s="110">
        <f>'Answer 5 reserves'!P16</f>
        <v>263.60236971089813</v>
      </c>
      <c r="O20" s="110">
        <f t="shared" si="5"/>
        <v>5.2720473942179629</v>
      </c>
      <c r="P20" s="66">
        <f t="shared" si="11"/>
        <v>0.9977528</v>
      </c>
      <c r="Q20" s="56">
        <f t="shared" si="12"/>
        <v>227.42573642101723</v>
      </c>
      <c r="R20" s="57">
        <f t="shared" si="13"/>
        <v>26.058943146528151</v>
      </c>
      <c r="S20" s="69">
        <f t="shared" si="16"/>
        <v>0.98629644254258531</v>
      </c>
      <c r="T20" s="69">
        <f t="shared" si="14"/>
        <v>0.31863081771035656</v>
      </c>
      <c r="U20" s="60">
        <f t="shared" si="15"/>
        <v>8.1893992268490834</v>
      </c>
    </row>
    <row r="21" spans="1:21" x14ac:dyDescent="0.35">
      <c r="A21" s="55">
        <v>13</v>
      </c>
      <c r="B21" s="56">
        <f t="shared" si="0"/>
        <v>1950</v>
      </c>
      <c r="C21" s="56">
        <f t="shared" si="6"/>
        <v>1852.5</v>
      </c>
      <c r="D21" s="56">
        <f t="shared" si="7"/>
        <v>28967.288265644325</v>
      </c>
      <c r="E21" s="56">
        <f t="shared" si="1"/>
        <v>30125.979796270098</v>
      </c>
      <c r="F21" s="65"/>
      <c r="G21" s="57">
        <f t="shared" si="2"/>
        <v>97.5</v>
      </c>
      <c r="H21" s="57">
        <f t="shared" si="8"/>
        <v>-63.412089728127263</v>
      </c>
      <c r="I21" s="57">
        <f t="shared" si="3"/>
        <v>0.6817582054374548</v>
      </c>
      <c r="J21" s="66">
        <f>'[1]Mortality table'!H39*ProMM</f>
        <v>2.5215999999999867E-3</v>
      </c>
      <c r="K21" s="57">
        <f t="shared" si="4"/>
        <v>19874.020203729902</v>
      </c>
      <c r="L21" s="57">
        <f t="shared" si="9"/>
        <v>-50.114329345725061</v>
      </c>
      <c r="M21" s="58">
        <f t="shared" si="10"/>
        <v>-15.34466086841487</v>
      </c>
      <c r="N21" s="110">
        <f>'Answer 5 reserves'!P17</f>
        <v>227.93795860158673</v>
      </c>
      <c r="O21" s="110">
        <f t="shared" si="5"/>
        <v>4.5587591720317349</v>
      </c>
      <c r="P21" s="66">
        <f t="shared" si="11"/>
        <v>0.99747839999999999</v>
      </c>
      <c r="Q21" s="56">
        <f t="shared" si="12"/>
        <v>189.10885666222822</v>
      </c>
      <c r="R21" s="57">
        <f t="shared" si="13"/>
        <v>28.04320024297536</v>
      </c>
      <c r="S21" s="69">
        <f t="shared" si="16"/>
        <v>0.98408003717690362</v>
      </c>
      <c r="T21" s="69">
        <f t="shared" si="14"/>
        <v>0.28966437973668779</v>
      </c>
      <c r="U21" s="60">
        <f t="shared" si="15"/>
        <v>7.9937964962344239</v>
      </c>
    </row>
    <row r="22" spans="1:21" x14ac:dyDescent="0.35">
      <c r="A22" s="55">
        <v>14</v>
      </c>
      <c r="B22" s="56">
        <f t="shared" si="0"/>
        <v>1950</v>
      </c>
      <c r="C22" s="56">
        <f t="shared" si="6"/>
        <v>1852.5</v>
      </c>
      <c r="D22" s="56">
        <f t="shared" si="7"/>
        <v>31978.479796270098</v>
      </c>
      <c r="E22" s="56">
        <f t="shared" si="1"/>
        <v>33257.618988120899</v>
      </c>
      <c r="F22" s="65"/>
      <c r="G22" s="57">
        <f t="shared" si="2"/>
        <v>97.5</v>
      </c>
      <c r="H22" s="57">
        <f t="shared" si="8"/>
        <v>-64.680331522689798</v>
      </c>
      <c r="I22" s="57">
        <f t="shared" si="3"/>
        <v>0.65639336954620409</v>
      </c>
      <c r="J22" s="66">
        <f>'[1]Mortality table'!H40*ProMM</f>
        <v>2.8311999999999235E-3</v>
      </c>
      <c r="K22" s="57">
        <f t="shared" si="4"/>
        <v>16742.381011879101</v>
      </c>
      <c r="L22" s="57">
        <f t="shared" si="9"/>
        <v>-47.401029120830827</v>
      </c>
      <c r="M22" s="58">
        <f t="shared" si="10"/>
        <v>-13.924967273974424</v>
      </c>
      <c r="N22" s="110">
        <f>'Answer 5 reserves'!P18</f>
        <v>189.58691903727262</v>
      </c>
      <c r="O22" s="110">
        <f t="shared" si="5"/>
        <v>3.7917383807454526</v>
      </c>
      <c r="P22" s="66">
        <f t="shared" si="11"/>
        <v>0.99716880000000008</v>
      </c>
      <c r="Q22" s="56">
        <f t="shared" si="12"/>
        <v>149.26777956659822</v>
      </c>
      <c r="R22" s="57">
        <f t="shared" si="13"/>
        <v>30.185910577445412</v>
      </c>
      <c r="S22" s="69">
        <f t="shared" si="16"/>
        <v>0.98159858095515828</v>
      </c>
      <c r="T22" s="69">
        <f t="shared" si="14"/>
        <v>0.26333125430607973</v>
      </c>
      <c r="U22" s="60">
        <f t="shared" si="15"/>
        <v>7.8026227709102356</v>
      </c>
    </row>
    <row r="23" spans="1:21" x14ac:dyDescent="0.35">
      <c r="A23" s="55">
        <v>15</v>
      </c>
      <c r="B23" s="56">
        <f t="shared" si="0"/>
        <v>1950</v>
      </c>
      <c r="C23" s="56">
        <f t="shared" si="6"/>
        <v>1852.5</v>
      </c>
      <c r="D23" s="56">
        <f t="shared" si="7"/>
        <v>35110.118988120899</v>
      </c>
      <c r="E23" s="56">
        <f t="shared" si="1"/>
        <v>36514.523747645733</v>
      </c>
      <c r="F23" s="65"/>
      <c r="G23" s="57">
        <f t="shared" si="2"/>
        <v>97.5</v>
      </c>
      <c r="H23" s="57">
        <f t="shared" si="8"/>
        <v>-65.973938153143607</v>
      </c>
      <c r="I23" s="57">
        <f t="shared" si="3"/>
        <v>0.63052123693712792</v>
      </c>
      <c r="J23" s="66">
        <f>'[1]Mortality table'!H41*ProMM</f>
        <v>3.1808000000000144E-3</v>
      </c>
      <c r="K23" s="57">
        <f t="shared" si="4"/>
        <v>13485.476252354267</v>
      </c>
      <c r="L23" s="57">
        <f t="shared" si="9"/>
        <v>-42.894602863488643</v>
      </c>
      <c r="M23" s="58">
        <f t="shared" si="10"/>
        <v>-10.738019779695122</v>
      </c>
      <c r="N23" s="110">
        <f>'Answer 5 reserves'!P19</f>
        <v>149.69158638597418</v>
      </c>
      <c r="O23" s="110">
        <f t="shared" si="5"/>
        <v>2.9938317277194835</v>
      </c>
      <c r="P23" s="66">
        <f t="shared" si="11"/>
        <v>0.99681920000000002</v>
      </c>
      <c r="Q23" s="56">
        <f t="shared" si="12"/>
        <v>109.42803534389333</v>
      </c>
      <c r="R23" s="57">
        <f t="shared" si="13"/>
        <v>32.519362990105208</v>
      </c>
      <c r="S23" s="69">
        <f t="shared" si="16"/>
        <v>0.97881947905275812</v>
      </c>
      <c r="T23" s="69">
        <f t="shared" si="14"/>
        <v>0.23939204936916339</v>
      </c>
      <c r="U23" s="60">
        <f t="shared" si="15"/>
        <v>7.6199892010617649</v>
      </c>
    </row>
    <row r="24" spans="1:21" x14ac:dyDescent="0.35">
      <c r="A24" s="55">
        <v>16</v>
      </c>
      <c r="B24" s="56">
        <f t="shared" si="0"/>
        <v>1950</v>
      </c>
      <c r="C24" s="56">
        <f t="shared" si="6"/>
        <v>1852.5</v>
      </c>
      <c r="D24" s="56">
        <f t="shared" si="7"/>
        <v>38367.023747645733</v>
      </c>
      <c r="E24" s="56">
        <f t="shared" si="1"/>
        <v>39901.704697551562</v>
      </c>
      <c r="F24" s="65"/>
      <c r="G24" s="57">
        <f t="shared" si="2"/>
        <v>97.5</v>
      </c>
      <c r="H24" s="57">
        <f t="shared" si="8"/>
        <v>-67.293416916206468</v>
      </c>
      <c r="I24" s="57">
        <f t="shared" si="3"/>
        <v>0.60413166167587062</v>
      </c>
      <c r="J24" s="66">
        <f>'[1]Mortality table'!H42*ProMM</f>
        <v>3.5752000000000236E-3</v>
      </c>
      <c r="K24" s="57">
        <f t="shared" si="4"/>
        <v>10098.295302448438</v>
      </c>
      <c r="L24" s="57">
        <f t="shared" si="9"/>
        <v>-36.103425365313896</v>
      </c>
      <c r="M24" s="58">
        <f t="shared" si="10"/>
        <v>-5.2927106198444918</v>
      </c>
      <c r="N24" s="110">
        <f>'Answer 5 reserves'!P20</f>
        <v>109.77721470843792</v>
      </c>
      <c r="O24" s="110">
        <f t="shared" si="5"/>
        <v>2.1955442941687586</v>
      </c>
      <c r="P24" s="66">
        <f t="shared" si="11"/>
        <v>0.9964248</v>
      </c>
      <c r="Q24" s="56">
        <f t="shared" si="12"/>
        <v>71.600617212221522</v>
      </c>
      <c r="R24" s="57">
        <f t="shared" si="13"/>
        <v>35.079431170540673</v>
      </c>
      <c r="S24" s="69">
        <f t="shared" si="16"/>
        <v>0.97570605005378708</v>
      </c>
      <c r="T24" s="69">
        <f t="shared" si="14"/>
        <v>0.21762913579014853</v>
      </c>
      <c r="U24" s="60">
        <f t="shared" si="15"/>
        <v>7.448838834779834</v>
      </c>
    </row>
    <row r="25" spans="1:21" x14ac:dyDescent="0.35">
      <c r="A25" s="55">
        <v>17</v>
      </c>
      <c r="B25" s="56">
        <f t="shared" si="0"/>
        <v>1950</v>
      </c>
      <c r="C25" s="56">
        <f t="shared" si="6"/>
        <v>1852.5</v>
      </c>
      <c r="D25" s="56">
        <f t="shared" si="7"/>
        <v>41754.204697551562</v>
      </c>
      <c r="E25" s="56">
        <f t="shared" si="1"/>
        <v>43424.372885453624</v>
      </c>
      <c r="F25" s="65"/>
      <c r="G25" s="57">
        <f t="shared" si="2"/>
        <v>97.5</v>
      </c>
      <c r="H25" s="57">
        <f t="shared" si="8"/>
        <v>-68.639285254530606</v>
      </c>
      <c r="I25" s="57">
        <f t="shared" si="3"/>
        <v>0.57721429490938791</v>
      </c>
      <c r="J25" s="66">
        <f>'[1]Mortality table'!H43*ProMM</f>
        <v>4.0199999999999082E-3</v>
      </c>
      <c r="K25" s="57">
        <f t="shared" si="4"/>
        <v>6575.6271145463761</v>
      </c>
      <c r="L25" s="57">
        <f t="shared" si="9"/>
        <v>-26.434021000475827</v>
      </c>
      <c r="M25" s="58">
        <f t="shared" si="10"/>
        <v>3.0039080399029565</v>
      </c>
      <c r="N25" s="110">
        <f>'Answer 5 reserves'!P21</f>
        <v>71.857522225682786</v>
      </c>
      <c r="O25" s="110">
        <f t="shared" si="5"/>
        <v>1.4371504445136558</v>
      </c>
      <c r="P25" s="66">
        <f t="shared" si="11"/>
        <v>0.99598000000000009</v>
      </c>
      <c r="Q25" s="56">
        <f t="shared" si="12"/>
        <v>38.385804104594961</v>
      </c>
      <c r="R25" s="57">
        <f t="shared" si="13"/>
        <v>37.91277660550444</v>
      </c>
      <c r="S25" s="69">
        <f t="shared" si="16"/>
        <v>0.97221770578363476</v>
      </c>
      <c r="T25" s="69">
        <f t="shared" si="14"/>
        <v>0.19784466890013502</v>
      </c>
      <c r="U25" s="60">
        <f t="shared" si="15"/>
        <v>7.2924501704420344</v>
      </c>
    </row>
    <row r="26" spans="1:21" x14ac:dyDescent="0.35">
      <c r="A26" s="55">
        <v>18</v>
      </c>
      <c r="B26" s="56">
        <f t="shared" si="0"/>
        <v>1950</v>
      </c>
      <c r="C26" s="56">
        <f t="shared" si="6"/>
        <v>1852.5</v>
      </c>
      <c r="D26" s="56">
        <f t="shared" si="7"/>
        <v>45276.872885453624</v>
      </c>
      <c r="E26" s="56">
        <f t="shared" si="1"/>
        <v>47087.947800871771</v>
      </c>
      <c r="F26" s="65"/>
      <c r="G26" s="57">
        <f t="shared" si="2"/>
        <v>97.5</v>
      </c>
      <c r="H26" s="57">
        <f t="shared" si="8"/>
        <v>-70.012070959621227</v>
      </c>
      <c r="I26" s="57">
        <f t="shared" si="3"/>
        <v>0.54975858080757545</v>
      </c>
      <c r="J26" s="66">
        <f>'[1]Mortality table'!H44*ProMM</f>
        <v>4.5199999999999615E-3</v>
      </c>
      <c r="K26" s="57">
        <f t="shared" si="4"/>
        <v>2912.0521991282294</v>
      </c>
      <c r="L26" s="57">
        <f t="shared" si="9"/>
        <v>-13.162475940059485</v>
      </c>
      <c r="M26" s="58">
        <f t="shared" si="10"/>
        <v>14.875211681126865</v>
      </c>
      <c r="N26" s="110">
        <f>'Answer 5 reserves'!P22</f>
        <v>38.54073787083572</v>
      </c>
      <c r="O26" s="110">
        <f t="shared" si="5"/>
        <v>0.77081475741671446</v>
      </c>
      <c r="P26" s="66">
        <f t="shared" si="11"/>
        <v>0.99548000000000003</v>
      </c>
      <c r="Q26" s="56">
        <f t="shared" si="12"/>
        <v>13.118490051765173</v>
      </c>
      <c r="R26" s="57">
        <f t="shared" si="13"/>
        <v>41.068274257614128</v>
      </c>
      <c r="S26" s="69">
        <f t="shared" si="16"/>
        <v>0.96830939060638466</v>
      </c>
      <c r="T26" s="69">
        <f t="shared" si="14"/>
        <v>0.17985878990921364</v>
      </c>
      <c r="U26" s="60">
        <f t="shared" si="15"/>
        <v>7.152407738716585</v>
      </c>
    </row>
    <row r="27" spans="1:21" x14ac:dyDescent="0.35">
      <c r="A27" s="55">
        <v>19</v>
      </c>
      <c r="B27" s="56">
        <f t="shared" si="0"/>
        <v>1950</v>
      </c>
      <c r="C27" s="56">
        <f t="shared" si="6"/>
        <v>1852.5</v>
      </c>
      <c r="D27" s="56">
        <f t="shared" si="7"/>
        <v>48940.447800871771</v>
      </c>
      <c r="E27" s="56">
        <f t="shared" si="1"/>
        <v>50898.065712906646</v>
      </c>
      <c r="F27" s="65"/>
      <c r="G27" s="57">
        <f t="shared" si="2"/>
        <v>97.5</v>
      </c>
      <c r="H27" s="57">
        <f t="shared" si="8"/>
        <v>-71.412312378813638</v>
      </c>
      <c r="I27" s="57">
        <f t="shared" si="3"/>
        <v>0.52175375242372724</v>
      </c>
      <c r="J27" s="66">
        <f>'[1]Mortality table'!H45*ProMM</f>
        <v>5.0816000000000507E-3</v>
      </c>
      <c r="K27" s="57">
        <f t="shared" si="4"/>
        <v>0</v>
      </c>
      <c r="L27" s="57">
        <f t="shared" si="9"/>
        <v>0</v>
      </c>
      <c r="M27" s="58">
        <f t="shared" si="10"/>
        <v>26.609441373610089</v>
      </c>
      <c r="N27" s="110">
        <f>'Answer 5 reserves'!P23</f>
        <v>13.178054859731157</v>
      </c>
      <c r="O27" s="110">
        <f t="shared" si="5"/>
        <v>0.26356109719462312</v>
      </c>
      <c r="P27" s="66">
        <f t="shared" si="11"/>
        <v>0.99491839999999998</v>
      </c>
      <c r="Q27" s="56">
        <f t="shared" si="12"/>
        <v>0</v>
      </c>
      <c r="R27" s="57">
        <f t="shared" si="13"/>
        <v>40.051057330535869</v>
      </c>
      <c r="S27" s="69">
        <f t="shared" si="16"/>
        <v>0.96393263216084379</v>
      </c>
      <c r="T27" s="69">
        <f t="shared" si="14"/>
        <v>0.16350799082655781</v>
      </c>
      <c r="U27" s="60">
        <f t="shared" si="15"/>
        <v>6.3124747000630146</v>
      </c>
    </row>
    <row r="28" spans="1:21" x14ac:dyDescent="0.35">
      <c r="A28" s="55">
        <v>20</v>
      </c>
      <c r="B28" s="56">
        <f t="shared" si="0"/>
        <v>1950</v>
      </c>
      <c r="C28" s="56">
        <f t="shared" si="6"/>
        <v>1852.5</v>
      </c>
      <c r="D28" s="56">
        <f t="shared" si="7"/>
        <v>52750.565712906646</v>
      </c>
      <c r="E28" s="56">
        <f t="shared" si="1"/>
        <v>54860.58834142291</v>
      </c>
      <c r="F28" s="65"/>
      <c r="G28" s="57">
        <f t="shared" si="2"/>
        <v>97.5</v>
      </c>
      <c r="H28" s="57">
        <f t="shared" si="8"/>
        <v>-72.840558626389907</v>
      </c>
      <c r="I28" s="57">
        <f t="shared" si="3"/>
        <v>0.49318882747220189</v>
      </c>
      <c r="J28" s="66">
        <f>'[1]Mortality table'!H46*ProMM</f>
        <v>5.7120000000000859E-3</v>
      </c>
      <c r="K28" s="57">
        <f t="shared" si="4"/>
        <v>0</v>
      </c>
      <c r="L28" s="57">
        <f t="shared" si="9"/>
        <v>0</v>
      </c>
      <c r="M28" s="58">
        <f t="shared" si="10"/>
        <v>25.152630201082296</v>
      </c>
      <c r="N28" s="110">
        <f>'Answer 5 reserves'!P24</f>
        <v>0</v>
      </c>
      <c r="O28" s="110">
        <f t="shared" si="5"/>
        <v>0</v>
      </c>
      <c r="P28" s="66">
        <f t="shared" si="11"/>
        <v>0.99428799999999995</v>
      </c>
      <c r="Q28" s="56">
        <f t="shared" si="12"/>
        <v>0</v>
      </c>
      <c r="R28" s="57">
        <f t="shared" si="13"/>
        <v>25.152630201082296</v>
      </c>
      <c r="S28" s="69">
        <f t="shared" si="16"/>
        <v>0.9590343120972552</v>
      </c>
      <c r="T28" s="69">
        <f t="shared" si="14"/>
        <v>0.14864362802414349</v>
      </c>
      <c r="U28" s="60">
        <f t="shared" si="15"/>
        <v>3.5856165862550045</v>
      </c>
    </row>
    <row r="29" spans="1:21" x14ac:dyDescent="0.35">
      <c r="A29" s="55">
        <v>21</v>
      </c>
      <c r="B29" s="56">
        <f t="shared" si="0"/>
        <v>1950</v>
      </c>
      <c r="C29" s="56">
        <f t="shared" si="6"/>
        <v>1852.5</v>
      </c>
      <c r="D29" s="56">
        <f t="shared" si="7"/>
        <v>56713.08834142291</v>
      </c>
      <c r="E29" s="56">
        <f t="shared" si="1"/>
        <v>58981.611875079827</v>
      </c>
      <c r="F29" s="65"/>
      <c r="G29" s="57">
        <f t="shared" si="2"/>
        <v>97.5</v>
      </c>
      <c r="H29" s="57">
        <f t="shared" si="8"/>
        <v>-74.297369798917714</v>
      </c>
      <c r="I29" s="57">
        <f t="shared" si="3"/>
        <v>0.46405260402164572</v>
      </c>
      <c r="J29" s="66">
        <f>'[1]Mortality table'!H47*ProMM</f>
        <v>6.4176000000000554E-3</v>
      </c>
      <c r="K29" s="57">
        <f t="shared" si="4"/>
        <v>0</v>
      </c>
      <c r="L29" s="57">
        <f t="shared" si="9"/>
        <v>0</v>
      </c>
      <c r="M29" s="58">
        <f t="shared" si="10"/>
        <v>23.666682805103932</v>
      </c>
      <c r="N29" s="110">
        <f>'Answer 5 reserves'!P25</f>
        <v>0</v>
      </c>
      <c r="O29" s="110">
        <f t="shared" si="5"/>
        <v>0</v>
      </c>
      <c r="P29" s="66">
        <f t="shared" si="11"/>
        <v>0.99358239999999998</v>
      </c>
      <c r="Q29" s="56">
        <f t="shared" si="12"/>
        <v>0</v>
      </c>
      <c r="R29" s="57">
        <f t="shared" si="13"/>
        <v>23.666682805103932</v>
      </c>
      <c r="S29" s="69">
        <f t="shared" si="16"/>
        <v>0.95355630810655567</v>
      </c>
      <c r="T29" s="69">
        <f t="shared" si="14"/>
        <v>0.13513057093103953</v>
      </c>
      <c r="U29" s="60">
        <f t="shared" si="15"/>
        <v>3.0495611433062297</v>
      </c>
    </row>
    <row r="30" spans="1:21" x14ac:dyDescent="0.35">
      <c r="A30" s="55">
        <v>22</v>
      </c>
      <c r="B30" s="56">
        <f t="shared" si="0"/>
        <v>1950</v>
      </c>
      <c r="C30" s="56">
        <f t="shared" si="6"/>
        <v>1852.5</v>
      </c>
      <c r="D30" s="56">
        <f t="shared" si="7"/>
        <v>60834.111875079827</v>
      </c>
      <c r="E30" s="56">
        <f t="shared" si="1"/>
        <v>63267.476350083023</v>
      </c>
      <c r="F30" s="65"/>
      <c r="G30" s="57">
        <f t="shared" si="2"/>
        <v>97.5</v>
      </c>
      <c r="H30" s="57">
        <f t="shared" si="8"/>
        <v>-75.783317194896057</v>
      </c>
      <c r="I30" s="57">
        <f t="shared" si="3"/>
        <v>0.43433365610207886</v>
      </c>
      <c r="J30" s="66">
        <f>'[1]Mortality table'!H48*ProMM</f>
        <v>7.2072000000001071E-3</v>
      </c>
      <c r="K30" s="57">
        <f t="shared" si="4"/>
        <v>0</v>
      </c>
      <c r="L30" s="57">
        <f t="shared" si="9"/>
        <v>0</v>
      </c>
      <c r="M30" s="58">
        <f t="shared" si="10"/>
        <v>22.151016461206023</v>
      </c>
      <c r="N30" s="110">
        <f>'Answer 5 reserves'!P26</f>
        <v>0</v>
      </c>
      <c r="O30" s="110">
        <f t="shared" si="5"/>
        <v>0</v>
      </c>
      <c r="P30" s="66">
        <f t="shared" si="11"/>
        <v>0.99279279999999992</v>
      </c>
      <c r="Q30" s="56">
        <f t="shared" si="12"/>
        <v>3.36340065662286</v>
      </c>
      <c r="R30" s="57">
        <f t="shared" si="13"/>
        <v>18.787615804583162</v>
      </c>
      <c r="S30" s="69">
        <f t="shared" si="16"/>
        <v>0.94743676514365105</v>
      </c>
      <c r="T30" s="69">
        <f t="shared" si="14"/>
        <v>0.12284597357367227</v>
      </c>
      <c r="U30" s="60">
        <f t="shared" si="15"/>
        <v>2.1866679045528259</v>
      </c>
    </row>
    <row r="31" spans="1:21" x14ac:dyDescent="0.35">
      <c r="A31" s="55">
        <v>23</v>
      </c>
      <c r="B31" s="56">
        <f t="shared" si="0"/>
        <v>1950</v>
      </c>
      <c r="C31" s="56">
        <f t="shared" si="6"/>
        <v>1852.5</v>
      </c>
      <c r="D31" s="56">
        <f t="shared" si="7"/>
        <v>65119.976350083023</v>
      </c>
      <c r="E31" s="56">
        <f t="shared" si="1"/>
        <v>67724.775404086351</v>
      </c>
      <c r="F31" s="65"/>
      <c r="G31" s="57">
        <f t="shared" si="2"/>
        <v>97.5</v>
      </c>
      <c r="H31" s="57">
        <f t="shared" si="8"/>
        <v>-77.298983538793991</v>
      </c>
      <c r="I31" s="57">
        <f t="shared" si="3"/>
        <v>0.40402032922412018</v>
      </c>
      <c r="J31" s="66">
        <f>'[1]Mortality table'!H49*ProMM</f>
        <v>8.0895999999999416E-3</v>
      </c>
      <c r="K31" s="57">
        <f t="shared" si="4"/>
        <v>0</v>
      </c>
      <c r="L31" s="57">
        <f t="shared" si="9"/>
        <v>0</v>
      </c>
      <c r="M31" s="58">
        <f t="shared" si="10"/>
        <v>20.60503679043013</v>
      </c>
      <c r="N31" s="110">
        <f>'Answer 5 reserves'!P27</f>
        <v>3.3878173337103776</v>
      </c>
      <c r="O31" s="110">
        <f t="shared" si="5"/>
        <v>6.775634667420756E-2</v>
      </c>
      <c r="P31" s="66">
        <f t="shared" si="11"/>
        <v>0.99191040000000008</v>
      </c>
      <c r="Q31" s="56">
        <f t="shared" si="12"/>
        <v>5.1694265058676878</v>
      </c>
      <c r="R31" s="57">
        <f t="shared" si="13"/>
        <v>18.891183964947029</v>
      </c>
      <c r="S31" s="69">
        <f t="shared" si="16"/>
        <v>0.94060839888990766</v>
      </c>
      <c r="T31" s="69">
        <f t="shared" si="14"/>
        <v>0.11167815779424752</v>
      </c>
      <c r="U31" s="60">
        <f t="shared" si="15"/>
        <v>1.9844322253183579</v>
      </c>
    </row>
    <row r="32" spans="1:21" x14ac:dyDescent="0.35">
      <c r="A32" s="55">
        <v>24</v>
      </c>
      <c r="B32" s="56">
        <f t="shared" si="0"/>
        <v>1950</v>
      </c>
      <c r="C32" s="56">
        <f t="shared" si="6"/>
        <v>1852.5</v>
      </c>
      <c r="D32" s="56">
        <f t="shared" si="7"/>
        <v>69577.275404086351</v>
      </c>
      <c r="E32" s="56">
        <f t="shared" si="1"/>
        <v>72360.366420249804</v>
      </c>
      <c r="F32" s="65"/>
      <c r="G32" s="57">
        <f t="shared" si="2"/>
        <v>97.5</v>
      </c>
      <c r="H32" s="57">
        <f t="shared" si="8"/>
        <v>-78.844963209569855</v>
      </c>
      <c r="I32" s="57">
        <f t="shared" si="3"/>
        <v>0.37310073580860292</v>
      </c>
      <c r="J32" s="66">
        <f>'[1]Mortality table'!H50*ProMM</f>
        <v>9.075200000000009E-3</v>
      </c>
      <c r="K32" s="57">
        <f t="shared" si="4"/>
        <v>0</v>
      </c>
      <c r="L32" s="57">
        <f t="shared" si="9"/>
        <v>0</v>
      </c>
      <c r="M32" s="58">
        <f t="shared" si="10"/>
        <v>19.028137526238748</v>
      </c>
      <c r="N32" s="110">
        <f>'Answer 5 reserves'!P28</f>
        <v>5.2115861532127168</v>
      </c>
      <c r="O32" s="110">
        <f t="shared" si="5"/>
        <v>0.10423172306425434</v>
      </c>
      <c r="P32" s="66">
        <f t="shared" si="11"/>
        <v>0.99092479999999994</v>
      </c>
      <c r="Q32" s="56">
        <f t="shared" si="12"/>
        <v>4.1021366692726238</v>
      </c>
      <c r="R32" s="57">
        <f t="shared" si="13"/>
        <v>20.241818733243097</v>
      </c>
      <c r="S32" s="69">
        <f t="shared" si="16"/>
        <v>0.93299925318624799</v>
      </c>
      <c r="T32" s="69">
        <f t="shared" si="14"/>
        <v>0.10152559799477048</v>
      </c>
      <c r="U32" s="60">
        <f t="shared" si="15"/>
        <v>1.9173720123017139</v>
      </c>
    </row>
    <row r="33" spans="1:21" x14ac:dyDescent="0.35">
      <c r="A33" s="55">
        <v>25</v>
      </c>
      <c r="B33" s="56">
        <f t="shared" si="0"/>
        <v>1950</v>
      </c>
      <c r="C33" s="56">
        <f t="shared" si="6"/>
        <v>1852.5</v>
      </c>
      <c r="D33" s="56">
        <f t="shared" si="7"/>
        <v>74212.866420249804</v>
      </c>
      <c r="E33" s="56">
        <f t="shared" si="1"/>
        <v>77181.381077059792</v>
      </c>
      <c r="F33" s="65"/>
      <c r="G33" s="57">
        <f t="shared" si="2"/>
        <v>97.5</v>
      </c>
      <c r="H33" s="57">
        <f t="shared" si="8"/>
        <v>-80.421862473761252</v>
      </c>
      <c r="I33" s="57">
        <f t="shared" si="3"/>
        <v>0.34156275052477497</v>
      </c>
      <c r="J33" s="66">
        <f>'[1]Mortality table'!H51*ProMM</f>
        <v>1.0172799999999897E-2</v>
      </c>
      <c r="K33" s="57">
        <f t="shared" si="4"/>
        <v>0</v>
      </c>
      <c r="L33" s="57">
        <f t="shared" si="9"/>
        <v>0</v>
      </c>
      <c r="M33" s="58">
        <f t="shared" si="10"/>
        <v>17.419700276763525</v>
      </c>
      <c r="N33" s="110">
        <f>'Answer 5 reserves'!P29</f>
        <v>4.1397053230200962</v>
      </c>
      <c r="O33" s="110">
        <f t="shared" si="5"/>
        <v>8.2794106460401931E-2</v>
      </c>
      <c r="P33" s="66">
        <f t="shared" si="11"/>
        <v>0.98982720000000013</v>
      </c>
      <c r="Q33" s="56">
        <f t="shared" si="12"/>
        <v>0</v>
      </c>
      <c r="R33" s="57">
        <f t="shared" si="13"/>
        <v>21.642199706244021</v>
      </c>
      <c r="S33" s="69">
        <f t="shared" si="16"/>
        <v>0.92453209836373207</v>
      </c>
      <c r="T33" s="69">
        <f t="shared" si="14"/>
        <v>9.2295998177064048E-2</v>
      </c>
      <c r="U33" s="60">
        <f t="shared" si="15"/>
        <v>1.8467421646852047</v>
      </c>
    </row>
    <row r="34" spans="1:21" x14ac:dyDescent="0.35">
      <c r="T34" s="69"/>
      <c r="U34" s="69"/>
    </row>
    <row r="35" spans="1:21" x14ac:dyDescent="0.35">
      <c r="T35" s="69"/>
      <c r="U35" s="69"/>
    </row>
    <row r="36" spans="1:21" x14ac:dyDescent="0.35">
      <c r="T36" s="69"/>
      <c r="U36" s="69"/>
    </row>
    <row r="37" spans="1:21" x14ac:dyDescent="0.35">
      <c r="T37" s="69"/>
      <c r="U37" s="69"/>
    </row>
    <row r="38" spans="1:21" x14ac:dyDescent="0.35">
      <c r="T38" s="69"/>
      <c r="U38" s="69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AED4-A951-4A43-9120-0A8C7261DB36}">
  <dimension ref="B4"/>
  <sheetViews>
    <sheetView workbookViewId="0">
      <selection activeCell="D11" sqref="D11"/>
    </sheetView>
  </sheetViews>
  <sheetFormatPr defaultRowHeight="12.5" x14ac:dyDescent="0.25"/>
  <sheetData>
    <row r="4" spans="2:2" ht="14.5" x14ac:dyDescent="0.35">
      <c r="B4" s="139" t="s">
        <v>124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7"/>
  <sheetViews>
    <sheetView showGridLines="0" workbookViewId="0">
      <selection activeCell="A2" sqref="A2"/>
    </sheetView>
  </sheetViews>
  <sheetFormatPr defaultColWidth="11.7265625" defaultRowHeight="14.5" x14ac:dyDescent="0.35"/>
  <cols>
    <col min="1" max="1" width="11.7265625" style="12"/>
    <col min="2" max="2" width="1.453125" style="12" customWidth="1"/>
    <col min="3" max="16384" width="11.7265625" style="12"/>
  </cols>
  <sheetData>
    <row r="1" spans="1:9" s="10" customFormat="1" ht="21" x14ac:dyDescent="0.5">
      <c r="A1" s="9" t="s">
        <v>1</v>
      </c>
    </row>
    <row r="2" spans="1:9" x14ac:dyDescent="0.35">
      <c r="A2" s="14" t="s">
        <v>2</v>
      </c>
      <c r="B2" s="15"/>
      <c r="C2" s="15"/>
      <c r="D2" s="15"/>
      <c r="E2" s="15"/>
      <c r="F2" s="15"/>
      <c r="G2" s="15"/>
      <c r="H2" s="15"/>
    </row>
    <row r="3" spans="1:9" x14ac:dyDescent="0.35">
      <c r="A3" s="14" t="s">
        <v>3</v>
      </c>
      <c r="B3" s="15"/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pans="1:9" x14ac:dyDescent="0.35">
      <c r="A4" s="13">
        <v>17</v>
      </c>
      <c r="B4" s="16"/>
      <c r="C4" s="17">
        <f>9997.8091</f>
        <v>9997.8091000000004</v>
      </c>
      <c r="D4" s="17"/>
      <c r="E4" s="17">
        <v>10000</v>
      </c>
      <c r="F4" s="18">
        <f t="shared" ref="F4:G35" si="0">(C4-D5)/C4</f>
        <v>4.2700355220820583E-4</v>
      </c>
      <c r="G4" s="18"/>
      <c r="H4" s="18">
        <f t="shared" ref="H4:H67" si="1">(E4-E5)/E4</f>
        <v>5.9999999999999995E-4</v>
      </c>
      <c r="I4" s="19"/>
    </row>
    <row r="5" spans="1:9" x14ac:dyDescent="0.35">
      <c r="A5" s="13">
        <v>18</v>
      </c>
      <c r="B5" s="16"/>
      <c r="C5" s="17">
        <f>9991.8904</f>
        <v>9991.8904000000002</v>
      </c>
      <c r="D5" s="17">
        <f>9993.54</f>
        <v>9993.5400000000009</v>
      </c>
      <c r="E5" s="17">
        <v>9994</v>
      </c>
      <c r="F5" s="18">
        <f t="shared" si="0"/>
        <v>4.2600547339876916E-4</v>
      </c>
      <c r="G5" s="18">
        <f t="shared" si="0"/>
        <v>5.4799760645385224E-4</v>
      </c>
      <c r="H5" s="18">
        <f t="shared" si="1"/>
        <v>5.9399999999999579E-4</v>
      </c>
      <c r="I5" s="19"/>
    </row>
    <row r="6" spans="1:9" x14ac:dyDescent="0.35">
      <c r="A6" s="13">
        <v>19</v>
      </c>
      <c r="B6" s="16"/>
      <c r="C6" s="17">
        <f>9986.0351</f>
        <v>9986.0350999999991</v>
      </c>
      <c r="D6" s="17">
        <f>9987.6338</f>
        <v>9987.6337999999996</v>
      </c>
      <c r="E6" s="17">
        <v>9988.063564</v>
      </c>
      <c r="F6" s="18">
        <f t="shared" si="0"/>
        <v>4.2499349917153584E-4</v>
      </c>
      <c r="G6" s="18">
        <f t="shared" si="0"/>
        <v>5.4399564710390683E-4</v>
      </c>
      <c r="H6" s="18">
        <f t="shared" si="1"/>
        <v>5.8700000000002836E-4</v>
      </c>
      <c r="I6" s="19"/>
    </row>
    <row r="7" spans="1:9" x14ac:dyDescent="0.35">
      <c r="A7" s="13">
        <v>20</v>
      </c>
      <c r="B7" s="16"/>
      <c r="C7" s="17">
        <f>9980.2432</f>
        <v>9980.2432000000008</v>
      </c>
      <c r="D7" s="17">
        <f>9981.7911</f>
        <v>9981.7911000000004</v>
      </c>
      <c r="E7" s="17">
        <v>9982.2005706879318</v>
      </c>
      <c r="F7" s="18">
        <f t="shared" si="0"/>
        <v>4.2499966333497751E-4</v>
      </c>
      <c r="G7" s="18">
        <f t="shared" si="0"/>
        <v>5.4100210975257905E-4</v>
      </c>
      <c r="H7" s="18">
        <f t="shared" si="1"/>
        <v>5.8200000000005307E-4</v>
      </c>
      <c r="I7" s="19"/>
    </row>
    <row r="8" spans="1:9" x14ac:dyDescent="0.35">
      <c r="A8" s="13">
        <v>21</v>
      </c>
      <c r="B8" s="16"/>
      <c r="C8" s="17">
        <f>9974.5046</f>
        <v>9974.5046000000002</v>
      </c>
      <c r="D8" s="17">
        <f>9976.0016</f>
        <v>9976.0015999999996</v>
      </c>
      <c r="E8" s="17">
        <v>9976.3909299557909</v>
      </c>
      <c r="F8" s="18">
        <f t="shared" si="0"/>
        <v>4.2500356358550202E-4</v>
      </c>
      <c r="G8" s="18">
        <f t="shared" si="0"/>
        <v>5.379958650762991E-4</v>
      </c>
      <c r="H8" s="18">
        <f t="shared" si="1"/>
        <v>5.770000000001309E-4</v>
      </c>
      <c r="I8" s="19"/>
    </row>
    <row r="9" spans="1:9" x14ac:dyDescent="0.35">
      <c r="A9" s="13">
        <v>22</v>
      </c>
      <c r="B9" s="16"/>
      <c r="C9" s="17">
        <f>9968.8391</f>
        <v>9968.8390999999992</v>
      </c>
      <c r="D9" s="17">
        <f>9970.2654</f>
        <v>9970.2654000000002</v>
      </c>
      <c r="E9" s="17">
        <v>9970.6345523892051</v>
      </c>
      <c r="F9" s="18">
        <f t="shared" si="0"/>
        <v>4.2700057221305837E-4</v>
      </c>
      <c r="G9" s="18">
        <f t="shared" si="0"/>
        <v>5.3499584622510965E-4</v>
      </c>
      <c r="H9" s="18">
        <f t="shared" si="1"/>
        <v>5.7200000000001347E-4</v>
      </c>
      <c r="I9" s="19"/>
    </row>
    <row r="10" spans="1:9" x14ac:dyDescent="0.35">
      <c r="A10" s="13">
        <v>23</v>
      </c>
      <c r="B10" s="16"/>
      <c r="C10" s="17">
        <f>9963.1967</f>
        <v>9963.1967000000004</v>
      </c>
      <c r="D10" s="17">
        <f>9964.5824</f>
        <v>9964.5823999999993</v>
      </c>
      <c r="E10" s="17">
        <v>9964.9313494252383</v>
      </c>
      <c r="F10" s="18">
        <f t="shared" si="0"/>
        <v>4.2899885736470873E-4</v>
      </c>
      <c r="G10" s="18">
        <f t="shared" si="0"/>
        <v>5.3400095447889606E-4</v>
      </c>
      <c r="H10" s="18">
        <f t="shared" si="1"/>
        <v>5.6899999999996168E-4</v>
      </c>
      <c r="I10" s="19"/>
    </row>
    <row r="11" spans="1:9" x14ac:dyDescent="0.35">
      <c r="A11" s="13">
        <v>24</v>
      </c>
      <c r="B11" s="16"/>
      <c r="C11" s="17">
        <f>9957.5775</f>
        <v>9957.5774999999994</v>
      </c>
      <c r="D11" s="17">
        <f>9958.9225</f>
        <v>9958.9225000000006</v>
      </c>
      <c r="E11" s="17">
        <v>9959.2613034874157</v>
      </c>
      <c r="F11" s="18">
        <f t="shared" si="0"/>
        <v>4.3099840297499716E-4</v>
      </c>
      <c r="G11" s="18">
        <f t="shared" si="0"/>
        <v>5.329991946079343E-4</v>
      </c>
      <c r="H11" s="18">
        <f t="shared" si="1"/>
        <v>5.6700000000006084E-4</v>
      </c>
      <c r="I11" s="19"/>
    </row>
    <row r="12" spans="1:9" x14ac:dyDescent="0.35">
      <c r="A12" s="13">
        <v>25</v>
      </c>
      <c r="B12" s="16"/>
      <c r="C12" s="17">
        <f>9951.9913</f>
        <v>9951.9912999999997</v>
      </c>
      <c r="D12" s="17">
        <f>9953.2858</f>
        <v>9953.2857999999997</v>
      </c>
      <c r="E12" s="17">
        <v>9953.6144023283377</v>
      </c>
      <c r="F12" s="18">
        <f t="shared" si="0"/>
        <v>4.3499837062749606E-4</v>
      </c>
      <c r="G12" s="18">
        <f t="shared" si="0"/>
        <v>5.3300422895306268E-4</v>
      </c>
      <c r="H12" s="18">
        <f t="shared" si="1"/>
        <v>5.6599999999987151E-4</v>
      </c>
      <c r="I12" s="19"/>
    </row>
    <row r="13" spans="1:9" x14ac:dyDescent="0.35">
      <c r="A13" s="13">
        <v>26</v>
      </c>
      <c r="B13" s="16"/>
      <c r="C13" s="17">
        <f>9946.3982</f>
        <v>9946.3981999999996</v>
      </c>
      <c r="D13" s="17">
        <f>9947.6622</f>
        <v>9947.6622000000007</v>
      </c>
      <c r="E13" s="17">
        <v>9947.9806565766212</v>
      </c>
      <c r="F13" s="18">
        <f t="shared" si="0"/>
        <v>4.3999847100422682E-4</v>
      </c>
      <c r="G13" s="18">
        <f t="shared" si="0"/>
        <v>5.3500494374031512E-4</v>
      </c>
      <c r="H13" s="18">
        <f t="shared" si="1"/>
        <v>5.6700000000002365E-4</v>
      </c>
      <c r="I13" s="19"/>
    </row>
    <row r="14" spans="1:9" x14ac:dyDescent="0.35">
      <c r="A14" s="13">
        <v>27</v>
      </c>
      <c r="B14" s="16"/>
      <c r="C14" s="17">
        <f>9940.7984</f>
        <v>9940.7983999999997</v>
      </c>
      <c r="D14" s="17">
        <f>9942.0218</f>
        <v>9942.0218000000004</v>
      </c>
      <c r="E14" s="17">
        <v>9942.340151544342</v>
      </c>
      <c r="F14" s="18">
        <f t="shared" si="0"/>
        <v>4.4699628955350342E-4</v>
      </c>
      <c r="G14" s="18">
        <f t="shared" si="0"/>
        <v>5.3799744655943604E-4</v>
      </c>
      <c r="H14" s="18">
        <f t="shared" si="1"/>
        <v>5.6999999999995379E-4</v>
      </c>
      <c r="I14" s="19"/>
    </row>
    <row r="15" spans="1:9" x14ac:dyDescent="0.35">
      <c r="A15" s="13">
        <v>28</v>
      </c>
      <c r="B15" s="16"/>
      <c r="C15" s="17">
        <f>9935.1818</f>
        <v>9935.1818000000003</v>
      </c>
      <c r="D15" s="17">
        <f>9936.3549</f>
        <v>9936.3549000000003</v>
      </c>
      <c r="E15" s="17">
        <v>9936.6730176579622</v>
      </c>
      <c r="F15" s="18">
        <f t="shared" si="0"/>
        <v>4.5499922306409512E-4</v>
      </c>
      <c r="G15" s="18">
        <f t="shared" si="0"/>
        <v>5.4200284796313925E-4</v>
      </c>
      <c r="H15" s="18">
        <f t="shared" si="1"/>
        <v>5.7399999999987355E-4</v>
      </c>
      <c r="I15" s="19"/>
    </row>
    <row r="16" spans="1:9" x14ac:dyDescent="0.35">
      <c r="A16" s="13">
        <v>29</v>
      </c>
      <c r="B16" s="16"/>
      <c r="C16" s="17">
        <f>9929.5088</f>
        <v>9929.5087999999996</v>
      </c>
      <c r="D16" s="17">
        <f>9930.6613</f>
        <v>9930.6612999999998</v>
      </c>
      <c r="E16" s="17">
        <v>9930.9693673458278</v>
      </c>
      <c r="F16" s="18">
        <f t="shared" si="0"/>
        <v>4.649978254713642E-4</v>
      </c>
      <c r="G16" s="18">
        <f t="shared" si="0"/>
        <v>5.4899615670427721E-4</v>
      </c>
      <c r="H16" s="18">
        <f t="shared" si="1"/>
        <v>5.7999999999993387E-4</v>
      </c>
      <c r="I16" s="19"/>
    </row>
    <row r="17" spans="1:9" x14ac:dyDescent="0.35">
      <c r="A17" s="13">
        <v>30</v>
      </c>
      <c r="B17" s="16"/>
      <c r="C17" s="17">
        <f>9923.7497</f>
        <v>9923.7497000000003</v>
      </c>
      <c r="D17" s="17">
        <f>9924.8916</f>
        <v>9924.8916000000008</v>
      </c>
      <c r="E17" s="17">
        <v>9925.2094051127679</v>
      </c>
      <c r="F17" s="18">
        <f t="shared" si="0"/>
        <v>4.7599951054795977E-4</v>
      </c>
      <c r="G17" s="18">
        <f t="shared" si="0"/>
        <v>5.5799787639493077E-4</v>
      </c>
      <c r="H17" s="18">
        <f t="shared" si="1"/>
        <v>5.9000000000003754E-4</v>
      </c>
      <c r="I17" s="19"/>
    </row>
    <row r="18" spans="1:9" x14ac:dyDescent="0.35">
      <c r="A18" s="13">
        <v>31</v>
      </c>
      <c r="B18" s="16"/>
      <c r="C18" s="17">
        <f>9917.9145</f>
        <v>9917.9145000000008</v>
      </c>
      <c r="D18" s="17">
        <f>9919.026</f>
        <v>9919.0259999999998</v>
      </c>
      <c r="E18" s="17">
        <v>9919.3535315637509</v>
      </c>
      <c r="F18" s="18">
        <f t="shared" si="0"/>
        <v>4.900022076213883E-4</v>
      </c>
      <c r="G18" s="18">
        <f t="shared" si="0"/>
        <v>5.6899934149291212E-4</v>
      </c>
      <c r="H18" s="18">
        <f t="shared" si="1"/>
        <v>6.020000000000812E-4</v>
      </c>
      <c r="I18" s="19"/>
    </row>
    <row r="19" spans="1:9" x14ac:dyDescent="0.35">
      <c r="A19" s="13">
        <v>32</v>
      </c>
      <c r="B19" s="16"/>
      <c r="C19" s="17">
        <f>9911.9538</f>
        <v>9911.9537999999993</v>
      </c>
      <c r="D19" s="17">
        <f>9913.0547</f>
        <v>9913.0547000000006</v>
      </c>
      <c r="E19" s="17">
        <v>9913.3820807377488</v>
      </c>
      <c r="F19" s="18">
        <f t="shared" si="0"/>
        <v>5.0699388853076921E-4</v>
      </c>
      <c r="G19" s="18">
        <f t="shared" si="0"/>
        <v>5.8399516408060926E-4</v>
      </c>
      <c r="H19" s="18">
        <f t="shared" si="1"/>
        <v>6.1699999999995309E-4</v>
      </c>
      <c r="I19" s="19"/>
    </row>
    <row r="20" spans="1:9" x14ac:dyDescent="0.35">
      <c r="A20" s="13">
        <v>33</v>
      </c>
      <c r="B20" s="16"/>
      <c r="C20" s="17">
        <f>9905.8282</f>
        <v>9905.8281999999999</v>
      </c>
      <c r="D20" s="17">
        <f>9906.9285</f>
        <v>9906.9285</v>
      </c>
      <c r="E20" s="17">
        <v>9907.265523993934</v>
      </c>
      <c r="F20" s="18">
        <f t="shared" si="0"/>
        <v>5.2700288099082461E-4</v>
      </c>
      <c r="G20" s="18">
        <f t="shared" si="0"/>
        <v>6.0200261658548864E-4</v>
      </c>
      <c r="H20" s="18">
        <f t="shared" si="1"/>
        <v>6.3599999999992547E-4</v>
      </c>
      <c r="I20" s="19"/>
    </row>
    <row r="21" spans="1:9" x14ac:dyDescent="0.35">
      <c r="A21" s="13">
        <v>34</v>
      </c>
      <c r="B21" s="16"/>
      <c r="C21" s="17">
        <f>9899.4984</f>
        <v>9899.4984000000004</v>
      </c>
      <c r="D21" s="17">
        <f>9900.6078</f>
        <v>9900.6077999999998</v>
      </c>
      <c r="E21" s="17">
        <v>9900.9645031206746</v>
      </c>
      <c r="F21" s="18">
        <f t="shared" si="0"/>
        <v>5.5000766503493991E-4</v>
      </c>
      <c r="G21" s="18">
        <f t="shared" si="0"/>
        <v>6.2399537242399281E-4</v>
      </c>
      <c r="H21" s="18">
        <f t="shared" si="1"/>
        <v>6.6000000000001095E-4</v>
      </c>
      <c r="I21" s="19"/>
    </row>
    <row r="22" spans="1:9" x14ac:dyDescent="0.35">
      <c r="A22" s="13">
        <v>35</v>
      </c>
      <c r="B22" s="16"/>
      <c r="C22" s="17">
        <f>9892.9151</f>
        <v>9892.9151000000002</v>
      </c>
      <c r="D22" s="17">
        <f>9894.0536</f>
        <v>9894.0535999999993</v>
      </c>
      <c r="E22" s="17">
        <v>9894.4298665486149</v>
      </c>
      <c r="F22" s="18">
        <f t="shared" si="0"/>
        <v>5.7699878572706469E-4</v>
      </c>
      <c r="G22" s="18">
        <f t="shared" si="0"/>
        <v>6.5099663796410574E-4</v>
      </c>
      <c r="H22" s="18">
        <f t="shared" si="1"/>
        <v>6.8900000000002672E-4</v>
      </c>
      <c r="I22" s="19"/>
    </row>
    <row r="23" spans="1:9" x14ac:dyDescent="0.35">
      <c r="A23" s="13">
        <v>36</v>
      </c>
      <c r="B23" s="16"/>
      <c r="C23" s="17">
        <f>9886.0395</f>
        <v>9886.0395000000008</v>
      </c>
      <c r="D23" s="17">
        <f>9887.2069</f>
        <v>9887.2068999999992</v>
      </c>
      <c r="E23" s="17">
        <v>9887.6126043705626</v>
      </c>
      <c r="F23" s="18">
        <f t="shared" si="0"/>
        <v>6.0799878454872894E-4</v>
      </c>
      <c r="G23" s="18">
        <f t="shared" si="0"/>
        <v>6.829964441222616E-4</v>
      </c>
      <c r="H23" s="18">
        <f t="shared" si="1"/>
        <v>7.2400000000002031E-4</v>
      </c>
      <c r="I23" s="19"/>
    </row>
    <row r="24" spans="1:9" x14ac:dyDescent="0.35">
      <c r="A24" s="13">
        <v>37</v>
      </c>
      <c r="B24" s="16"/>
      <c r="C24" s="17">
        <f>9878.8128</f>
        <v>9878.8127999999997</v>
      </c>
      <c r="D24" s="17">
        <f>9880.0288</f>
        <v>9880.0288</v>
      </c>
      <c r="E24" s="17">
        <v>9880.4539728449981</v>
      </c>
      <c r="F24" s="18">
        <f t="shared" si="0"/>
        <v>6.4400451033945808E-4</v>
      </c>
      <c r="G24" s="18">
        <f t="shared" si="0"/>
        <v>7.2199935735299157E-4</v>
      </c>
      <c r="H24" s="18">
        <f t="shared" si="1"/>
        <v>7.6500000000007205E-4</v>
      </c>
      <c r="I24" s="19"/>
    </row>
    <row r="25" spans="1:9" x14ac:dyDescent="0.35">
      <c r="A25" s="13">
        <v>38</v>
      </c>
      <c r="B25" s="16"/>
      <c r="C25" s="17">
        <f>9871.1665</f>
        <v>9871.1664999999994</v>
      </c>
      <c r="D25" s="17">
        <f>9872.4508</f>
        <v>9872.4508000000005</v>
      </c>
      <c r="E25" s="17">
        <v>9872.895425555771</v>
      </c>
      <c r="F25" s="18">
        <f t="shared" si="0"/>
        <v>6.8500516124413678E-4</v>
      </c>
      <c r="G25" s="18">
        <f t="shared" si="0"/>
        <v>7.6799961618503171E-4</v>
      </c>
      <c r="H25" s="18">
        <f t="shared" si="1"/>
        <v>8.1299999999992305E-4</v>
      </c>
      <c r="I25" s="19"/>
    </row>
    <row r="26" spans="1:9" x14ac:dyDescent="0.35">
      <c r="A26" s="13">
        <v>39</v>
      </c>
      <c r="B26" s="16"/>
      <c r="C26" s="17">
        <f>9863.0227</f>
        <v>9863.0226999999995</v>
      </c>
      <c r="D26" s="17">
        <f>9864.4047</f>
        <v>9864.4046999999991</v>
      </c>
      <c r="E26" s="17">
        <v>9864.8687615747949</v>
      </c>
      <c r="F26" s="18">
        <f t="shared" si="0"/>
        <v>7.3300044214627579E-4</v>
      </c>
      <c r="G26" s="18">
        <f t="shared" si="0"/>
        <v>8.2299687560214731E-4</v>
      </c>
      <c r="H26" s="18">
        <f t="shared" si="1"/>
        <v>8.7000000000008544E-4</v>
      </c>
      <c r="I26" s="19"/>
    </row>
    <row r="27" spans="1:9" x14ac:dyDescent="0.35">
      <c r="A27" s="13">
        <v>40</v>
      </c>
      <c r="B27" s="16"/>
      <c r="C27" s="17">
        <f>9854.3036</f>
        <v>9854.3035999999993</v>
      </c>
      <c r="D27" s="17">
        <f>9855.7931</f>
        <v>9855.7931000000008</v>
      </c>
      <c r="E27" s="17">
        <v>9856.286325752224</v>
      </c>
      <c r="F27" s="18">
        <f t="shared" si="0"/>
        <v>7.8800088927641961E-4</v>
      </c>
      <c r="G27" s="18">
        <f t="shared" si="0"/>
        <v>8.8700264365385105E-4</v>
      </c>
      <c r="H27" s="18">
        <f t="shared" si="1"/>
        <v>9.3699999999987576E-4</v>
      </c>
      <c r="I27" s="19"/>
    </row>
    <row r="28" spans="1:9" x14ac:dyDescent="0.35">
      <c r="A28" s="13">
        <v>41</v>
      </c>
      <c r="B28" s="16"/>
      <c r="C28" s="17">
        <f>9844.9025</f>
        <v>9844.9025000000001</v>
      </c>
      <c r="D28" s="17">
        <f>9846.5384</f>
        <v>9846.5383999999995</v>
      </c>
      <c r="E28" s="17">
        <v>9847.0509854649954</v>
      </c>
      <c r="F28" s="18">
        <f t="shared" si="0"/>
        <v>8.5099877830182788E-4</v>
      </c>
      <c r="G28" s="18">
        <f t="shared" si="0"/>
        <v>9.619953581112634E-4</v>
      </c>
      <c r="H28" s="18">
        <f t="shared" si="1"/>
        <v>1.0139999999998718E-3</v>
      </c>
      <c r="I28" s="19"/>
    </row>
    <row r="29" spans="1:9" x14ac:dyDescent="0.35">
      <c r="A29" s="13">
        <v>42</v>
      </c>
      <c r="B29" s="16"/>
      <c r="C29" s="17">
        <f>9834.703</f>
        <v>9834.7029999999995</v>
      </c>
      <c r="D29" s="17">
        <f>9836.5245</f>
        <v>9836.5244999999995</v>
      </c>
      <c r="E29" s="17">
        <v>9837.0660757657351</v>
      </c>
      <c r="F29" s="18">
        <f t="shared" si="0"/>
        <v>9.2200038984403614E-4</v>
      </c>
      <c r="G29" s="18">
        <f t="shared" si="0"/>
        <v>1.0490031496297235E-3</v>
      </c>
      <c r="H29" s="18">
        <f t="shared" si="1"/>
        <v>1.1040000000000186E-3</v>
      </c>
      <c r="I29" s="19"/>
    </row>
    <row r="30" spans="1:9" x14ac:dyDescent="0.35">
      <c r="A30" s="13">
        <v>43</v>
      </c>
      <c r="B30" s="16"/>
      <c r="C30" s="17">
        <f>9823.5994</f>
        <v>9823.5993999999992</v>
      </c>
      <c r="D30" s="17">
        <f>9825.6354</f>
        <v>9825.6353999999992</v>
      </c>
      <c r="E30" s="17">
        <v>9826.2059548180896</v>
      </c>
      <c r="F30" s="18">
        <f t="shared" si="0"/>
        <v>1.0030030336943962E-3</v>
      </c>
      <c r="G30" s="18">
        <f t="shared" si="0"/>
        <v>1.1500021642700986E-3</v>
      </c>
      <c r="H30" s="18">
        <f t="shared" si="1"/>
        <v>1.2079999999999012E-3</v>
      </c>
      <c r="I30" s="19"/>
    </row>
    <row r="31" spans="1:9" x14ac:dyDescent="0.35">
      <c r="A31" s="13">
        <v>44</v>
      </c>
      <c r="B31" s="16"/>
      <c r="C31" s="17">
        <f>9811.4473</f>
        <v>9811.4472999999998</v>
      </c>
      <c r="D31" s="17">
        <f>9813.7463</f>
        <v>9813.7463000000007</v>
      </c>
      <c r="E31" s="17">
        <v>9814.3358980246703</v>
      </c>
      <c r="F31" s="18">
        <f t="shared" si="0"/>
        <v>1.0960054792323658E-3</v>
      </c>
      <c r="G31" s="18">
        <f t="shared" si="0"/>
        <v>1.2670009323564146E-3</v>
      </c>
      <c r="H31" s="18">
        <f t="shared" si="1"/>
        <v>1.3270000000000194E-3</v>
      </c>
      <c r="I31" s="19"/>
    </row>
    <row r="32" spans="1:9" x14ac:dyDescent="0.35">
      <c r="A32" s="13">
        <v>45</v>
      </c>
      <c r="B32" s="16"/>
      <c r="C32" s="17">
        <f>9798.0837</f>
        <v>9798.0836999999992</v>
      </c>
      <c r="D32" s="17">
        <f>9800.6939</f>
        <v>9800.6939000000002</v>
      </c>
      <c r="E32" s="17">
        <v>9801.3122742879914</v>
      </c>
      <c r="F32" s="18">
        <f t="shared" si="0"/>
        <v>1.2010001506723123E-3</v>
      </c>
      <c r="G32" s="18">
        <f t="shared" si="0"/>
        <v>1.4019974844679485E-3</v>
      </c>
      <c r="H32" s="18">
        <f t="shared" si="1"/>
        <v>1.4649999999999626E-3</v>
      </c>
      <c r="I32" s="19"/>
    </row>
    <row r="33" spans="1:9" x14ac:dyDescent="0.35">
      <c r="A33" s="13">
        <v>46</v>
      </c>
      <c r="B33" s="16"/>
      <c r="C33" s="17">
        <f>9783.3371</f>
        <v>9783.3371000000006</v>
      </c>
      <c r="D33" s="17">
        <f>9786.3162</f>
        <v>9786.3161999999993</v>
      </c>
      <c r="E33" s="17">
        <v>9786.9533518061598</v>
      </c>
      <c r="F33" s="18">
        <f t="shared" si="0"/>
        <v>1.3199994917890204E-3</v>
      </c>
      <c r="G33" s="18">
        <f t="shared" si="0"/>
        <v>1.5569992036911344E-3</v>
      </c>
      <c r="H33" s="18">
        <f t="shared" si="1"/>
        <v>1.6220000000000613E-3</v>
      </c>
      <c r="I33" s="19"/>
    </row>
    <row r="34" spans="1:9" x14ac:dyDescent="0.35">
      <c r="A34" s="13">
        <v>47</v>
      </c>
      <c r="B34" s="16"/>
      <c r="C34" s="17">
        <f>9766.9983</f>
        <v>9766.9982999999993</v>
      </c>
      <c r="D34" s="17">
        <f>9770.4231</f>
        <v>9770.4231</v>
      </c>
      <c r="E34" s="17">
        <v>9771.0789134695297</v>
      </c>
      <c r="F34" s="18">
        <f t="shared" si="0"/>
        <v>1.4549915504746263E-3</v>
      </c>
      <c r="G34" s="18">
        <f t="shared" si="0"/>
        <v>1.7349986340450261E-3</v>
      </c>
      <c r="H34" s="18">
        <f t="shared" si="1"/>
        <v>1.8019999999999542E-3</v>
      </c>
      <c r="I34" s="19"/>
    </row>
    <row r="35" spans="1:9" x14ac:dyDescent="0.35">
      <c r="A35" s="13">
        <v>48</v>
      </c>
      <c r="B35" s="16"/>
      <c r="C35" s="17">
        <f>9748.8603</f>
        <v>9748.8603000000003</v>
      </c>
      <c r="D35" s="17">
        <f>9752.7874</f>
        <v>9752.7873999999993</v>
      </c>
      <c r="E35" s="17">
        <v>9753.471429267458</v>
      </c>
      <c r="F35" s="18">
        <f t="shared" si="0"/>
        <v>1.607008359736284E-3</v>
      </c>
      <c r="G35" s="18">
        <f t="shared" si="0"/>
        <v>1.9380040379543097E-3</v>
      </c>
      <c r="H35" s="18">
        <f t="shared" si="1"/>
        <v>2.0079999999999599E-3</v>
      </c>
      <c r="I35" s="19"/>
    </row>
    <row r="36" spans="1:9" x14ac:dyDescent="0.35">
      <c r="A36" s="13">
        <v>49</v>
      </c>
      <c r="B36" s="16"/>
      <c r="C36" s="17">
        <f>9728.6499</f>
        <v>9728.6499000000003</v>
      </c>
      <c r="D36" s="17">
        <f>9733.1938</f>
        <v>9733.1937999999991</v>
      </c>
      <c r="E36" s="17">
        <v>9733.8864586374893</v>
      </c>
      <c r="F36" s="18">
        <f t="shared" ref="F36:G67" si="2">(C36-D37)/C36</f>
        <v>1.7779959375453095E-3</v>
      </c>
      <c r="G36" s="18">
        <f t="shared" si="2"/>
        <v>2.1699949009869116E-3</v>
      </c>
      <c r="H36" s="18">
        <f t="shared" si="1"/>
        <v>2.2410000000001075E-3</v>
      </c>
      <c r="I36" s="19"/>
    </row>
    <row r="37" spans="1:9" x14ac:dyDescent="0.35">
      <c r="A37" s="13">
        <v>50</v>
      </c>
      <c r="B37" s="16"/>
      <c r="C37" s="17">
        <f>9706.0977</f>
        <v>9706.0977000000003</v>
      </c>
      <c r="D37" s="17">
        <f>9711.3524</f>
        <v>9711.3523999999998</v>
      </c>
      <c r="E37" s="17">
        <v>9712.0728190836817</v>
      </c>
      <c r="F37" s="18">
        <f t="shared" si="2"/>
        <v>1.9710083899115109E-3</v>
      </c>
      <c r="G37" s="18">
        <f t="shared" si="2"/>
        <v>2.434002863141761E-3</v>
      </c>
      <c r="H37" s="18">
        <f t="shared" si="1"/>
        <v>2.5079999999998615E-3</v>
      </c>
      <c r="I37" s="19"/>
    </row>
    <row r="38" spans="1:9" x14ac:dyDescent="0.35">
      <c r="A38" s="13">
        <v>51</v>
      </c>
      <c r="B38" s="16"/>
      <c r="C38" s="17">
        <f>9680.899</f>
        <v>9680.8989999999994</v>
      </c>
      <c r="D38" s="17">
        <f>9686.9669</f>
        <v>9686.9668999999994</v>
      </c>
      <c r="E38" s="17">
        <v>9687.7149404534211</v>
      </c>
      <c r="F38" s="18">
        <f t="shared" si="2"/>
        <v>2.1890012487475593E-3</v>
      </c>
      <c r="G38" s="18">
        <f t="shared" si="2"/>
        <v>2.7319955861841161E-3</v>
      </c>
      <c r="H38" s="18">
        <f t="shared" si="1"/>
        <v>2.8089999999999665E-3</v>
      </c>
      <c r="I38" s="19"/>
    </row>
    <row r="39" spans="1:9" x14ac:dyDescent="0.35">
      <c r="A39" s="13">
        <v>52</v>
      </c>
      <c r="B39" s="16"/>
      <c r="C39" s="17">
        <f>9652.6965</f>
        <v>9652.6965</v>
      </c>
      <c r="D39" s="17">
        <f>9659.7075</f>
        <v>9659.7075000000004</v>
      </c>
      <c r="E39" s="17">
        <v>9660.5021491856878</v>
      </c>
      <c r="F39" s="18">
        <f t="shared" si="2"/>
        <v>2.4329989034670863E-3</v>
      </c>
      <c r="G39" s="18">
        <f t="shared" si="2"/>
        <v>3.069994985722471E-3</v>
      </c>
      <c r="H39" s="18">
        <f t="shared" si="1"/>
        <v>3.1519999999999829E-3</v>
      </c>
      <c r="I39" s="19"/>
    </row>
    <row r="40" spans="1:9" x14ac:dyDescent="0.35">
      <c r="A40" s="13">
        <v>53</v>
      </c>
      <c r="B40" s="16"/>
      <c r="C40" s="17">
        <f>9621.1006</f>
        <v>9621.1005999999998</v>
      </c>
      <c r="D40" s="17">
        <f>9629.2115</f>
        <v>9629.2114999999994</v>
      </c>
      <c r="E40" s="17">
        <v>9630.0522464114547</v>
      </c>
      <c r="F40" s="18">
        <f t="shared" si="2"/>
        <v>2.7069979914771461E-3</v>
      </c>
      <c r="G40" s="18">
        <f t="shared" si="2"/>
        <v>3.4519969250435467E-3</v>
      </c>
      <c r="H40" s="18">
        <f t="shared" si="1"/>
        <v>3.5389999999999042E-3</v>
      </c>
      <c r="I40" s="19"/>
    </row>
    <row r="41" spans="1:9" x14ac:dyDescent="0.35">
      <c r="A41" s="13">
        <v>54</v>
      </c>
      <c r="B41" s="16"/>
      <c r="C41" s="17">
        <f>9585.6916</f>
        <v>9585.6916000000001</v>
      </c>
      <c r="D41" s="17">
        <f>9595.0563</f>
        <v>9595.0563000000002</v>
      </c>
      <c r="E41" s="17">
        <v>9595.9714915114055</v>
      </c>
      <c r="F41" s="18">
        <f t="shared" si="2"/>
        <v>3.0140026620509384E-3</v>
      </c>
      <c r="G41" s="18">
        <f t="shared" si="2"/>
        <v>3.8809976694815468E-3</v>
      </c>
      <c r="H41" s="18">
        <f t="shared" si="1"/>
        <v>3.9760000000000177E-3</v>
      </c>
      <c r="I41" s="19"/>
    </row>
    <row r="42" spans="1:9" x14ac:dyDescent="0.35">
      <c r="A42" s="13">
        <v>55</v>
      </c>
      <c r="B42" s="16"/>
      <c r="C42" s="17">
        <f>9545.9929</f>
        <v>9545.9928999999993</v>
      </c>
      <c r="D42" s="17">
        <f>9556.8003</f>
        <v>9556.8003000000008</v>
      </c>
      <c r="E42" s="17">
        <v>9557.817908861156</v>
      </c>
      <c r="F42" s="18">
        <f t="shared" si="2"/>
        <v>3.3579953741636748E-3</v>
      </c>
      <c r="G42" s="18">
        <f t="shared" si="2"/>
        <v>4.3629957794080534E-3</v>
      </c>
      <c r="H42" s="18">
        <f t="shared" si="1"/>
        <v>4.4690000000000294E-3</v>
      </c>
      <c r="I42" s="19"/>
    </row>
    <row r="43" spans="1:9" x14ac:dyDescent="0.35">
      <c r="A43" s="13">
        <v>56</v>
      </c>
      <c r="B43" s="16"/>
      <c r="C43" s="17">
        <f>9501.4839</f>
        <v>9501.4838999999993</v>
      </c>
      <c r="D43" s="17">
        <f>9513.9375</f>
        <v>9513.9375</v>
      </c>
      <c r="E43" s="17">
        <v>9515.1040206264552</v>
      </c>
      <c r="F43" s="18">
        <f t="shared" si="2"/>
        <v>3.7420049725074506E-3</v>
      </c>
      <c r="G43" s="18">
        <f t="shared" si="2"/>
        <v>4.9030043635657347E-3</v>
      </c>
      <c r="H43" s="18">
        <f t="shared" si="1"/>
        <v>5.0249999999998846E-3</v>
      </c>
      <c r="I43" s="19"/>
    </row>
    <row r="44" spans="1:9" x14ac:dyDescent="0.35">
      <c r="A44" s="13">
        <v>57</v>
      </c>
      <c r="B44" s="16"/>
      <c r="C44" s="17">
        <f>9451.5938</f>
        <v>9451.5938000000006</v>
      </c>
      <c r="D44" s="17">
        <f>9465.9293</f>
        <v>9465.9292999999998</v>
      </c>
      <c r="E44" s="17">
        <v>9467.2906229228083</v>
      </c>
      <c r="F44" s="18">
        <f t="shared" si="2"/>
        <v>4.1710002391342586E-3</v>
      </c>
      <c r="G44" s="18">
        <f t="shared" si="2"/>
        <v>5.5069996240839107E-3</v>
      </c>
      <c r="H44" s="18">
        <f t="shared" si="1"/>
        <v>5.6499999999999519E-3</v>
      </c>
      <c r="I44" s="19"/>
    </row>
    <row r="45" spans="1:9" x14ac:dyDescent="0.35">
      <c r="A45" s="13">
        <v>58</v>
      </c>
      <c r="B45" s="16"/>
      <c r="C45" s="17">
        <f>9395.6971</f>
        <v>9395.6970999999994</v>
      </c>
      <c r="D45" s="17">
        <f>9412.1712</f>
        <v>9412.1712000000007</v>
      </c>
      <c r="E45" s="17">
        <v>9413.8004309032949</v>
      </c>
      <c r="F45" s="18">
        <f t="shared" si="2"/>
        <v>4.6490004451079725E-3</v>
      </c>
      <c r="G45" s="18">
        <f t="shared" si="2"/>
        <v>6.1800012130892911E-3</v>
      </c>
      <c r="H45" s="18">
        <f t="shared" si="1"/>
        <v>6.3520000000000633E-3</v>
      </c>
      <c r="I45" s="19"/>
    </row>
    <row r="46" spans="1:9" x14ac:dyDescent="0.35">
      <c r="A46" s="13">
        <v>59</v>
      </c>
      <c r="B46" s="16"/>
      <c r="C46" s="17">
        <f>9333.1284</f>
        <v>9333.1283999999996</v>
      </c>
      <c r="D46" s="17">
        <f>9352.0165</f>
        <v>9352.0164999999997</v>
      </c>
      <c r="E46" s="17">
        <v>9354.0039705661966</v>
      </c>
      <c r="F46" s="18">
        <f t="shared" si="2"/>
        <v>5.1820030676958517E-3</v>
      </c>
      <c r="G46" s="18">
        <f t="shared" si="2"/>
        <v>6.9289995140242519E-3</v>
      </c>
      <c r="H46" s="18">
        <f t="shared" si="1"/>
        <v>7.1400000000001072E-3</v>
      </c>
      <c r="I46" s="19"/>
    </row>
    <row r="47" spans="1:9" x14ac:dyDescent="0.35">
      <c r="A47" s="13">
        <v>60</v>
      </c>
      <c r="B47" s="16"/>
      <c r="C47" s="17">
        <f>9263.1422</f>
        <v>9263.1422000000002</v>
      </c>
      <c r="D47" s="17">
        <f>9284.7641</f>
        <v>9284.7641000000003</v>
      </c>
      <c r="E47" s="17">
        <v>9287.2163822163529</v>
      </c>
      <c r="F47" s="18">
        <f t="shared" si="2"/>
        <v>5.7740018284507793E-3</v>
      </c>
      <c r="G47" s="18">
        <f t="shared" si="2"/>
        <v>7.759999804603286E-3</v>
      </c>
      <c r="H47" s="18">
        <f t="shared" si="1"/>
        <v>8.022000000000069E-3</v>
      </c>
      <c r="I47" s="19"/>
    </row>
    <row r="48" spans="1:9" x14ac:dyDescent="0.35">
      <c r="A48" s="13">
        <v>61</v>
      </c>
      <c r="B48" s="16"/>
      <c r="C48" s="17">
        <f>9184.9687</f>
        <v>9184.9686999999994</v>
      </c>
      <c r="D48" s="17">
        <f>9209.6568</f>
        <v>9209.6568000000007</v>
      </c>
      <c r="E48" s="17">
        <v>9212.7143323982127</v>
      </c>
      <c r="F48" s="18">
        <f t="shared" si="2"/>
        <v>6.4329996029273617E-3</v>
      </c>
      <c r="G48" s="18">
        <f t="shared" si="2"/>
        <v>8.6799989140056398E-3</v>
      </c>
      <c r="H48" s="18">
        <f t="shared" si="1"/>
        <v>9.0090000000001332E-3</v>
      </c>
      <c r="I48" s="19"/>
    </row>
    <row r="49" spans="1:9" x14ac:dyDescent="0.35">
      <c r="A49" s="13">
        <v>62</v>
      </c>
      <c r="B49" s="16"/>
      <c r="C49" s="17">
        <f>9097.7405</f>
        <v>9097.7404999999999</v>
      </c>
      <c r="D49" s="17">
        <f>9125.8818</f>
        <v>9125.8817999999992</v>
      </c>
      <c r="E49" s="17">
        <v>9129.716988977636</v>
      </c>
      <c r="F49" s="18">
        <f t="shared" si="2"/>
        <v>7.1640095691890941E-3</v>
      </c>
      <c r="G49" s="18">
        <f t="shared" si="2"/>
        <v>9.6959955381960353E-3</v>
      </c>
      <c r="H49" s="18">
        <f t="shared" si="1"/>
        <v>1.0111999999999927E-2</v>
      </c>
      <c r="I49" s="19"/>
    </row>
    <row r="50" spans="1:9" x14ac:dyDescent="0.35">
      <c r="A50" s="13">
        <v>63</v>
      </c>
      <c r="B50" s="16"/>
      <c r="C50" s="17">
        <f>9000.5884</f>
        <v>9000.5884000000005</v>
      </c>
      <c r="D50" s="17">
        <f>9032.5642</f>
        <v>9032.5642000000007</v>
      </c>
      <c r="E50" s="17">
        <v>9037.3972907850948</v>
      </c>
      <c r="F50" s="18">
        <f t="shared" si="2"/>
        <v>7.9740008997635017E-3</v>
      </c>
      <c r="G50" s="18">
        <f t="shared" si="2"/>
        <v>1.0814995821626389E-2</v>
      </c>
      <c r="H50" s="18">
        <f t="shared" si="1"/>
        <v>1.134400000000001E-2</v>
      </c>
      <c r="I50" s="19"/>
    </row>
    <row r="51" spans="1:9" x14ac:dyDescent="0.35">
      <c r="A51" s="13">
        <v>64</v>
      </c>
      <c r="B51" s="16"/>
      <c r="C51" s="17">
        <f>8892.5741</f>
        <v>8892.5740999999998</v>
      </c>
      <c r="D51" s="17">
        <f>8928.8177</f>
        <v>8928.8176999999996</v>
      </c>
      <c r="E51" s="17">
        <v>8934.8770559184286</v>
      </c>
      <c r="F51" s="18">
        <f t="shared" si="2"/>
        <v>8.8709972065344304E-3</v>
      </c>
      <c r="G51" s="18">
        <f t="shared" si="2"/>
        <v>1.2046000303559628E-2</v>
      </c>
      <c r="H51" s="18">
        <f t="shared" si="1"/>
        <v>1.271599999999987E-2</v>
      </c>
      <c r="I51" s="19"/>
    </row>
    <row r="52" spans="1:9" x14ac:dyDescent="0.35">
      <c r="A52" s="13">
        <v>65</v>
      </c>
      <c r="B52" s="16"/>
      <c r="C52" s="17">
        <f>8772.7359</f>
        <v>8772.7358999999997</v>
      </c>
      <c r="D52" s="17">
        <f>8813.6881</f>
        <v>8813.6880999999994</v>
      </c>
      <c r="E52" s="17">
        <v>8821.261159275371</v>
      </c>
      <c r="F52" s="18">
        <f t="shared" si="2"/>
        <v>9.864003771046995E-3</v>
      </c>
      <c r="G52" s="18">
        <f t="shared" si="2"/>
        <v>1.3395999730939915E-2</v>
      </c>
      <c r="H52" s="18">
        <f t="shared" si="1"/>
        <v>1.4243000000000096E-2</v>
      </c>
      <c r="I52" s="19"/>
    </row>
    <row r="53" spans="1:9" x14ac:dyDescent="0.35">
      <c r="A53" s="13">
        <v>66</v>
      </c>
      <c r="B53" s="16"/>
      <c r="C53" s="17">
        <f>8640.0481</f>
        <v>8640.0481</v>
      </c>
      <c r="D53" s="17">
        <f>8686.2016</f>
        <v>8686.2016000000003</v>
      </c>
      <c r="E53" s="17">
        <v>8695.6199365838111</v>
      </c>
      <c r="F53" s="18">
        <f t="shared" si="2"/>
        <v>1.0959996854647188E-2</v>
      </c>
      <c r="G53" s="18">
        <f t="shared" si="2"/>
        <v>1.4872996409078921E-2</v>
      </c>
      <c r="H53" s="18">
        <f t="shared" si="1"/>
        <v>1.5940000000000044E-2</v>
      </c>
      <c r="I53" s="19"/>
    </row>
    <row r="54" spans="1:9" x14ac:dyDescent="0.35">
      <c r="A54" s="13">
        <v>67</v>
      </c>
      <c r="B54" s="16"/>
      <c r="C54" s="17">
        <f>8493.5187</f>
        <v>8493.5187000000005</v>
      </c>
      <c r="D54" s="17">
        <f>8545.3532</f>
        <v>8545.3531999999996</v>
      </c>
      <c r="E54" s="17">
        <v>8557.0117547946647</v>
      </c>
      <c r="F54" s="18">
        <f t="shared" si="2"/>
        <v>1.2168996578532426E-2</v>
      </c>
      <c r="G54" s="18">
        <f t="shared" si="2"/>
        <v>1.6484002407623596E-2</v>
      </c>
      <c r="H54" s="18">
        <f t="shared" si="1"/>
        <v>1.7823999999999889E-2</v>
      </c>
      <c r="I54" s="19"/>
    </row>
    <row r="55" spans="1:9" x14ac:dyDescent="0.35">
      <c r="A55" s="13">
        <v>68</v>
      </c>
      <c r="B55" s="16"/>
      <c r="C55" s="17">
        <f>8332.1396</f>
        <v>8332.1396000000004</v>
      </c>
      <c r="D55" s="17">
        <f>8390.1611</f>
        <v>8390.1610999999994</v>
      </c>
      <c r="E55" s="17">
        <v>8404.4915772772056</v>
      </c>
      <c r="F55" s="18">
        <f t="shared" si="2"/>
        <v>1.3502006135375026E-2</v>
      </c>
      <c r="G55" s="18">
        <f t="shared" si="2"/>
        <v>1.823900181143295E-2</v>
      </c>
      <c r="H55" s="18">
        <f t="shared" si="1"/>
        <v>1.9912999999999938E-2</v>
      </c>
      <c r="I55" s="19"/>
    </row>
    <row r="56" spans="1:9" x14ac:dyDescent="0.35">
      <c r="A56" s="13">
        <v>69</v>
      </c>
      <c r="B56" s="16"/>
      <c r="C56" s="17">
        <f>8154.9318</f>
        <v>8154.9318000000003</v>
      </c>
      <c r="D56" s="17">
        <f>8219.639</f>
        <v>8219.6389999999992</v>
      </c>
      <c r="E56" s="17">
        <v>8237.1329364988851</v>
      </c>
      <c r="F56" s="18">
        <f t="shared" si="2"/>
        <v>1.4969003174250987E-2</v>
      </c>
      <c r="G56" s="18">
        <f t="shared" si="2"/>
        <v>2.0144994220273917E-2</v>
      </c>
      <c r="H56" s="18">
        <f t="shared" si="1"/>
        <v>2.2225999999999965E-2</v>
      </c>
      <c r="I56" s="19"/>
    </row>
    <row r="57" spans="1:9" x14ac:dyDescent="0.35">
      <c r="A57" s="13">
        <v>70</v>
      </c>
      <c r="B57" s="16"/>
      <c r="C57" s="17">
        <f>7960.9776</f>
        <v>7960.9776000000002</v>
      </c>
      <c r="D57" s="17">
        <f>8032.8606</f>
        <v>8032.8606</v>
      </c>
      <c r="E57" s="17">
        <v>8054.0544198522612</v>
      </c>
      <c r="F57" s="18">
        <f t="shared" si="2"/>
        <v>1.6582008722144881E-2</v>
      </c>
      <c r="G57" s="18">
        <f t="shared" si="2"/>
        <v>2.220999712542468E-2</v>
      </c>
      <c r="H57" s="18">
        <f t="shared" si="1"/>
        <v>2.4782999999999972E-2</v>
      </c>
      <c r="I57" s="19"/>
    </row>
    <row r="58" spans="1:9" x14ac:dyDescent="0.35">
      <c r="A58" s="13">
        <v>71</v>
      </c>
      <c r="B58" s="16"/>
      <c r="C58" s="17">
        <f>7749.4659</f>
        <v>7749.4659000000001</v>
      </c>
      <c r="D58" s="17">
        <f>7828.9686</f>
        <v>7828.9686000000002</v>
      </c>
      <c r="E58" s="17">
        <v>7854.4507891650628</v>
      </c>
      <c r="F58" s="18">
        <f t="shared" si="2"/>
        <v>1.8352993849550376E-2</v>
      </c>
      <c r="G58" s="18">
        <f t="shared" si="2"/>
        <v>2.4440994605678765E-2</v>
      </c>
      <c r="H58" s="18">
        <f t="shared" si="1"/>
        <v>2.7606000000000047E-2</v>
      </c>
      <c r="I58" s="19"/>
    </row>
    <row r="59" spans="1:9" x14ac:dyDescent="0.35">
      <c r="A59" s="13">
        <v>72</v>
      </c>
      <c r="B59" s="16"/>
      <c r="C59" s="17">
        <f>7519.7027</f>
        <v>7519.7026999999998</v>
      </c>
      <c r="D59" s="17">
        <f>7607.24</f>
        <v>7607.24</v>
      </c>
      <c r="E59" s="17">
        <v>7637.6208206793717</v>
      </c>
      <c r="F59" s="18">
        <f t="shared" si="2"/>
        <v>2.0296001861882077E-2</v>
      </c>
      <c r="G59" s="18">
        <f t="shared" si="2"/>
        <v>2.6847005706439796E-2</v>
      </c>
      <c r="H59" s="18">
        <f t="shared" si="1"/>
        <v>3.0718000000000006E-2</v>
      </c>
      <c r="I59" s="19"/>
    </row>
    <row r="60" spans="1:9" x14ac:dyDescent="0.35">
      <c r="A60" s="13">
        <v>73</v>
      </c>
      <c r="B60" s="16"/>
      <c r="C60" s="17">
        <f>7271.1461</f>
        <v>7271.1460999999999</v>
      </c>
      <c r="D60" s="17">
        <f>7367.0828</f>
        <v>7367.0828000000001</v>
      </c>
      <c r="E60" s="17">
        <v>7403.0083843097427</v>
      </c>
      <c r="F60" s="18">
        <f t="shared" si="2"/>
        <v>2.242299876218963E-2</v>
      </c>
      <c r="G60" s="18">
        <f t="shared" si="2"/>
        <v>2.9434002555818888E-2</v>
      </c>
      <c r="H60" s="18">
        <f t="shared" si="1"/>
        <v>3.4144000000000015E-2</v>
      </c>
      <c r="I60" s="19"/>
    </row>
    <row r="61" spans="1:9" x14ac:dyDescent="0.35">
      <c r="A61" s="13">
        <v>74</v>
      </c>
      <c r="B61" s="16"/>
      <c r="C61" s="17">
        <f>7003.5216</f>
        <v>7003.5216</v>
      </c>
      <c r="D61" s="17">
        <f>7108.1052</f>
        <v>7108.1052</v>
      </c>
      <c r="E61" s="17">
        <v>7150.2400660358708</v>
      </c>
      <c r="F61" s="18">
        <f t="shared" si="2"/>
        <v>2.4750005768526498E-2</v>
      </c>
      <c r="G61" s="18">
        <f t="shared" si="2"/>
        <v>3.2208004618110513E-2</v>
      </c>
      <c r="H61" s="18">
        <f t="shared" si="1"/>
        <v>3.7911000000000035E-2</v>
      </c>
      <c r="I61" s="19"/>
    </row>
    <row r="62" spans="1:9" x14ac:dyDescent="0.35">
      <c r="A62" s="13">
        <v>75</v>
      </c>
      <c r="B62" s="16"/>
      <c r="C62" s="17">
        <f>6716.8231</f>
        <v>6716.8230999999996</v>
      </c>
      <c r="D62" s="17">
        <f>6830.1844</f>
        <v>6830.1844000000001</v>
      </c>
      <c r="E62" s="17">
        <v>6879.1673148923846</v>
      </c>
      <c r="F62" s="18">
        <f t="shared" si="2"/>
        <v>2.7293007016963099E-2</v>
      </c>
      <c r="G62" s="18">
        <f t="shared" si="2"/>
        <v>3.5175998180895438E-2</v>
      </c>
      <c r="H62" s="18">
        <f t="shared" si="1"/>
        <v>4.2045999999999965E-2</v>
      </c>
      <c r="I62" s="19"/>
    </row>
    <row r="63" spans="1:9" x14ac:dyDescent="0.35">
      <c r="A63" s="13">
        <v>76</v>
      </c>
      <c r="B63" s="16"/>
      <c r="C63" s="17">
        <f>6411.3459</f>
        <v>6411.3459000000003</v>
      </c>
      <c r="D63" s="17">
        <f>6533.5008</f>
        <v>6533.5007999999998</v>
      </c>
      <c r="E63" s="17">
        <v>6589.9258459704197</v>
      </c>
      <c r="F63" s="18">
        <f t="shared" si="2"/>
        <v>3.0067009798987826E-2</v>
      </c>
      <c r="G63" s="18">
        <f t="shared" si="2"/>
        <v>3.83439947054404E-2</v>
      </c>
      <c r="H63" s="18">
        <f t="shared" si="1"/>
        <v>4.6578000000000043E-2</v>
      </c>
      <c r="I63" s="19"/>
    </row>
    <row r="64" spans="1:9" x14ac:dyDescent="0.35">
      <c r="A64" s="13">
        <v>77</v>
      </c>
      <c r="B64" s="16"/>
      <c r="C64" s="17">
        <f>6087.8084</f>
        <v>6087.8083999999999</v>
      </c>
      <c r="D64" s="17">
        <f>6218.5759</f>
        <v>6218.5758999999998</v>
      </c>
      <c r="E64" s="17">
        <v>6282.9802799168092</v>
      </c>
      <c r="F64" s="18">
        <f t="shared" si="2"/>
        <v>3.3090003292482073E-2</v>
      </c>
      <c r="G64" s="18">
        <f t="shared" si="2"/>
        <v>4.1714994223925599E-2</v>
      </c>
      <c r="H64" s="18">
        <f t="shared" si="1"/>
        <v>5.1537999999999966E-2</v>
      </c>
      <c r="I64" s="19"/>
    </row>
    <row r="65" spans="1:9" x14ac:dyDescent="0.35">
      <c r="A65" s="13">
        <v>78</v>
      </c>
      <c r="B65" s="16"/>
      <c r="C65" s="17">
        <f>5747.3624</f>
        <v>5747.3624</v>
      </c>
      <c r="D65" s="17">
        <f>5886.3628</f>
        <v>5886.3627999999999</v>
      </c>
      <c r="E65" s="17">
        <v>5959.1680422504569</v>
      </c>
      <c r="F65" s="18">
        <f t="shared" si="2"/>
        <v>3.6379000565546424E-2</v>
      </c>
      <c r="G65" s="18">
        <f t="shared" si="2"/>
        <v>4.5291998101775137E-2</v>
      </c>
      <c r="H65" s="18">
        <f t="shared" si="1"/>
        <v>5.6955999999999958E-2</v>
      </c>
      <c r="I65" s="19"/>
    </row>
    <row r="66" spans="1:9" x14ac:dyDescent="0.35">
      <c r="A66" s="13">
        <v>79</v>
      </c>
      <c r="B66" s="16"/>
      <c r="C66" s="17">
        <f>5391.64</f>
        <v>5391.64</v>
      </c>
      <c r="D66" s="17">
        <f>5538.2791</f>
        <v>5538.2790999999997</v>
      </c>
      <c r="E66" s="17">
        <v>5619.7576672360401</v>
      </c>
      <c r="F66" s="18">
        <f t="shared" si="2"/>
        <v>3.99540028636928E-2</v>
      </c>
      <c r="G66" s="18">
        <f t="shared" si="2"/>
        <v>4.9079999964264688E-2</v>
      </c>
      <c r="H66" s="18">
        <f t="shared" si="1"/>
        <v>6.2867000000000006E-2</v>
      </c>
      <c r="I66" s="19"/>
    </row>
    <row r="67" spans="1:9" x14ac:dyDescent="0.35">
      <c r="A67" s="13">
        <v>80</v>
      </c>
      <c r="B67" s="16"/>
      <c r="C67" s="17">
        <f>5022.7931</f>
        <v>5022.7930999999999</v>
      </c>
      <c r="D67" s="17">
        <f>5176.2224</f>
        <v>5176.2223999999997</v>
      </c>
      <c r="E67" s="17">
        <v>5266.4603619699119</v>
      </c>
      <c r="F67" s="18">
        <f t="shared" si="2"/>
        <v>4.3833002000420833E-2</v>
      </c>
      <c r="G67" s="18">
        <f t="shared" si="2"/>
        <v>5.3078001535577117E-2</v>
      </c>
      <c r="H67" s="18">
        <f t="shared" si="1"/>
        <v>6.9303000000000017E-2</v>
      </c>
      <c r="I67" s="19"/>
    </row>
    <row r="68" spans="1:9" x14ac:dyDescent="0.35">
      <c r="A68" s="13">
        <v>81</v>
      </c>
      <c r="B68" s="16"/>
      <c r="C68" s="17">
        <f>4643.5129</f>
        <v>4643.5128999999997</v>
      </c>
      <c r="D68" s="17">
        <f>4802.629</f>
        <v>4802.6289999999999</v>
      </c>
      <c r="E68" s="17">
        <v>4901.478859504311</v>
      </c>
      <c r="F68" s="18">
        <f t="shared" ref="F68:G78" si="3">(C68-D69)/C68</f>
        <v>4.8036993716545809E-2</v>
      </c>
      <c r="G68" s="18">
        <f t="shared" si="3"/>
        <v>5.7287993196198969E-2</v>
      </c>
      <c r="H68" s="18">
        <f t="shared" ref="H68:H106" si="4">(E68-E69)/E68</f>
        <v>7.6300000000000007E-2</v>
      </c>
      <c r="I68" s="19"/>
    </row>
    <row r="69" spans="1:9" x14ac:dyDescent="0.35">
      <c r="A69" s="13">
        <v>82</v>
      </c>
      <c r="B69" s="16"/>
      <c r="C69" s="17">
        <f>4257.0056</f>
        <v>4257.0056000000004</v>
      </c>
      <c r="D69" s="17">
        <f>4420.4525</f>
        <v>4420.4525000000003</v>
      </c>
      <c r="E69" s="17">
        <v>4527.4960225241321</v>
      </c>
      <c r="F69" s="18">
        <f t="shared" si="3"/>
        <v>5.2586000826496587E-2</v>
      </c>
      <c r="G69" s="18">
        <f t="shared" si="3"/>
        <v>6.1708999540993965E-2</v>
      </c>
      <c r="H69" s="18">
        <f t="shared" si="4"/>
        <v>8.3893000000000079E-2</v>
      </c>
      <c r="I69" s="19"/>
    </row>
    <row r="70" spans="1:9" x14ac:dyDescent="0.35">
      <c r="A70" s="13">
        <v>83</v>
      </c>
      <c r="B70" s="16"/>
      <c r="C70" s="17">
        <f>3866.9884</f>
        <v>3866.9884000000002</v>
      </c>
      <c r="D70" s="17">
        <f>4033.1467</f>
        <v>4033.1466999999998</v>
      </c>
      <c r="E70" s="17">
        <v>4147.6707987065147</v>
      </c>
      <c r="F70" s="18">
        <f t="shared" si="3"/>
        <v>5.7501000002999764E-2</v>
      </c>
      <c r="G70" s="18">
        <f t="shared" si="3"/>
        <v>6.6337009823603243E-2</v>
      </c>
      <c r="H70" s="18">
        <f t="shared" si="4"/>
        <v>9.2116999999999977E-2</v>
      </c>
      <c r="I70" s="19"/>
    </row>
    <row r="71" spans="1:9" x14ac:dyDescent="0.35">
      <c r="A71" s="13">
        <v>84</v>
      </c>
      <c r="B71" s="16"/>
      <c r="C71" s="17">
        <f>3477.5929</f>
        <v>3477.5929000000001</v>
      </c>
      <c r="D71" s="17">
        <f>3644.6327</f>
        <v>3644.6327000000001</v>
      </c>
      <c r="E71" s="17">
        <v>3765.5998077420668</v>
      </c>
      <c r="F71" s="18">
        <f t="shared" si="3"/>
        <v>6.2803987206208056E-2</v>
      </c>
      <c r="G71" s="18">
        <f t="shared" si="3"/>
        <v>7.116899105869734E-2</v>
      </c>
      <c r="H71" s="18">
        <f t="shared" si="4"/>
        <v>0.10100699999999992</v>
      </c>
      <c r="I71" s="19"/>
    </row>
    <row r="72" spans="1:9" x14ac:dyDescent="0.35">
      <c r="A72" s="13">
        <v>85</v>
      </c>
      <c r="B72" s="16"/>
      <c r="C72" s="17">
        <f>3093.2863</f>
        <v>3093.2863000000002</v>
      </c>
      <c r="D72" s="17">
        <f>3259.1862</f>
        <v>3259.1862000000001</v>
      </c>
      <c r="E72" s="17">
        <v>3385.2478679614642</v>
      </c>
      <c r="F72" s="18">
        <f t="shared" si="3"/>
        <v>6.8515998664591807E-2</v>
      </c>
      <c r="G72" s="18">
        <f t="shared" si="3"/>
        <v>7.6199005210280432E-2</v>
      </c>
      <c r="H72" s="18">
        <f t="shared" si="4"/>
        <v>0.11060000000000006</v>
      </c>
      <c r="I72" s="19"/>
    </row>
    <row r="73" spans="1:9" x14ac:dyDescent="0.35">
      <c r="A73" s="13">
        <v>86</v>
      </c>
      <c r="B73" s="16"/>
      <c r="C73" s="17">
        <f>2718.7128</f>
        <v>2718.7127999999998</v>
      </c>
      <c r="D73" s="17">
        <f>2881.3467</f>
        <v>2881.3467000000001</v>
      </c>
      <c r="E73" s="17">
        <v>3010.839453764926</v>
      </c>
      <c r="F73" s="18">
        <f t="shared" si="3"/>
        <v>7.4660993982151994E-2</v>
      </c>
      <c r="G73" s="18">
        <f t="shared" si="3"/>
        <v>8.1422013719977815E-2</v>
      </c>
      <c r="H73" s="18">
        <f t="shared" si="4"/>
        <v>0.12092900000000001</v>
      </c>
      <c r="I73" s="19"/>
    </row>
    <row r="74" spans="1:9" x14ac:dyDescent="0.35">
      <c r="A74" s="13">
        <v>87</v>
      </c>
      <c r="B74" s="16"/>
      <c r="C74" s="17">
        <f>2358.5299</f>
        <v>2358.5299</v>
      </c>
      <c r="D74" s="17">
        <f>2515.731</f>
        <v>2515.7310000000002</v>
      </c>
      <c r="E74" s="17">
        <v>2646.7416494605873</v>
      </c>
      <c r="F74" s="18">
        <f t="shared" si="3"/>
        <v>8.125799041173902E-2</v>
      </c>
      <c r="G74" s="18">
        <f t="shared" si="3"/>
        <v>8.6826992645237341E-2</v>
      </c>
      <c r="H74" s="18">
        <f t="shared" si="4"/>
        <v>0.13202800000000009</v>
      </c>
      <c r="I74" s="19"/>
    </row>
    <row r="75" spans="1:9" x14ac:dyDescent="0.35">
      <c r="A75" s="13">
        <v>88</v>
      </c>
      <c r="B75" s="16"/>
      <c r="C75" s="17">
        <f>2017.2298</f>
        <v>2017.2298000000001</v>
      </c>
      <c r="D75" s="17">
        <f>2166.8805</f>
        <v>2166.8805000000002</v>
      </c>
      <c r="E75" s="17">
        <v>2297.2976429656046</v>
      </c>
      <c r="F75" s="18">
        <f t="shared" si="3"/>
        <v>8.8331036949781311E-2</v>
      </c>
      <c r="G75" s="18">
        <f t="shared" si="3"/>
        <v>9.2405007792904115E-2</v>
      </c>
      <c r="H75" s="18">
        <f t="shared" si="4"/>
        <v>0.14392899999999995</v>
      </c>
      <c r="I75" s="19"/>
    </row>
    <row r="76" spans="1:9" x14ac:dyDescent="0.35">
      <c r="A76" s="13">
        <v>89</v>
      </c>
      <c r="B76" s="16"/>
      <c r="C76" s="17">
        <f>1698.9089</f>
        <v>1698.9088999999999</v>
      </c>
      <c r="D76" s="17">
        <f>1839.0458</f>
        <v>1839.0458000000001</v>
      </c>
      <c r="E76" s="17">
        <v>1966.6498905112082</v>
      </c>
      <c r="F76" s="18">
        <f t="shared" si="3"/>
        <v>9.5902022762962696E-2</v>
      </c>
      <c r="G76" s="18">
        <f t="shared" si="3"/>
        <v>9.8143983872657103E-2</v>
      </c>
      <c r="H76" s="18">
        <f t="shared" si="4"/>
        <v>0.15666000000000002</v>
      </c>
      <c r="I76" s="19"/>
    </row>
    <row r="77" spans="1:9" x14ac:dyDescent="0.35">
      <c r="A77" s="13">
        <v>90</v>
      </c>
      <c r="B77" s="16"/>
      <c r="C77" s="17">
        <f>1407.055</f>
        <v>1407.0550000000001</v>
      </c>
      <c r="D77" s="17">
        <f>1535.9801</f>
        <v>1535.9801</v>
      </c>
      <c r="E77" s="17">
        <v>1658.5545186637223</v>
      </c>
      <c r="F77" s="18">
        <f t="shared" si="3"/>
        <v>0.10398996485567374</v>
      </c>
      <c r="G77" s="18">
        <f t="shared" si="3"/>
        <v>0.10403097831490159</v>
      </c>
      <c r="H77" s="18">
        <f t="shared" si="4"/>
        <v>0.17024699999999998</v>
      </c>
      <c r="I77" s="19"/>
    </row>
    <row r="78" spans="1:9" x14ac:dyDescent="0.35">
      <c r="A78" s="13">
        <v>91</v>
      </c>
      <c r="B78" s="16"/>
      <c r="C78" s="17"/>
      <c r="D78" s="17">
        <f>1260.7354</f>
        <v>1260.7354</v>
      </c>
      <c r="E78" s="17">
        <v>1376.1905875247796</v>
      </c>
      <c r="F78" s="18"/>
      <c r="G78" s="18">
        <f t="shared" si="3"/>
        <v>0.11005202254118707</v>
      </c>
      <c r="H78" s="18">
        <f t="shared" si="4"/>
        <v>0.18471399999999996</v>
      </c>
      <c r="I78" s="19"/>
    </row>
    <row r="79" spans="1:9" x14ac:dyDescent="0.35">
      <c r="A79" s="13">
        <v>92</v>
      </c>
      <c r="B79" s="16"/>
      <c r="C79" s="17"/>
      <c r="D79" s="17"/>
      <c r="E79" s="17">
        <v>1121.9889193407275</v>
      </c>
      <c r="F79" s="18"/>
      <c r="G79" s="18"/>
      <c r="H79" s="18">
        <f t="shared" si="4"/>
        <v>0.20007900000000001</v>
      </c>
      <c r="I79" s="19"/>
    </row>
    <row r="80" spans="1:9" x14ac:dyDescent="0.35">
      <c r="A80" s="13">
        <v>93</v>
      </c>
      <c r="B80" s="16"/>
      <c r="C80" s="17"/>
      <c r="D80" s="17"/>
      <c r="E80" s="17">
        <v>897.50249834795409</v>
      </c>
      <c r="F80" s="18"/>
      <c r="G80" s="18"/>
      <c r="H80" s="18">
        <f t="shared" si="4"/>
        <v>0.21635399999999999</v>
      </c>
      <c r="I80" s="19"/>
    </row>
    <row r="81" spans="1:9" x14ac:dyDescent="0.35">
      <c r="A81" s="13">
        <v>94</v>
      </c>
      <c r="B81" s="16"/>
      <c r="C81" s="17"/>
      <c r="D81" s="17"/>
      <c r="E81" s="17">
        <v>703.32424282038085</v>
      </c>
      <c r="F81" s="18"/>
      <c r="G81" s="18"/>
      <c r="H81" s="18">
        <f t="shared" si="4"/>
        <v>0.23354800000000003</v>
      </c>
      <c r="I81" s="19"/>
    </row>
    <row r="82" spans="1:9" x14ac:dyDescent="0.35">
      <c r="A82" s="13">
        <v>95</v>
      </c>
      <c r="B82" s="16"/>
      <c r="C82" s="17"/>
      <c r="D82" s="17"/>
      <c r="E82" s="17">
        <v>539.06427255816652</v>
      </c>
      <c r="F82" s="18"/>
      <c r="G82" s="18"/>
      <c r="H82" s="18">
        <f t="shared" si="4"/>
        <v>0.25166200000000005</v>
      </c>
      <c r="I82" s="19"/>
    </row>
    <row r="83" spans="1:9" x14ac:dyDescent="0.35">
      <c r="A83" s="13">
        <v>96</v>
      </c>
      <c r="B83" s="16"/>
      <c r="C83" s="17"/>
      <c r="D83" s="17"/>
      <c r="E83" s="17">
        <v>403.4022795976332</v>
      </c>
      <c r="F83" s="18"/>
      <c r="G83" s="18"/>
      <c r="H83" s="18">
        <f t="shared" si="4"/>
        <v>0.27068800000000004</v>
      </c>
      <c r="I83" s="19"/>
    </row>
    <row r="84" spans="1:9" x14ac:dyDescent="0.35">
      <c r="A84" s="13">
        <v>97</v>
      </c>
      <c r="B84" s="16"/>
      <c r="C84" s="17"/>
      <c r="D84" s="17"/>
      <c r="E84" s="17">
        <v>294.20612333790905</v>
      </c>
      <c r="F84" s="18"/>
      <c r="G84" s="18"/>
      <c r="H84" s="18">
        <f t="shared" si="4"/>
        <v>0.29061299999999995</v>
      </c>
      <c r="I84" s="19"/>
    </row>
    <row r="85" spans="1:9" x14ac:dyDescent="0.35">
      <c r="A85" s="13">
        <v>98</v>
      </c>
      <c r="B85" s="16"/>
      <c r="C85" s="17"/>
      <c r="D85" s="17"/>
      <c r="E85" s="17">
        <v>208.70599921630929</v>
      </c>
      <c r="F85" s="18"/>
      <c r="G85" s="18"/>
      <c r="H85" s="18">
        <f t="shared" si="4"/>
        <v>0.31141400000000008</v>
      </c>
      <c r="I85" s="19"/>
    </row>
    <row r="86" spans="1:9" x14ac:dyDescent="0.35">
      <c r="A86" s="13">
        <v>99</v>
      </c>
      <c r="B86" s="16"/>
      <c r="C86" s="17"/>
      <c r="D86" s="17"/>
      <c r="E86" s="17">
        <v>143.71202917636154</v>
      </c>
      <c r="F86" s="18"/>
      <c r="G86" s="18"/>
      <c r="H86" s="18">
        <f t="shared" si="4"/>
        <v>0.33305800000000008</v>
      </c>
      <c r="I86" s="19"/>
    </row>
    <row r="87" spans="1:9" x14ac:dyDescent="0.35">
      <c r="A87" s="13">
        <v>100</v>
      </c>
      <c r="B87" s="16"/>
      <c r="C87" s="17"/>
      <c r="D87" s="17"/>
      <c r="E87" s="17">
        <v>95.847588162940909</v>
      </c>
      <c r="F87" s="18"/>
      <c r="G87" s="18"/>
      <c r="H87" s="18">
        <f t="shared" si="4"/>
        <v>0.35550499999999996</v>
      </c>
      <c r="I87" s="19"/>
    </row>
    <row r="88" spans="1:9" x14ac:dyDescent="0.35">
      <c r="A88" s="13">
        <v>101</v>
      </c>
      <c r="B88" s="16"/>
      <c r="C88" s="17"/>
      <c r="D88" s="17"/>
      <c r="E88" s="17">
        <v>61.773291333074603</v>
      </c>
      <c r="F88" s="18"/>
      <c r="G88" s="18"/>
      <c r="H88" s="18">
        <f t="shared" si="4"/>
        <v>0.37870200000000004</v>
      </c>
      <c r="I88" s="19"/>
    </row>
    <row r="89" spans="1:9" x14ac:dyDescent="0.35">
      <c r="A89" s="13">
        <v>102</v>
      </c>
      <c r="B89" s="16"/>
      <c r="C89" s="17"/>
      <c r="D89" s="17"/>
      <c r="E89" s="17">
        <v>38.379622358656583</v>
      </c>
      <c r="F89" s="18"/>
      <c r="G89" s="18"/>
      <c r="H89" s="18">
        <f t="shared" si="4"/>
        <v>0.40258799999999989</v>
      </c>
      <c r="I89" s="19"/>
    </row>
    <row r="90" spans="1:9" x14ac:dyDescent="0.35">
      <c r="A90" s="13">
        <v>103</v>
      </c>
      <c r="B90" s="16"/>
      <c r="C90" s="17"/>
      <c r="D90" s="17"/>
      <c r="E90" s="17">
        <v>22.92844695252975</v>
      </c>
      <c r="F90" s="18"/>
      <c r="G90" s="18"/>
      <c r="H90" s="18">
        <f t="shared" si="4"/>
        <v>0.42708999999999997</v>
      </c>
      <c r="I90" s="19"/>
    </row>
    <row r="91" spans="1:9" x14ac:dyDescent="0.35">
      <c r="A91" s="13">
        <v>104</v>
      </c>
      <c r="B91" s="16"/>
      <c r="C91" s="17"/>
      <c r="D91" s="17"/>
      <c r="E91" s="17">
        <v>13.13593654357382</v>
      </c>
      <c r="F91" s="18"/>
      <c r="G91" s="18"/>
      <c r="H91" s="18">
        <f t="shared" si="4"/>
        <v>0.45212699999999995</v>
      </c>
      <c r="I91" s="19"/>
    </row>
    <row r="92" spans="1:9" x14ac:dyDescent="0.35">
      <c r="A92" s="13">
        <v>105</v>
      </c>
      <c r="B92" s="16"/>
      <c r="C92" s="17"/>
      <c r="D92" s="17"/>
      <c r="E92" s="17">
        <v>7.1968249619374198</v>
      </c>
      <c r="F92" s="18"/>
      <c r="G92" s="18"/>
      <c r="H92" s="18">
        <f t="shared" si="4"/>
        <v>0.47760800000000003</v>
      </c>
      <c r="I92" s="19"/>
    </row>
    <row r="93" spans="1:9" x14ac:dyDescent="0.35">
      <c r="A93" s="13">
        <v>106</v>
      </c>
      <c r="B93" s="16"/>
      <c r="C93" s="17"/>
      <c r="D93" s="17"/>
      <c r="E93" s="17">
        <v>3.7595637855164123</v>
      </c>
      <c r="F93" s="18"/>
      <c r="G93" s="18"/>
      <c r="H93" s="18">
        <f t="shared" si="4"/>
        <v>0.50343199999999999</v>
      </c>
      <c r="I93" s="19"/>
    </row>
    <row r="94" spans="1:9" x14ac:dyDescent="0.35">
      <c r="A94" s="13">
        <v>107</v>
      </c>
      <c r="B94" s="16"/>
      <c r="C94" s="17"/>
      <c r="D94" s="17"/>
      <c r="E94" s="17">
        <v>1.8668790698463138</v>
      </c>
      <c r="F94" s="18"/>
      <c r="G94" s="18"/>
      <c r="H94" s="18">
        <f t="shared" si="4"/>
        <v>0.52949299999999999</v>
      </c>
      <c r="I94" s="19"/>
    </row>
    <row r="95" spans="1:9" x14ac:dyDescent="0.35">
      <c r="A95" s="13">
        <v>108</v>
      </c>
      <c r="B95" s="16"/>
      <c r="C95" s="17"/>
      <c r="D95" s="17"/>
      <c r="E95" s="17">
        <v>0.8783796705161796</v>
      </c>
      <c r="F95" s="18"/>
      <c r="G95" s="18"/>
      <c r="H95" s="18">
        <f t="shared" si="4"/>
        <v>0.555674</v>
      </c>
      <c r="I95" s="19"/>
    </row>
    <row r="96" spans="1:9" x14ac:dyDescent="0.35">
      <c r="A96" s="13">
        <v>109</v>
      </c>
      <c r="B96" s="16"/>
      <c r="C96" s="17"/>
      <c r="D96" s="17"/>
      <c r="E96" s="17">
        <v>0.39028692548177202</v>
      </c>
      <c r="F96" s="18"/>
      <c r="G96" s="18"/>
      <c r="H96" s="18">
        <f t="shared" si="4"/>
        <v>0.58185699999999996</v>
      </c>
      <c r="I96" s="19"/>
    </row>
    <row r="97" spans="1:9" x14ac:dyDescent="0.35">
      <c r="A97" s="13">
        <v>110</v>
      </c>
      <c r="B97" s="16"/>
      <c r="C97" s="17"/>
      <c r="D97" s="17"/>
      <c r="E97" s="17">
        <v>0.16319574588172461</v>
      </c>
      <c r="F97" s="18"/>
      <c r="G97" s="18"/>
      <c r="H97" s="18">
        <f t="shared" si="4"/>
        <v>0.60791799999999996</v>
      </c>
      <c r="I97" s="19"/>
    </row>
    <row r="98" spans="1:9" x14ac:dyDescent="0.35">
      <c r="A98" s="13">
        <v>111</v>
      </c>
      <c r="B98" s="16"/>
      <c r="C98" s="17"/>
      <c r="D98" s="17"/>
      <c r="E98" s="17">
        <v>6.3986114436798358E-2</v>
      </c>
      <c r="F98" s="18"/>
      <c r="G98" s="18"/>
      <c r="H98" s="18">
        <f t="shared" si="4"/>
        <v>0.63373100000000004</v>
      </c>
      <c r="I98" s="19"/>
    </row>
    <row r="99" spans="1:9" x14ac:dyDescent="0.35">
      <c r="A99" s="13">
        <v>112</v>
      </c>
      <c r="B99" s="16"/>
      <c r="C99" s="17"/>
      <c r="D99" s="17"/>
      <c r="E99" s="17">
        <v>2.3436130148651695E-2</v>
      </c>
      <c r="F99" s="18"/>
      <c r="G99" s="18"/>
      <c r="H99" s="18">
        <f t="shared" si="4"/>
        <v>0.65917099999999995</v>
      </c>
      <c r="I99" s="19"/>
    </row>
    <row r="100" spans="1:9" x14ac:dyDescent="0.35">
      <c r="A100" s="13">
        <v>113</v>
      </c>
      <c r="B100" s="16"/>
      <c r="C100" s="17"/>
      <c r="D100" s="17"/>
      <c r="E100" s="17">
        <v>7.9877128024348088E-3</v>
      </c>
      <c r="F100" s="18"/>
      <c r="G100" s="18"/>
      <c r="H100" s="18">
        <f t="shared" si="4"/>
        <v>0.684114</v>
      </c>
      <c r="I100" s="19"/>
    </row>
    <row r="101" spans="1:9" x14ac:dyDescent="0.35">
      <c r="A101" s="13">
        <v>114</v>
      </c>
      <c r="B101" s="16"/>
      <c r="C101" s="17"/>
      <c r="D101" s="17"/>
      <c r="E101" s="17">
        <v>2.5232066463099219E-3</v>
      </c>
      <c r="F101" s="18"/>
      <c r="G101" s="18"/>
      <c r="H101" s="18">
        <f t="shared" si="4"/>
        <v>0.70844200000000002</v>
      </c>
      <c r="I101" s="19"/>
    </row>
    <row r="102" spans="1:9" x14ac:dyDescent="0.35">
      <c r="A102" s="13">
        <v>115</v>
      </c>
      <c r="B102" s="16"/>
      <c r="C102" s="17"/>
      <c r="D102" s="17"/>
      <c r="E102" s="17">
        <v>7.3566108338482821E-4</v>
      </c>
      <c r="F102" s="18"/>
      <c r="G102" s="18"/>
      <c r="H102" s="18">
        <f t="shared" si="4"/>
        <v>0.73204199999999997</v>
      </c>
      <c r="I102" s="19"/>
    </row>
    <row r="103" spans="1:9" x14ac:dyDescent="0.35">
      <c r="A103" s="13">
        <v>116</v>
      </c>
      <c r="B103" s="16"/>
      <c r="C103" s="17"/>
      <c r="D103" s="17"/>
      <c r="E103" s="17">
        <v>1.9712627258163182E-4</v>
      </c>
      <c r="F103" s="18"/>
      <c r="G103" s="18"/>
      <c r="H103" s="18">
        <f t="shared" si="4"/>
        <v>0.75480899999999995</v>
      </c>
      <c r="I103" s="19"/>
    </row>
    <row r="104" spans="1:9" x14ac:dyDescent="0.35">
      <c r="A104" s="13">
        <v>117</v>
      </c>
      <c r="B104" s="16"/>
      <c r="C104" s="17"/>
      <c r="D104" s="17"/>
      <c r="E104" s="17">
        <v>4.8333587900562901E-5</v>
      </c>
      <c r="F104" s="18"/>
      <c r="G104" s="18"/>
      <c r="H104" s="18">
        <f t="shared" si="4"/>
        <v>0.77664800000000001</v>
      </c>
      <c r="I104" s="19"/>
    </row>
    <row r="105" spans="1:9" x14ac:dyDescent="0.35">
      <c r="A105" s="13">
        <v>118</v>
      </c>
      <c r="B105" s="16"/>
      <c r="C105" s="17"/>
      <c r="D105" s="17"/>
      <c r="E105" s="17">
        <v>1.0795403524766525E-5</v>
      </c>
      <c r="F105" s="18"/>
      <c r="G105" s="18"/>
      <c r="H105" s="18">
        <f t="shared" si="4"/>
        <v>0.79747699999999999</v>
      </c>
      <c r="I105" s="19"/>
    </row>
    <row r="106" spans="1:9" x14ac:dyDescent="0.35">
      <c r="A106" s="13">
        <v>119</v>
      </c>
      <c r="B106" s="16"/>
      <c r="C106" s="17"/>
      <c r="D106" s="17"/>
      <c r="E106" s="17">
        <v>2.1863175080462909E-6</v>
      </c>
      <c r="F106" s="18"/>
      <c r="G106" s="18"/>
      <c r="H106" s="18">
        <f t="shared" si="4"/>
        <v>0.81722500000000009</v>
      </c>
      <c r="I106" s="19"/>
    </row>
    <row r="107" spans="1:9" x14ac:dyDescent="0.35">
      <c r="A107" s="13">
        <v>120</v>
      </c>
      <c r="B107" s="16"/>
      <c r="C107" s="17"/>
      <c r="D107" s="17"/>
      <c r="E107" s="17">
        <v>3.9960418253316085E-7</v>
      </c>
      <c r="F107" s="18"/>
      <c r="G107" s="18"/>
      <c r="H107" s="18">
        <f>(E107-[1]Inputs!F130)/E107</f>
        <v>1</v>
      </c>
      <c r="I107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showGridLines="0" workbookViewId="0">
      <selection activeCell="E11" sqref="E11"/>
    </sheetView>
  </sheetViews>
  <sheetFormatPr defaultColWidth="11.7265625" defaultRowHeight="14.5" x14ac:dyDescent="0.35"/>
  <cols>
    <col min="1" max="16384" width="11.7265625" style="12"/>
  </cols>
  <sheetData>
    <row r="1" spans="1:8" s="10" customFormat="1" ht="21" x14ac:dyDescent="0.5">
      <c r="A1" s="9" t="s">
        <v>10</v>
      </c>
    </row>
    <row r="2" spans="1:8" x14ac:dyDescent="0.35">
      <c r="B2" s="20"/>
      <c r="C2" s="20"/>
      <c r="D2" s="20"/>
      <c r="E2" s="20"/>
      <c r="F2" s="20"/>
      <c r="G2" s="20"/>
    </row>
    <row r="3" spans="1:8" x14ac:dyDescent="0.35">
      <c r="B3" s="20"/>
      <c r="C3" s="20"/>
      <c r="D3" s="20"/>
      <c r="E3" s="20"/>
      <c r="F3" s="20"/>
      <c r="G3" s="20"/>
      <c r="H3" s="21"/>
    </row>
    <row r="4" spans="1:8" x14ac:dyDescent="0.35">
      <c r="A4" s="22" t="s">
        <v>11</v>
      </c>
      <c r="B4" s="23"/>
      <c r="C4" s="24"/>
      <c r="D4" s="71">
        <v>0.45</v>
      </c>
      <c r="E4" s="20" t="s">
        <v>12</v>
      </c>
      <c r="F4" s="20"/>
      <c r="G4" s="20"/>
      <c r="H4" s="25"/>
    </row>
    <row r="5" spans="1:8" x14ac:dyDescent="0.35">
      <c r="A5" s="22" t="s">
        <v>13</v>
      </c>
      <c r="B5" s="23"/>
      <c r="C5" s="24"/>
      <c r="D5" s="71">
        <v>0.05</v>
      </c>
      <c r="E5" s="20" t="s">
        <v>14</v>
      </c>
      <c r="F5" s="20"/>
      <c r="G5" s="20"/>
    </row>
    <row r="6" spans="1:8" x14ac:dyDescent="0.35">
      <c r="A6" s="22" t="s">
        <v>15</v>
      </c>
      <c r="B6" s="23"/>
      <c r="C6" s="24"/>
      <c r="D6" s="72">
        <v>50000</v>
      </c>
      <c r="E6" s="20" t="s">
        <v>16</v>
      </c>
      <c r="F6" s="20"/>
      <c r="G6" s="20"/>
    </row>
    <row r="7" spans="1:8" x14ac:dyDescent="0.35">
      <c r="A7" s="26" t="s">
        <v>17</v>
      </c>
      <c r="B7" s="27"/>
      <c r="C7" s="28"/>
      <c r="D7" s="72">
        <v>1950</v>
      </c>
      <c r="E7" s="20" t="s">
        <v>18</v>
      </c>
      <c r="F7" s="20"/>
      <c r="G7" s="20"/>
    </row>
    <row r="8" spans="1:8" x14ac:dyDescent="0.35">
      <c r="B8" s="29"/>
      <c r="C8" s="30"/>
      <c r="D8" s="20"/>
      <c r="E8" s="20"/>
      <c r="F8" s="20"/>
      <c r="G8" s="20"/>
    </row>
    <row r="9" spans="1:8" x14ac:dyDescent="0.35">
      <c r="C9" s="20"/>
      <c r="D9" s="31" t="s">
        <v>19</v>
      </c>
      <c r="E9" s="24"/>
      <c r="F9" s="31" t="s">
        <v>20</v>
      </c>
      <c r="G9" s="32"/>
    </row>
    <row r="10" spans="1:8" x14ac:dyDescent="0.35">
      <c r="A10" s="33" t="s">
        <v>21</v>
      </c>
      <c r="B10" s="23"/>
      <c r="C10" s="32"/>
      <c r="D10" s="71">
        <v>0.03</v>
      </c>
      <c r="E10" s="34" t="s">
        <v>22</v>
      </c>
      <c r="F10" s="71">
        <v>0.04</v>
      </c>
      <c r="G10" s="20" t="s">
        <v>23</v>
      </c>
    </row>
    <row r="11" spans="1:8" x14ac:dyDescent="0.35">
      <c r="A11" s="33" t="s">
        <v>24</v>
      </c>
      <c r="B11" s="23"/>
      <c r="C11" s="32"/>
      <c r="D11" s="71">
        <v>1.4999999999999999E-2</v>
      </c>
      <c r="E11" s="34" t="s">
        <v>25</v>
      </c>
      <c r="F11" s="71">
        <v>0.02</v>
      </c>
      <c r="G11" s="20" t="s">
        <v>26</v>
      </c>
      <c r="H11" s="20"/>
    </row>
    <row r="12" spans="1:8" x14ac:dyDescent="0.35">
      <c r="A12" s="33" t="s">
        <v>27</v>
      </c>
      <c r="B12" s="23"/>
      <c r="C12" s="32"/>
      <c r="D12" s="72">
        <v>1000</v>
      </c>
      <c r="E12" s="35" t="s">
        <v>28</v>
      </c>
      <c r="F12" s="72">
        <v>1000</v>
      </c>
      <c r="G12" s="20" t="s">
        <v>29</v>
      </c>
      <c r="H12" s="20"/>
    </row>
    <row r="13" spans="1:8" x14ac:dyDescent="0.35">
      <c r="A13" s="33" t="s">
        <v>30</v>
      </c>
      <c r="B13" s="23"/>
      <c r="C13" s="36"/>
      <c r="D13" s="73">
        <v>50</v>
      </c>
      <c r="E13" s="34" t="s">
        <v>31</v>
      </c>
      <c r="F13" s="73">
        <v>50</v>
      </c>
      <c r="G13" s="30" t="s">
        <v>32</v>
      </c>
      <c r="H13" s="20"/>
    </row>
    <row r="14" spans="1:8" x14ac:dyDescent="0.35">
      <c r="A14" s="33" t="s">
        <v>33</v>
      </c>
      <c r="B14" s="23"/>
      <c r="C14" s="36"/>
      <c r="D14" s="71">
        <v>0.03</v>
      </c>
      <c r="E14" s="34" t="s">
        <v>34</v>
      </c>
      <c r="F14" s="71">
        <v>0.02</v>
      </c>
      <c r="G14" s="30" t="s">
        <v>35</v>
      </c>
      <c r="H14" s="20"/>
    </row>
    <row r="15" spans="1:8" x14ac:dyDescent="0.35">
      <c r="A15" s="33" t="s">
        <v>36</v>
      </c>
      <c r="B15" s="23"/>
      <c r="C15" s="32"/>
      <c r="D15" s="30"/>
      <c r="E15" s="34"/>
      <c r="F15" s="71">
        <v>0.8</v>
      </c>
      <c r="G15" s="20" t="s">
        <v>37</v>
      </c>
      <c r="H15" s="20"/>
    </row>
    <row r="16" spans="1:8" x14ac:dyDescent="0.35">
      <c r="B16" s="30"/>
      <c r="C16" s="20"/>
      <c r="D16" s="20"/>
      <c r="E16" s="20"/>
      <c r="F16" s="30"/>
      <c r="G16" s="20"/>
      <c r="H16" s="20"/>
    </row>
    <row r="17" spans="1:8" x14ac:dyDescent="0.35">
      <c r="A17" s="37"/>
      <c r="B17" s="38"/>
      <c r="C17" s="39"/>
      <c r="D17" s="39"/>
      <c r="E17" s="39"/>
      <c r="F17" s="38"/>
      <c r="G17" s="38"/>
      <c r="H17" s="39"/>
    </row>
    <row r="18" spans="1:8" x14ac:dyDescent="0.35">
      <c r="B18" s="20"/>
      <c r="C18" s="20"/>
      <c r="D18" s="20"/>
      <c r="E18" s="20"/>
      <c r="F18" s="20"/>
      <c r="G18" s="20"/>
    </row>
    <row r="19" spans="1:8" x14ac:dyDescent="0.35">
      <c r="B19" s="30"/>
      <c r="C19" s="20"/>
      <c r="D19" s="20"/>
      <c r="E19" s="20"/>
      <c r="F19" s="38"/>
      <c r="G19" s="40"/>
    </row>
    <row r="20" spans="1:8" x14ac:dyDescent="0.35">
      <c r="B20" s="41"/>
      <c r="C20" s="20"/>
      <c r="D20" s="20"/>
      <c r="E20" s="20"/>
      <c r="F20" s="42"/>
      <c r="G20" s="43"/>
    </row>
    <row r="21" spans="1:8" x14ac:dyDescent="0.35">
      <c r="B21" s="20"/>
      <c r="C21" s="20"/>
      <c r="D21" s="43"/>
      <c r="E21" s="20"/>
      <c r="F21" s="20"/>
      <c r="G21" s="20"/>
    </row>
    <row r="22" spans="1:8" x14ac:dyDescent="0.35">
      <c r="B22" s="20"/>
      <c r="C22" s="20"/>
      <c r="D22" s="20"/>
      <c r="E22" s="20"/>
      <c r="F22" s="30"/>
      <c r="G22" s="20"/>
    </row>
    <row r="23" spans="1:8" x14ac:dyDescent="0.35">
      <c r="B23" s="20"/>
      <c r="C23" s="20"/>
      <c r="D23" s="20"/>
      <c r="E23" s="20"/>
      <c r="F23" s="20"/>
      <c r="G23" s="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workbookViewId="0">
      <pane ySplit="4" topLeftCell="A5" activePane="bottomLeft" state="frozen"/>
      <selection pane="bottomLeft" activeCell="D13" sqref="D13"/>
    </sheetView>
  </sheetViews>
  <sheetFormatPr defaultColWidth="11.7265625" defaultRowHeight="14.5" x14ac:dyDescent="0.35"/>
  <cols>
    <col min="1" max="4" width="11.7265625" style="12"/>
    <col min="5" max="5" width="11.7265625" style="12" customWidth="1"/>
    <col min="6" max="6" width="1.453125" style="12" customWidth="1"/>
    <col min="7" max="16384" width="11.7265625" style="12"/>
  </cols>
  <sheetData>
    <row r="1" spans="1:16" s="10" customFormat="1" ht="21" x14ac:dyDescent="0.5">
      <c r="A1" s="9" t="s">
        <v>38</v>
      </c>
    </row>
    <row r="2" spans="1:16" x14ac:dyDescent="0.35">
      <c r="B2" s="44" t="s">
        <v>39</v>
      </c>
      <c r="C2" s="45"/>
      <c r="G2" s="44" t="s">
        <v>40</v>
      </c>
      <c r="H2" s="46"/>
      <c r="I2" s="45"/>
      <c r="N2" s="47"/>
      <c r="O2" s="47"/>
      <c r="P2" s="47"/>
    </row>
    <row r="3" spans="1:16" x14ac:dyDescent="0.35">
      <c r="A3" s="48"/>
      <c r="B3" s="48"/>
      <c r="C3" s="48" t="s">
        <v>41</v>
      </c>
      <c r="D3" s="48" t="s">
        <v>42</v>
      </c>
      <c r="E3" s="48" t="s">
        <v>42</v>
      </c>
      <c r="F3" s="49"/>
      <c r="G3" s="48" t="s">
        <v>43</v>
      </c>
      <c r="H3" s="48"/>
      <c r="I3" s="48"/>
      <c r="J3" s="48" t="s">
        <v>44</v>
      </c>
      <c r="K3" s="48" t="s">
        <v>45</v>
      </c>
      <c r="L3" s="48" t="s">
        <v>46</v>
      </c>
      <c r="M3" s="50" t="s">
        <v>47</v>
      </c>
      <c r="N3" s="51"/>
      <c r="O3" s="52"/>
      <c r="P3" s="52"/>
    </row>
    <row r="4" spans="1:16" x14ac:dyDescent="0.35">
      <c r="A4" s="53" t="s">
        <v>48</v>
      </c>
      <c r="B4" s="53" t="s">
        <v>49</v>
      </c>
      <c r="C4" s="53" t="s">
        <v>50</v>
      </c>
      <c r="D4" s="53" t="s">
        <v>51</v>
      </c>
      <c r="E4" s="53" t="s">
        <v>52</v>
      </c>
      <c r="F4" s="53"/>
      <c r="G4" s="53" t="s">
        <v>53</v>
      </c>
      <c r="H4" s="53" t="s">
        <v>54</v>
      </c>
      <c r="I4" s="53" t="s">
        <v>55</v>
      </c>
      <c r="J4" s="53" t="s">
        <v>56</v>
      </c>
      <c r="K4" s="53" t="s">
        <v>57</v>
      </c>
      <c r="L4" s="53" t="s">
        <v>58</v>
      </c>
      <c r="M4" s="54" t="s">
        <v>59</v>
      </c>
      <c r="N4" s="51"/>
      <c r="O4" s="52"/>
      <c r="P4" s="52"/>
    </row>
    <row r="5" spans="1:16" x14ac:dyDescent="0.35">
      <c r="A5" s="55">
        <v>1</v>
      </c>
      <c r="B5" s="56">
        <f t="shared" ref="B5:B29" si="0">P</f>
        <v>1950</v>
      </c>
      <c r="C5" s="56">
        <f>B5*A*(1-BO)</f>
        <v>833.625</v>
      </c>
      <c r="D5" s="56">
        <f>C5</f>
        <v>833.625</v>
      </c>
      <c r="E5" s="56">
        <f t="shared" ref="E5:E29" si="1">D5*(1+ResUG)</f>
        <v>858.63375000000008</v>
      </c>
      <c r="G5" s="57">
        <f t="shared" ref="G5:G29" si="2">B5-C5</f>
        <v>1116.375</v>
      </c>
      <c r="H5" s="57">
        <f>-ResIE</f>
        <v>-1000</v>
      </c>
      <c r="I5" s="57">
        <f t="shared" ref="I5:I29" si="3">(G5+H5)*ResINT</f>
        <v>1.745625</v>
      </c>
      <c r="J5" s="11">
        <f>'[1]Mortality table'!H27</f>
        <v>9.3699999999987576E-4</v>
      </c>
      <c r="K5" s="57">
        <f t="shared" ref="K5:K29" si="4">MAX(D-E5,0)</f>
        <v>49141.366249999999</v>
      </c>
      <c r="L5" s="57">
        <f>-J5*K5</f>
        <v>-46.045460176243893</v>
      </c>
      <c r="M5" s="58">
        <f>G5+H5+I5+L5</f>
        <v>72.075164823756111</v>
      </c>
      <c r="N5" s="59"/>
      <c r="O5" s="60"/>
      <c r="P5" s="60"/>
    </row>
    <row r="6" spans="1:16" x14ac:dyDescent="0.35">
      <c r="A6" s="55">
        <v>2</v>
      </c>
      <c r="B6" s="56">
        <f t="shared" si="0"/>
        <v>1950</v>
      </c>
      <c r="C6" s="56">
        <f t="shared" ref="C6:C29" si="5">B6*(1-BO)</f>
        <v>1852.5</v>
      </c>
      <c r="D6" s="56">
        <f t="shared" ref="D6:D29" si="6">C6+E5</f>
        <v>2711.13375</v>
      </c>
      <c r="E6" s="56">
        <f t="shared" si="1"/>
        <v>2792.4677624999999</v>
      </c>
      <c r="G6" s="57">
        <f t="shared" si="2"/>
        <v>97.5</v>
      </c>
      <c r="H6" s="57">
        <f t="shared" ref="H6:H29" si="7">-ResRE*(1+ResINF)^A5</f>
        <v>-51.5</v>
      </c>
      <c r="I6" s="57">
        <f t="shared" si="3"/>
        <v>0.69</v>
      </c>
      <c r="J6" s="11">
        <f>'[1]Mortality table'!H28</f>
        <v>1.0139999999998718E-3</v>
      </c>
      <c r="K6" s="57">
        <f t="shared" si="4"/>
        <v>47207.532237500003</v>
      </c>
      <c r="L6" s="57">
        <f t="shared" ref="L6:L29" si="8">-J6*K6</f>
        <v>-47.86843768881895</v>
      </c>
      <c r="M6" s="58">
        <f t="shared" ref="M6:M29" si="9">G6+H6+I6+L6</f>
        <v>-1.1784376888189527</v>
      </c>
      <c r="N6" s="59"/>
      <c r="O6" s="60"/>
      <c r="P6" s="60"/>
    </row>
    <row r="7" spans="1:16" x14ac:dyDescent="0.35">
      <c r="A7" s="55">
        <v>3</v>
      </c>
      <c r="B7" s="56">
        <f t="shared" si="0"/>
        <v>1950</v>
      </c>
      <c r="C7" s="56">
        <f t="shared" si="5"/>
        <v>1852.5</v>
      </c>
      <c r="D7" s="56">
        <f t="shared" si="6"/>
        <v>4644.9677625000004</v>
      </c>
      <c r="E7" s="56">
        <f t="shared" si="1"/>
        <v>4784.3167953750008</v>
      </c>
      <c r="G7" s="57">
        <f t="shared" si="2"/>
        <v>97.5</v>
      </c>
      <c r="H7" s="57">
        <f t="shared" si="7"/>
        <v>-53.044999999999995</v>
      </c>
      <c r="I7" s="57">
        <f t="shared" si="3"/>
        <v>0.666825</v>
      </c>
      <c r="J7" s="11">
        <f>'[1]Mortality table'!H29</f>
        <v>1.1040000000000186E-3</v>
      </c>
      <c r="K7" s="57">
        <f t="shared" si="4"/>
        <v>45215.683204624998</v>
      </c>
      <c r="L7" s="57">
        <f t="shared" si="8"/>
        <v>-49.918114257906836</v>
      </c>
      <c r="M7" s="58">
        <f t="shared" si="9"/>
        <v>-4.7962892579068281</v>
      </c>
      <c r="N7" s="59"/>
      <c r="O7" s="60"/>
      <c r="P7" s="60"/>
    </row>
    <row r="8" spans="1:16" x14ac:dyDescent="0.35">
      <c r="A8" s="55">
        <v>4</v>
      </c>
      <c r="B8" s="56">
        <f t="shared" si="0"/>
        <v>1950</v>
      </c>
      <c r="C8" s="56">
        <f t="shared" si="5"/>
        <v>1852.5</v>
      </c>
      <c r="D8" s="56">
        <f t="shared" si="6"/>
        <v>6636.8167953750008</v>
      </c>
      <c r="E8" s="56">
        <f t="shared" si="1"/>
        <v>6835.9212992362509</v>
      </c>
      <c r="G8" s="57">
        <f t="shared" si="2"/>
        <v>97.5</v>
      </c>
      <c r="H8" s="57">
        <f t="shared" si="7"/>
        <v>-54.63635</v>
      </c>
      <c r="I8" s="57">
        <f t="shared" si="3"/>
        <v>0.64295475000000002</v>
      </c>
      <c r="J8" s="11">
        <f>'[1]Mortality table'!H30</f>
        <v>1.2079999999999012E-3</v>
      </c>
      <c r="K8" s="57">
        <f t="shared" si="4"/>
        <v>43164.078700763748</v>
      </c>
      <c r="L8" s="57">
        <f t="shared" si="8"/>
        <v>-52.142207070518346</v>
      </c>
      <c r="M8" s="58">
        <f t="shared" si="9"/>
        <v>-8.6356023205183448</v>
      </c>
      <c r="N8" s="59"/>
      <c r="O8" s="60"/>
      <c r="P8" s="60"/>
    </row>
    <row r="9" spans="1:16" x14ac:dyDescent="0.35">
      <c r="A9" s="55">
        <v>5</v>
      </c>
      <c r="B9" s="56">
        <f t="shared" si="0"/>
        <v>1950</v>
      </c>
      <c r="C9" s="56">
        <f t="shared" si="5"/>
        <v>1852.5</v>
      </c>
      <c r="D9" s="56">
        <f t="shared" si="6"/>
        <v>8688.4212992362518</v>
      </c>
      <c r="E9" s="56">
        <f t="shared" si="1"/>
        <v>8949.0739382133397</v>
      </c>
      <c r="G9" s="57">
        <f t="shared" si="2"/>
        <v>97.5</v>
      </c>
      <c r="H9" s="57">
        <f t="shared" si="7"/>
        <v>-56.275440499999995</v>
      </c>
      <c r="I9" s="57">
        <f t="shared" si="3"/>
        <v>0.61836839250000009</v>
      </c>
      <c r="J9" s="11">
        <f>'[1]Mortality table'!H31</f>
        <v>1.3270000000000194E-3</v>
      </c>
      <c r="K9" s="57">
        <f t="shared" si="4"/>
        <v>41050.92606178666</v>
      </c>
      <c r="L9" s="57">
        <f t="shared" si="8"/>
        <v>-54.47457888399169</v>
      </c>
      <c r="M9" s="58">
        <f t="shared" si="9"/>
        <v>-12.631650991491682</v>
      </c>
      <c r="N9" s="59"/>
      <c r="O9" s="60"/>
      <c r="P9" s="60"/>
    </row>
    <row r="10" spans="1:16" x14ac:dyDescent="0.35">
      <c r="A10" s="55">
        <v>6</v>
      </c>
      <c r="B10" s="56">
        <f t="shared" si="0"/>
        <v>1950</v>
      </c>
      <c r="C10" s="56">
        <f t="shared" si="5"/>
        <v>1852.5</v>
      </c>
      <c r="D10" s="56">
        <f t="shared" si="6"/>
        <v>10801.57393821334</v>
      </c>
      <c r="E10" s="56">
        <f t="shared" si="1"/>
        <v>11125.621156359741</v>
      </c>
      <c r="G10" s="57">
        <f t="shared" si="2"/>
        <v>97.5</v>
      </c>
      <c r="H10" s="57">
        <f t="shared" si="7"/>
        <v>-57.963703714999994</v>
      </c>
      <c r="I10" s="57">
        <f t="shared" si="3"/>
        <v>0.59304444427500003</v>
      </c>
      <c r="J10" s="11">
        <f>'[1]Mortality table'!H32</f>
        <v>1.4649999999999626E-3</v>
      </c>
      <c r="K10" s="57">
        <f t="shared" si="4"/>
        <v>38874.378843640261</v>
      </c>
      <c r="L10" s="57">
        <f t="shared" si="8"/>
        <v>-56.950965005931529</v>
      </c>
      <c r="M10" s="58">
        <f t="shared" si="9"/>
        <v>-16.821624276656522</v>
      </c>
      <c r="N10" s="59"/>
      <c r="O10" s="60"/>
      <c r="P10" s="60"/>
    </row>
    <row r="11" spans="1:16" x14ac:dyDescent="0.35">
      <c r="A11" s="55">
        <v>7</v>
      </c>
      <c r="B11" s="56">
        <f t="shared" si="0"/>
        <v>1950</v>
      </c>
      <c r="C11" s="56">
        <f t="shared" si="5"/>
        <v>1852.5</v>
      </c>
      <c r="D11" s="56">
        <f t="shared" si="6"/>
        <v>12978.121156359741</v>
      </c>
      <c r="E11" s="56">
        <f t="shared" si="1"/>
        <v>13367.464791050534</v>
      </c>
      <c r="G11" s="57">
        <f t="shared" si="2"/>
        <v>97.5</v>
      </c>
      <c r="H11" s="57">
        <f t="shared" si="7"/>
        <v>-59.702614826449995</v>
      </c>
      <c r="I11" s="57">
        <f t="shared" si="3"/>
        <v>0.56696077760325003</v>
      </c>
      <c r="J11" s="11">
        <f>'[1]Mortality table'!H33</f>
        <v>1.6220000000000613E-3</v>
      </c>
      <c r="K11" s="57">
        <f t="shared" si="4"/>
        <v>36632.53520894947</v>
      </c>
      <c r="L11" s="57">
        <f t="shared" si="8"/>
        <v>-59.417972108918285</v>
      </c>
      <c r="M11" s="58">
        <f t="shared" si="9"/>
        <v>-21.053626157765031</v>
      </c>
      <c r="N11" s="59"/>
      <c r="O11" s="60"/>
      <c r="P11" s="60"/>
    </row>
    <row r="12" spans="1:16" x14ac:dyDescent="0.35">
      <c r="A12" s="55">
        <v>8</v>
      </c>
      <c r="B12" s="56">
        <f t="shared" si="0"/>
        <v>1950</v>
      </c>
      <c r="C12" s="56">
        <f t="shared" si="5"/>
        <v>1852.5</v>
      </c>
      <c r="D12" s="56">
        <f t="shared" si="6"/>
        <v>15219.964791050534</v>
      </c>
      <c r="E12" s="56">
        <f t="shared" si="1"/>
        <v>15676.56373478205</v>
      </c>
      <c r="G12" s="57">
        <f t="shared" si="2"/>
        <v>97.5</v>
      </c>
      <c r="H12" s="57">
        <f t="shared" si="7"/>
        <v>-61.493693271243501</v>
      </c>
      <c r="I12" s="57">
        <f t="shared" si="3"/>
        <v>0.54009460093134742</v>
      </c>
      <c r="J12" s="11">
        <f>'[1]Mortality table'!H34</f>
        <v>1.8019999999999542E-3</v>
      </c>
      <c r="K12" s="57">
        <f t="shared" si="4"/>
        <v>34323.436265217948</v>
      </c>
      <c r="L12" s="57">
        <f t="shared" si="8"/>
        <v>-61.850832149921175</v>
      </c>
      <c r="M12" s="58">
        <f t="shared" si="9"/>
        <v>-25.304430820233328</v>
      </c>
      <c r="N12" s="59"/>
      <c r="O12" s="60"/>
      <c r="P12" s="60"/>
    </row>
    <row r="13" spans="1:16" x14ac:dyDescent="0.35">
      <c r="A13" s="55">
        <v>9</v>
      </c>
      <c r="B13" s="56">
        <f t="shared" si="0"/>
        <v>1950</v>
      </c>
      <c r="C13" s="56">
        <f t="shared" si="5"/>
        <v>1852.5</v>
      </c>
      <c r="D13" s="56">
        <f t="shared" si="6"/>
        <v>17529.063734782052</v>
      </c>
      <c r="E13" s="56">
        <f t="shared" si="1"/>
        <v>18054.935646825514</v>
      </c>
      <c r="G13" s="57">
        <f t="shared" si="2"/>
        <v>97.5</v>
      </c>
      <c r="H13" s="57">
        <f t="shared" si="7"/>
        <v>-63.338504069380797</v>
      </c>
      <c r="I13" s="57">
        <f t="shared" si="3"/>
        <v>0.51242243895928807</v>
      </c>
      <c r="J13" s="11">
        <f>'[1]Mortality table'!H35</f>
        <v>2.0079999999999599E-3</v>
      </c>
      <c r="K13" s="57">
        <f t="shared" si="4"/>
        <v>31945.064353174486</v>
      </c>
      <c r="L13" s="57">
        <f t="shared" si="8"/>
        <v>-64.145689221173086</v>
      </c>
      <c r="M13" s="58">
        <f t="shared" si="9"/>
        <v>-29.471770851594592</v>
      </c>
      <c r="N13" s="59"/>
      <c r="O13" s="60"/>
      <c r="P13" s="60"/>
    </row>
    <row r="14" spans="1:16" x14ac:dyDescent="0.35">
      <c r="A14" s="55">
        <v>10</v>
      </c>
      <c r="B14" s="56">
        <f t="shared" si="0"/>
        <v>1950</v>
      </c>
      <c r="C14" s="56">
        <f t="shared" si="5"/>
        <v>1852.5</v>
      </c>
      <c r="D14" s="56">
        <f t="shared" si="6"/>
        <v>19907.435646825514</v>
      </c>
      <c r="E14" s="56">
        <f t="shared" si="1"/>
        <v>20504.658716230279</v>
      </c>
      <c r="G14" s="57">
        <f t="shared" si="2"/>
        <v>97.5</v>
      </c>
      <c r="H14" s="57">
        <f t="shared" si="7"/>
        <v>-65.238659191462219</v>
      </c>
      <c r="I14" s="57">
        <f t="shared" si="3"/>
        <v>0.48392011212806668</v>
      </c>
      <c r="J14" s="11">
        <f>'[1]Mortality table'!H36</f>
        <v>2.2410000000001075E-3</v>
      </c>
      <c r="K14" s="56">
        <f t="shared" si="4"/>
        <v>29495.341283769721</v>
      </c>
      <c r="L14" s="56">
        <f t="shared" si="8"/>
        <v>-66.099059816931117</v>
      </c>
      <c r="M14" s="58">
        <f t="shared" si="9"/>
        <v>-33.353798896265268</v>
      </c>
      <c r="N14" s="59"/>
      <c r="O14" s="60"/>
      <c r="P14" s="60"/>
    </row>
    <row r="15" spans="1:16" x14ac:dyDescent="0.35">
      <c r="A15" s="55">
        <v>11</v>
      </c>
      <c r="B15" s="56">
        <f t="shared" si="0"/>
        <v>1950</v>
      </c>
      <c r="C15" s="56">
        <f t="shared" si="5"/>
        <v>1852.5</v>
      </c>
      <c r="D15" s="56">
        <f t="shared" si="6"/>
        <v>22357.158716230279</v>
      </c>
      <c r="E15" s="56">
        <f t="shared" si="1"/>
        <v>23027.873477717189</v>
      </c>
      <c r="G15" s="57">
        <f t="shared" si="2"/>
        <v>97.5</v>
      </c>
      <c r="H15" s="57">
        <f t="shared" si="7"/>
        <v>-67.195818967206094</v>
      </c>
      <c r="I15" s="57">
        <f t="shared" si="3"/>
        <v>0.45456271549190858</v>
      </c>
      <c r="J15" s="11">
        <f>'[1]Mortality table'!H37</f>
        <v>2.5079999999998615E-3</v>
      </c>
      <c r="K15" s="56">
        <f t="shared" si="4"/>
        <v>26972.126522282811</v>
      </c>
      <c r="L15" s="56">
        <f t="shared" si="8"/>
        <v>-67.646093317881551</v>
      </c>
      <c r="M15" s="58">
        <f t="shared" si="9"/>
        <v>-36.887349569595735</v>
      </c>
      <c r="N15" s="59"/>
      <c r="O15" s="60"/>
      <c r="P15" s="60"/>
    </row>
    <row r="16" spans="1:16" x14ac:dyDescent="0.35">
      <c r="A16" s="55">
        <v>12</v>
      </c>
      <c r="B16" s="56">
        <f t="shared" si="0"/>
        <v>1950</v>
      </c>
      <c r="C16" s="56">
        <f t="shared" si="5"/>
        <v>1852.5</v>
      </c>
      <c r="D16" s="56">
        <f t="shared" si="6"/>
        <v>24880.373477717189</v>
      </c>
      <c r="E16" s="56">
        <f t="shared" si="1"/>
        <v>25626.784682048707</v>
      </c>
      <c r="G16" s="57">
        <f t="shared" si="2"/>
        <v>97.5</v>
      </c>
      <c r="H16" s="57">
        <f t="shared" si="7"/>
        <v>-69.21169353622227</v>
      </c>
      <c r="I16" s="57">
        <f t="shared" si="3"/>
        <v>0.42432459695666591</v>
      </c>
      <c r="J16" s="11">
        <f>'[1]Mortality table'!H38</f>
        <v>2.8089999999999665E-3</v>
      </c>
      <c r="K16" s="56">
        <f t="shared" si="4"/>
        <v>24373.215317951293</v>
      </c>
      <c r="L16" s="56">
        <f t="shared" si="8"/>
        <v>-68.464361828124368</v>
      </c>
      <c r="M16" s="58">
        <f t="shared" si="9"/>
        <v>-39.751730767389972</v>
      </c>
      <c r="N16" s="59"/>
      <c r="O16" s="60"/>
      <c r="P16" s="60"/>
    </row>
    <row r="17" spans="1:16" x14ac:dyDescent="0.35">
      <c r="A17" s="55">
        <v>13</v>
      </c>
      <c r="B17" s="56">
        <f t="shared" si="0"/>
        <v>1950</v>
      </c>
      <c r="C17" s="56">
        <f t="shared" si="5"/>
        <v>1852.5</v>
      </c>
      <c r="D17" s="56">
        <f t="shared" si="6"/>
        <v>27479.284682048707</v>
      </c>
      <c r="E17" s="56">
        <f t="shared" si="1"/>
        <v>28303.663222510168</v>
      </c>
      <c r="G17" s="57">
        <f t="shared" si="2"/>
        <v>97.5</v>
      </c>
      <c r="H17" s="57">
        <f t="shared" si="7"/>
        <v>-71.288044342308936</v>
      </c>
      <c r="I17" s="57">
        <f t="shared" si="3"/>
        <v>0.39317933486536594</v>
      </c>
      <c r="J17" s="11">
        <f>'[1]Mortality table'!H39</f>
        <v>3.1519999999999829E-3</v>
      </c>
      <c r="K17" s="56">
        <f t="shared" si="4"/>
        <v>21696.336777489832</v>
      </c>
      <c r="L17" s="56">
        <f t="shared" si="8"/>
        <v>-68.386853522647584</v>
      </c>
      <c r="M17" s="58">
        <f t="shared" si="9"/>
        <v>-41.781718530091155</v>
      </c>
      <c r="N17" s="59"/>
      <c r="O17" s="60"/>
      <c r="P17" s="60"/>
    </row>
    <row r="18" spans="1:16" x14ac:dyDescent="0.35">
      <c r="A18" s="55">
        <v>14</v>
      </c>
      <c r="B18" s="56">
        <f t="shared" si="0"/>
        <v>1950</v>
      </c>
      <c r="C18" s="56">
        <f t="shared" si="5"/>
        <v>1852.5</v>
      </c>
      <c r="D18" s="56">
        <f t="shared" si="6"/>
        <v>30156.163222510168</v>
      </c>
      <c r="E18" s="56">
        <f t="shared" si="1"/>
        <v>31060.848119185473</v>
      </c>
      <c r="G18" s="57">
        <f t="shared" si="2"/>
        <v>97.5</v>
      </c>
      <c r="H18" s="57">
        <f t="shared" si="7"/>
        <v>-73.426685672578202</v>
      </c>
      <c r="I18" s="57">
        <f t="shared" si="3"/>
        <v>0.36109971491132697</v>
      </c>
      <c r="J18" s="11">
        <f>'[1]Mortality table'!H40</f>
        <v>3.5389999999999042E-3</v>
      </c>
      <c r="K18" s="56">
        <f t="shared" si="4"/>
        <v>18939.151880814527</v>
      </c>
      <c r="L18" s="56">
        <f t="shared" si="8"/>
        <v>-67.025658506200799</v>
      </c>
      <c r="M18" s="58">
        <f t="shared" si="9"/>
        <v>-42.591244463867675</v>
      </c>
      <c r="N18" s="59"/>
      <c r="O18" s="60"/>
      <c r="P18" s="60"/>
    </row>
    <row r="19" spans="1:16" x14ac:dyDescent="0.35">
      <c r="A19" s="55">
        <v>15</v>
      </c>
      <c r="B19" s="56">
        <f t="shared" si="0"/>
        <v>1950</v>
      </c>
      <c r="C19" s="56">
        <f t="shared" si="5"/>
        <v>1852.5</v>
      </c>
      <c r="D19" s="56">
        <f t="shared" si="6"/>
        <v>32913.348119185473</v>
      </c>
      <c r="E19" s="56">
        <f t="shared" si="1"/>
        <v>33900.748562761037</v>
      </c>
      <c r="G19" s="57">
        <f t="shared" si="2"/>
        <v>97.5</v>
      </c>
      <c r="H19" s="57">
        <f t="shared" si="7"/>
        <v>-75.629486242755547</v>
      </c>
      <c r="I19" s="57">
        <f t="shared" si="3"/>
        <v>0.32805770635866677</v>
      </c>
      <c r="J19" s="11">
        <f>'[1]Mortality table'!H41</f>
        <v>3.9760000000000177E-3</v>
      </c>
      <c r="K19" s="56">
        <f t="shared" si="4"/>
        <v>16099.251437238963</v>
      </c>
      <c r="L19" s="56">
        <f t="shared" si="8"/>
        <v>-64.010623714462398</v>
      </c>
      <c r="M19" s="58">
        <f t="shared" si="9"/>
        <v>-41.812052250859281</v>
      </c>
      <c r="N19" s="59"/>
      <c r="O19" s="60"/>
      <c r="P19" s="60"/>
    </row>
    <row r="20" spans="1:16" x14ac:dyDescent="0.35">
      <c r="A20" s="55">
        <v>16</v>
      </c>
      <c r="B20" s="56">
        <f t="shared" si="0"/>
        <v>1950</v>
      </c>
      <c r="C20" s="56">
        <f t="shared" si="5"/>
        <v>1852.5</v>
      </c>
      <c r="D20" s="56">
        <f t="shared" si="6"/>
        <v>35753.248562761037</v>
      </c>
      <c r="E20" s="56">
        <f t="shared" si="1"/>
        <v>36825.846019643868</v>
      </c>
      <c r="G20" s="57">
        <f t="shared" si="2"/>
        <v>97.5</v>
      </c>
      <c r="H20" s="57">
        <f t="shared" si="7"/>
        <v>-77.898370830038218</v>
      </c>
      <c r="I20" s="57">
        <f t="shared" si="3"/>
        <v>0.2940244375494267</v>
      </c>
      <c r="J20" s="11">
        <f>'[1]Mortality table'!H42</f>
        <v>4.4690000000000294E-3</v>
      </c>
      <c r="K20" s="56">
        <f t="shared" si="4"/>
        <v>13174.153980356132</v>
      </c>
      <c r="L20" s="56">
        <f t="shared" si="8"/>
        <v>-58.875294138211942</v>
      </c>
      <c r="M20" s="58">
        <f t="shared" si="9"/>
        <v>-38.979640530700735</v>
      </c>
      <c r="N20" s="59"/>
      <c r="O20" s="60"/>
      <c r="P20" s="60"/>
    </row>
    <row r="21" spans="1:16" x14ac:dyDescent="0.35">
      <c r="A21" s="55">
        <v>17</v>
      </c>
      <c r="B21" s="56">
        <f t="shared" si="0"/>
        <v>1950</v>
      </c>
      <c r="C21" s="56">
        <f t="shared" si="5"/>
        <v>1852.5</v>
      </c>
      <c r="D21" s="56">
        <f t="shared" si="6"/>
        <v>38678.346019643868</v>
      </c>
      <c r="E21" s="56">
        <f t="shared" si="1"/>
        <v>39838.696400233188</v>
      </c>
      <c r="G21" s="57">
        <f t="shared" si="2"/>
        <v>97.5</v>
      </c>
      <c r="H21" s="57">
        <f t="shared" si="7"/>
        <v>-80.235321954939351</v>
      </c>
      <c r="I21" s="57">
        <f t="shared" si="3"/>
        <v>0.25897017067590972</v>
      </c>
      <c r="J21" s="11">
        <f>'[1]Mortality table'!H43</f>
        <v>5.0249999999998846E-3</v>
      </c>
      <c r="K21" s="56">
        <f t="shared" si="4"/>
        <v>10161.303599766812</v>
      </c>
      <c r="L21" s="56">
        <f t="shared" si="8"/>
        <v>-51.060550588827056</v>
      </c>
      <c r="M21" s="58">
        <f t="shared" si="9"/>
        <v>-33.536902373090498</v>
      </c>
      <c r="N21" s="59"/>
      <c r="O21" s="60"/>
      <c r="P21" s="60"/>
    </row>
    <row r="22" spans="1:16" x14ac:dyDescent="0.35">
      <c r="A22" s="55">
        <v>18</v>
      </c>
      <c r="B22" s="56">
        <f t="shared" si="0"/>
        <v>1950</v>
      </c>
      <c r="C22" s="56">
        <f t="shared" si="5"/>
        <v>1852.5</v>
      </c>
      <c r="D22" s="56">
        <f t="shared" si="6"/>
        <v>41691.196400233188</v>
      </c>
      <c r="E22" s="56">
        <f t="shared" si="1"/>
        <v>42941.932292240184</v>
      </c>
      <c r="G22" s="57">
        <f t="shared" si="2"/>
        <v>97.5</v>
      </c>
      <c r="H22" s="57">
        <f t="shared" si="7"/>
        <v>-82.642381613587531</v>
      </c>
      <c r="I22" s="57">
        <f t="shared" si="3"/>
        <v>0.22286427579618703</v>
      </c>
      <c r="J22" s="11">
        <f>'[1]Mortality table'!H44</f>
        <v>5.6499999999999519E-3</v>
      </c>
      <c r="K22" s="56">
        <f t="shared" si="4"/>
        <v>7058.0677077598157</v>
      </c>
      <c r="L22" s="56">
        <f t="shared" si="8"/>
        <v>-39.87808254884262</v>
      </c>
      <c r="M22" s="58">
        <f t="shared" si="9"/>
        <v>-24.797599886633964</v>
      </c>
      <c r="N22" s="59"/>
      <c r="O22" s="60"/>
      <c r="P22" s="60"/>
    </row>
    <row r="23" spans="1:16" x14ac:dyDescent="0.35">
      <c r="A23" s="55">
        <v>19</v>
      </c>
      <c r="B23" s="56">
        <f t="shared" si="0"/>
        <v>1950</v>
      </c>
      <c r="C23" s="56">
        <f t="shared" si="5"/>
        <v>1852.5</v>
      </c>
      <c r="D23" s="56">
        <f t="shared" si="6"/>
        <v>44794.432292240184</v>
      </c>
      <c r="E23" s="56">
        <f t="shared" si="1"/>
        <v>46138.265261007393</v>
      </c>
      <c r="G23" s="57">
        <f t="shared" si="2"/>
        <v>97.5</v>
      </c>
      <c r="H23" s="57">
        <f t="shared" si="7"/>
        <v>-85.121653061995161</v>
      </c>
      <c r="I23" s="57">
        <f t="shared" si="3"/>
        <v>0.18567520407007257</v>
      </c>
      <c r="J23" s="11">
        <f>'[1]Mortality table'!H45</f>
        <v>6.3520000000000633E-3</v>
      </c>
      <c r="K23" s="56">
        <f t="shared" si="4"/>
        <v>3861.7347389926072</v>
      </c>
      <c r="L23" s="56">
        <f t="shared" si="8"/>
        <v>-24.529739062081287</v>
      </c>
      <c r="M23" s="58">
        <f t="shared" si="9"/>
        <v>-11.965716920006376</v>
      </c>
      <c r="N23" s="59"/>
      <c r="O23" s="60"/>
      <c r="P23" s="60"/>
    </row>
    <row r="24" spans="1:16" x14ac:dyDescent="0.35">
      <c r="A24" s="55">
        <v>20</v>
      </c>
      <c r="B24" s="56">
        <f t="shared" si="0"/>
        <v>1950</v>
      </c>
      <c r="C24" s="56">
        <f t="shared" si="5"/>
        <v>1852.5</v>
      </c>
      <c r="D24" s="56">
        <f t="shared" si="6"/>
        <v>47990.765261007393</v>
      </c>
      <c r="E24" s="56">
        <f t="shared" si="1"/>
        <v>49430.488218837614</v>
      </c>
      <c r="G24" s="57">
        <f t="shared" si="2"/>
        <v>97.5</v>
      </c>
      <c r="H24" s="57">
        <f t="shared" si="7"/>
        <v>-87.675302653855013</v>
      </c>
      <c r="I24" s="57">
        <f t="shared" si="3"/>
        <v>0.14737046019217478</v>
      </c>
      <c r="J24" s="11">
        <f>'[1]Mortality table'!H46</f>
        <v>7.1400000000001072E-3</v>
      </c>
      <c r="K24" s="56">
        <f t="shared" si="4"/>
        <v>569.51178116238589</v>
      </c>
      <c r="L24" s="56">
        <f t="shared" si="8"/>
        <v>-4.0663141174994966</v>
      </c>
      <c r="M24" s="58">
        <f t="shared" si="9"/>
        <v>5.9057536888376649</v>
      </c>
      <c r="N24" s="59"/>
      <c r="O24" s="60"/>
      <c r="P24" s="60"/>
    </row>
    <row r="25" spans="1:16" x14ac:dyDescent="0.35">
      <c r="A25" s="55">
        <v>21</v>
      </c>
      <c r="B25" s="56">
        <f t="shared" si="0"/>
        <v>1950</v>
      </c>
      <c r="C25" s="56">
        <f t="shared" si="5"/>
        <v>1852.5</v>
      </c>
      <c r="D25" s="56">
        <f t="shared" si="6"/>
        <v>51282.988218837614</v>
      </c>
      <c r="E25" s="56">
        <f t="shared" si="1"/>
        <v>52821.477865402747</v>
      </c>
      <c r="G25" s="57">
        <f t="shared" si="2"/>
        <v>97.5</v>
      </c>
      <c r="H25" s="57">
        <f t="shared" si="7"/>
        <v>-90.305561733470668</v>
      </c>
      <c r="I25" s="57">
        <f t="shared" si="3"/>
        <v>0.10791657399793997</v>
      </c>
      <c r="J25" s="11">
        <f>'[1]Mortality table'!H47</f>
        <v>8.022000000000069E-3</v>
      </c>
      <c r="K25" s="56">
        <f t="shared" si="4"/>
        <v>0</v>
      </c>
      <c r="L25" s="56">
        <f t="shared" si="8"/>
        <v>0</v>
      </c>
      <c r="M25" s="58">
        <f t="shared" si="9"/>
        <v>7.302354840527272</v>
      </c>
      <c r="N25" s="59"/>
      <c r="O25" s="60"/>
      <c r="P25" s="60"/>
    </row>
    <row r="26" spans="1:16" x14ac:dyDescent="0.35">
      <c r="A26" s="55">
        <v>22</v>
      </c>
      <c r="B26" s="56">
        <f t="shared" si="0"/>
        <v>1950</v>
      </c>
      <c r="C26" s="56">
        <f t="shared" si="5"/>
        <v>1852.5</v>
      </c>
      <c r="D26" s="56">
        <f t="shared" si="6"/>
        <v>54673.977865402747</v>
      </c>
      <c r="E26" s="56">
        <f t="shared" si="1"/>
        <v>56314.197201364834</v>
      </c>
      <c r="G26" s="57">
        <f t="shared" si="2"/>
        <v>97.5</v>
      </c>
      <c r="H26" s="57">
        <f t="shared" si="7"/>
        <v>-93.014728585474771</v>
      </c>
      <c r="I26" s="57">
        <f t="shared" si="3"/>
        <v>6.7279071217878433E-2</v>
      </c>
      <c r="J26" s="11">
        <f>'[1]Mortality table'!H48</f>
        <v>9.0090000000001332E-3</v>
      </c>
      <c r="K26" s="56">
        <f t="shared" si="4"/>
        <v>0</v>
      </c>
      <c r="L26" s="56">
        <f t="shared" si="8"/>
        <v>0</v>
      </c>
      <c r="M26" s="58">
        <f t="shared" si="9"/>
        <v>4.5525504857431081</v>
      </c>
      <c r="N26" s="59"/>
      <c r="O26" s="60"/>
      <c r="P26" s="60"/>
    </row>
    <row r="27" spans="1:16" x14ac:dyDescent="0.35">
      <c r="A27" s="55">
        <v>23</v>
      </c>
      <c r="B27" s="56">
        <f t="shared" si="0"/>
        <v>1950</v>
      </c>
      <c r="C27" s="56">
        <f t="shared" si="5"/>
        <v>1852.5</v>
      </c>
      <c r="D27" s="56">
        <f t="shared" si="6"/>
        <v>58166.697201364834</v>
      </c>
      <c r="E27" s="56">
        <f t="shared" si="1"/>
        <v>59911.69811740578</v>
      </c>
      <c r="G27" s="57">
        <f t="shared" si="2"/>
        <v>97.5</v>
      </c>
      <c r="H27" s="57">
        <f t="shared" si="7"/>
        <v>-95.805170443039017</v>
      </c>
      <c r="I27" s="57">
        <f t="shared" si="3"/>
        <v>2.5422443354414737E-2</v>
      </c>
      <c r="J27" s="11">
        <f>'[1]Mortality table'!H49</f>
        <v>1.0111999999999927E-2</v>
      </c>
      <c r="K27" s="56">
        <f t="shared" si="4"/>
        <v>0</v>
      </c>
      <c r="L27" s="56">
        <f t="shared" si="8"/>
        <v>0</v>
      </c>
      <c r="M27" s="58">
        <f t="shared" si="9"/>
        <v>1.7202520003153974</v>
      </c>
      <c r="N27" s="59"/>
      <c r="O27" s="60"/>
      <c r="P27" s="60"/>
    </row>
    <row r="28" spans="1:16" x14ac:dyDescent="0.35">
      <c r="A28" s="55">
        <v>24</v>
      </c>
      <c r="B28" s="56">
        <f t="shared" si="0"/>
        <v>1950</v>
      </c>
      <c r="C28" s="56">
        <f t="shared" si="5"/>
        <v>1852.5</v>
      </c>
      <c r="D28" s="56">
        <f t="shared" si="6"/>
        <v>61764.19811740578</v>
      </c>
      <c r="E28" s="56">
        <f t="shared" si="1"/>
        <v>63617.124060927956</v>
      </c>
      <c r="G28" s="57">
        <f t="shared" si="2"/>
        <v>97.5</v>
      </c>
      <c r="H28" s="57">
        <f t="shared" si="7"/>
        <v>-98.679325556330198</v>
      </c>
      <c r="I28" s="57">
        <f t="shared" si="3"/>
        <v>-1.7689883344952972E-2</v>
      </c>
      <c r="J28" s="11">
        <f>'[1]Mortality table'!H50</f>
        <v>1.134400000000001E-2</v>
      </c>
      <c r="K28" s="56">
        <f t="shared" si="4"/>
        <v>0</v>
      </c>
      <c r="L28" s="56">
        <f t="shared" si="8"/>
        <v>0</v>
      </c>
      <c r="M28" s="58">
        <f t="shared" si="9"/>
        <v>-1.1970154396751513</v>
      </c>
      <c r="N28" s="59"/>
      <c r="O28" s="60"/>
      <c r="P28" s="60"/>
    </row>
    <row r="29" spans="1:16" x14ac:dyDescent="0.35">
      <c r="A29" s="55">
        <v>25</v>
      </c>
      <c r="B29" s="56">
        <f t="shared" si="0"/>
        <v>1950</v>
      </c>
      <c r="C29" s="56">
        <f t="shared" si="5"/>
        <v>1852.5</v>
      </c>
      <c r="D29" s="56">
        <f t="shared" si="6"/>
        <v>65469.624060927956</v>
      </c>
      <c r="E29" s="56">
        <f t="shared" si="1"/>
        <v>67433.7127827558</v>
      </c>
      <c r="G29" s="57">
        <f t="shared" si="2"/>
        <v>97.5</v>
      </c>
      <c r="H29" s="57">
        <f t="shared" si="7"/>
        <v>-101.6397053230201</v>
      </c>
      <c r="I29" s="57">
        <f t="shared" si="3"/>
        <v>-6.2095579845301424E-2</v>
      </c>
      <c r="J29" s="11">
        <f>'[1]Mortality table'!H51</f>
        <v>1.271599999999987E-2</v>
      </c>
      <c r="K29" s="56">
        <f t="shared" si="4"/>
        <v>0</v>
      </c>
      <c r="L29" s="56">
        <f t="shared" si="8"/>
        <v>0</v>
      </c>
      <c r="M29" s="58">
        <f t="shared" si="9"/>
        <v>-4.2018009028653971</v>
      </c>
      <c r="N29" s="59"/>
      <c r="O29" s="60"/>
      <c r="P29" s="6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4"/>
  <sheetViews>
    <sheetView showGridLines="0" workbookViewId="0">
      <pane ySplit="4" topLeftCell="A10" activePane="bottomLeft" state="frozen"/>
      <selection pane="bottomLeft" activeCell="J23" sqref="A1:XFD1048576"/>
    </sheetView>
  </sheetViews>
  <sheetFormatPr defaultColWidth="11.7265625" defaultRowHeight="14.5" x14ac:dyDescent="0.35"/>
  <cols>
    <col min="1" max="4" width="11.7265625" style="12"/>
    <col min="5" max="5" width="11.7265625" style="12" customWidth="1"/>
    <col min="6" max="6" width="1.453125" style="12" customWidth="1"/>
    <col min="7" max="16384" width="11.7265625" style="12"/>
  </cols>
  <sheetData>
    <row r="1" spans="1:21" s="10" customFormat="1" ht="21" x14ac:dyDescent="0.5">
      <c r="A1" s="9" t="s">
        <v>60</v>
      </c>
    </row>
    <row r="2" spans="1:21" x14ac:dyDescent="0.35">
      <c r="B2" s="31" t="s">
        <v>39</v>
      </c>
      <c r="C2" s="61"/>
      <c r="G2" s="31" t="s">
        <v>40</v>
      </c>
      <c r="H2" s="62"/>
      <c r="I2" s="61"/>
      <c r="N2" s="63"/>
      <c r="O2" s="63"/>
      <c r="P2" s="63"/>
      <c r="Q2" s="63"/>
      <c r="R2" s="63"/>
    </row>
    <row r="3" spans="1:21" x14ac:dyDescent="0.35">
      <c r="A3" s="48"/>
      <c r="B3" s="48"/>
      <c r="C3" s="48" t="s">
        <v>41</v>
      </c>
      <c r="D3" s="48" t="s">
        <v>42</v>
      </c>
      <c r="E3" s="48" t="s">
        <v>42</v>
      </c>
      <c r="F3" s="64"/>
      <c r="G3" s="48" t="s">
        <v>43</v>
      </c>
      <c r="H3" s="48"/>
      <c r="I3" s="48"/>
      <c r="J3" s="48" t="s">
        <v>44</v>
      </c>
      <c r="K3" s="48" t="s">
        <v>45</v>
      </c>
      <c r="L3" s="48" t="s">
        <v>46</v>
      </c>
      <c r="M3" s="50" t="s">
        <v>47</v>
      </c>
      <c r="N3" s="51"/>
      <c r="O3" s="52"/>
      <c r="P3" s="52"/>
      <c r="Q3" s="52"/>
      <c r="R3" s="52"/>
      <c r="S3" s="52"/>
      <c r="T3" s="52"/>
      <c r="U3" s="52"/>
    </row>
    <row r="4" spans="1:21" x14ac:dyDescent="0.35">
      <c r="A4" s="53" t="s">
        <v>48</v>
      </c>
      <c r="B4" s="53" t="s">
        <v>49</v>
      </c>
      <c r="C4" s="53" t="s">
        <v>50</v>
      </c>
      <c r="D4" s="53" t="s">
        <v>51</v>
      </c>
      <c r="E4" s="53" t="s">
        <v>52</v>
      </c>
      <c r="F4" s="64"/>
      <c r="G4" s="53" t="s">
        <v>53</v>
      </c>
      <c r="H4" s="53" t="s">
        <v>54</v>
      </c>
      <c r="I4" s="53" t="s">
        <v>55</v>
      </c>
      <c r="J4" s="53" t="s">
        <v>56</v>
      </c>
      <c r="K4" s="53" t="s">
        <v>57</v>
      </c>
      <c r="L4" s="53" t="s">
        <v>58</v>
      </c>
      <c r="M4" s="54" t="s">
        <v>59</v>
      </c>
      <c r="N4" s="51"/>
      <c r="O4" s="52"/>
      <c r="P4" s="52"/>
      <c r="Q4" s="52"/>
      <c r="R4" s="52"/>
      <c r="S4" s="52"/>
      <c r="T4" s="52"/>
      <c r="U4" s="52"/>
    </row>
    <row r="5" spans="1:21" x14ac:dyDescent="0.35">
      <c r="A5" s="55">
        <v>1</v>
      </c>
      <c r="B5" s="56">
        <f t="shared" ref="B5:B29" si="0">P</f>
        <v>1950</v>
      </c>
      <c r="C5" s="56">
        <f>B5*A*(1-BO)</f>
        <v>833.625</v>
      </c>
      <c r="D5" s="56">
        <f>C5</f>
        <v>833.625</v>
      </c>
      <c r="E5" s="56">
        <f t="shared" ref="E5:E29" si="1">D5*(1+ProUG)</f>
        <v>866.97</v>
      </c>
      <c r="F5" s="65"/>
      <c r="G5" s="57">
        <f t="shared" ref="G5:G29" si="2">B5-C5</f>
        <v>1116.375</v>
      </c>
      <c r="H5" s="57">
        <f>-ProIE</f>
        <v>-1000</v>
      </c>
      <c r="I5" s="57">
        <f t="shared" ref="I5:I29" si="3">(G5+H5)*ProINT</f>
        <v>2.3275000000000001</v>
      </c>
      <c r="J5" s="66">
        <f>'[1]Mortality table'!H27*ProMM</f>
        <v>7.4959999999990069E-4</v>
      </c>
      <c r="K5" s="57">
        <f t="shared" ref="K5:K29" si="4">MAX(D-E5,0)</f>
        <v>49133.03</v>
      </c>
      <c r="L5" s="57">
        <f>-J5*K5</f>
        <v>-36.830119287995117</v>
      </c>
      <c r="M5" s="58">
        <f>G5+H5+I5+L5</f>
        <v>81.872380712004883</v>
      </c>
      <c r="N5" s="67"/>
      <c r="O5" s="68"/>
      <c r="P5" s="69"/>
      <c r="Q5" s="60"/>
      <c r="R5" s="70"/>
      <c r="S5" s="69"/>
      <c r="T5" s="69"/>
      <c r="U5" s="60"/>
    </row>
    <row r="6" spans="1:21" x14ac:dyDescent="0.35">
      <c r="A6" s="55">
        <v>2</v>
      </c>
      <c r="B6" s="56">
        <f t="shared" si="0"/>
        <v>1950</v>
      </c>
      <c r="C6" s="56">
        <f t="shared" ref="C6:C29" si="5">B6*(1-BO)</f>
        <v>1852.5</v>
      </c>
      <c r="D6" s="56">
        <f t="shared" ref="D6:D29" si="6">C6+E5</f>
        <v>2719.4700000000003</v>
      </c>
      <c r="E6" s="56">
        <f t="shared" si="1"/>
        <v>2828.2488000000003</v>
      </c>
      <c r="F6" s="65"/>
      <c r="G6" s="57">
        <f t="shared" si="2"/>
        <v>97.5</v>
      </c>
      <c r="H6" s="57">
        <f t="shared" ref="H6:H29" si="7">-ProRE*(1+ProINF)^A5</f>
        <v>-51</v>
      </c>
      <c r="I6" s="57">
        <f t="shared" si="3"/>
        <v>0.93</v>
      </c>
      <c r="J6" s="66">
        <f>'[1]Mortality table'!H28*ProMM</f>
        <v>8.1119999999989742E-4</v>
      </c>
      <c r="K6" s="57">
        <f t="shared" si="4"/>
        <v>47171.751199999999</v>
      </c>
      <c r="L6" s="57">
        <f t="shared" ref="L6:L29" si="8">-J6*K6</f>
        <v>-38.265724573435158</v>
      </c>
      <c r="M6" s="58">
        <f t="shared" ref="M6:M29" si="9">G6+H6+I6+L6</f>
        <v>9.1642754265648421</v>
      </c>
      <c r="N6" s="67"/>
      <c r="O6" s="68"/>
      <c r="P6" s="69"/>
      <c r="Q6" s="60"/>
      <c r="R6" s="70"/>
      <c r="S6" s="69"/>
      <c r="T6" s="69"/>
      <c r="U6" s="60"/>
    </row>
    <row r="7" spans="1:21" x14ac:dyDescent="0.35">
      <c r="A7" s="55">
        <v>3</v>
      </c>
      <c r="B7" s="56">
        <f t="shared" si="0"/>
        <v>1950</v>
      </c>
      <c r="C7" s="56">
        <f t="shared" si="5"/>
        <v>1852.5</v>
      </c>
      <c r="D7" s="56">
        <f t="shared" si="6"/>
        <v>4680.7488000000003</v>
      </c>
      <c r="E7" s="56">
        <f t="shared" si="1"/>
        <v>4867.9787520000009</v>
      </c>
      <c r="F7" s="65"/>
      <c r="G7" s="57">
        <f t="shared" si="2"/>
        <v>97.5</v>
      </c>
      <c r="H7" s="57">
        <f t="shared" si="7"/>
        <v>-52.019999999999996</v>
      </c>
      <c r="I7" s="57">
        <f t="shared" si="3"/>
        <v>0.90960000000000008</v>
      </c>
      <c r="J7" s="66">
        <f>'[1]Mortality table'!H29*ProMM</f>
        <v>8.8320000000001496E-4</v>
      </c>
      <c r="K7" s="57">
        <f t="shared" si="4"/>
        <v>45132.021247999997</v>
      </c>
      <c r="L7" s="57">
        <f t="shared" si="8"/>
        <v>-39.860601166234275</v>
      </c>
      <c r="M7" s="58">
        <f t="shared" si="9"/>
        <v>6.5289988337657263</v>
      </c>
      <c r="N7" s="67"/>
      <c r="O7" s="68"/>
      <c r="P7" s="69"/>
      <c r="Q7" s="60"/>
      <c r="R7" s="70"/>
      <c r="S7" s="69"/>
      <c r="T7" s="69"/>
      <c r="U7" s="60"/>
    </row>
    <row r="8" spans="1:21" x14ac:dyDescent="0.35">
      <c r="A8" s="55">
        <v>4</v>
      </c>
      <c r="B8" s="56">
        <f t="shared" si="0"/>
        <v>1950</v>
      </c>
      <c r="C8" s="56">
        <f t="shared" si="5"/>
        <v>1852.5</v>
      </c>
      <c r="D8" s="56">
        <f t="shared" si="6"/>
        <v>6720.4787520000009</v>
      </c>
      <c r="E8" s="56">
        <f t="shared" si="1"/>
        <v>6989.2979020800012</v>
      </c>
      <c r="F8" s="65"/>
      <c r="G8" s="57">
        <f t="shared" si="2"/>
        <v>97.5</v>
      </c>
      <c r="H8" s="57">
        <f t="shared" si="7"/>
        <v>-53.060399999999994</v>
      </c>
      <c r="I8" s="57">
        <f t="shared" si="3"/>
        <v>0.88879200000000014</v>
      </c>
      <c r="J8" s="66">
        <f>'[1]Mortality table'!H30*ProMM</f>
        <v>9.6639999999992103E-4</v>
      </c>
      <c r="K8" s="57">
        <f t="shared" si="4"/>
        <v>43010.702097920002</v>
      </c>
      <c r="L8" s="57">
        <f t="shared" si="8"/>
        <v>-41.565542507426493</v>
      </c>
      <c r="M8" s="58">
        <f t="shared" si="9"/>
        <v>3.7628494925735154</v>
      </c>
      <c r="N8" s="67"/>
      <c r="O8" s="68"/>
      <c r="P8" s="69"/>
      <c r="Q8" s="60"/>
      <c r="R8" s="70"/>
      <c r="S8" s="69"/>
      <c r="T8" s="69"/>
      <c r="U8" s="60"/>
    </row>
    <row r="9" spans="1:21" x14ac:dyDescent="0.35">
      <c r="A9" s="55">
        <v>5</v>
      </c>
      <c r="B9" s="56">
        <f t="shared" si="0"/>
        <v>1950</v>
      </c>
      <c r="C9" s="56">
        <f t="shared" si="5"/>
        <v>1852.5</v>
      </c>
      <c r="D9" s="56">
        <f t="shared" si="6"/>
        <v>8841.7979020800012</v>
      </c>
      <c r="E9" s="56">
        <f t="shared" si="1"/>
        <v>9195.4698181632011</v>
      </c>
      <c r="F9" s="65"/>
      <c r="G9" s="57">
        <f t="shared" si="2"/>
        <v>97.5</v>
      </c>
      <c r="H9" s="57">
        <f t="shared" si="7"/>
        <v>-54.121608000000002</v>
      </c>
      <c r="I9" s="57">
        <f t="shared" si="3"/>
        <v>0.86756783999999998</v>
      </c>
      <c r="J9" s="66">
        <f>'[1]Mortality table'!H31*ProMM</f>
        <v>1.0616000000000156E-3</v>
      </c>
      <c r="K9" s="57">
        <f t="shared" si="4"/>
        <v>40804.530181836803</v>
      </c>
      <c r="L9" s="57">
        <f t="shared" si="8"/>
        <v>-43.318089241038585</v>
      </c>
      <c r="M9" s="58">
        <f t="shared" si="9"/>
        <v>0.92787059896141244</v>
      </c>
      <c r="N9" s="67"/>
      <c r="O9" s="68"/>
      <c r="P9" s="69"/>
      <c r="Q9" s="60"/>
      <c r="R9" s="70"/>
      <c r="S9" s="69"/>
      <c r="T9" s="69"/>
      <c r="U9" s="60"/>
    </row>
    <row r="10" spans="1:21" x14ac:dyDescent="0.35">
      <c r="A10" s="55">
        <v>6</v>
      </c>
      <c r="B10" s="56">
        <f t="shared" si="0"/>
        <v>1950</v>
      </c>
      <c r="C10" s="56">
        <f t="shared" si="5"/>
        <v>1852.5</v>
      </c>
      <c r="D10" s="56">
        <f t="shared" si="6"/>
        <v>11047.969818163201</v>
      </c>
      <c r="E10" s="56">
        <f t="shared" si="1"/>
        <v>11489.88861088973</v>
      </c>
      <c r="F10" s="65"/>
      <c r="G10" s="57">
        <f t="shared" si="2"/>
        <v>97.5</v>
      </c>
      <c r="H10" s="57">
        <f t="shared" si="7"/>
        <v>-55.204040159999998</v>
      </c>
      <c r="I10" s="57">
        <f t="shared" si="3"/>
        <v>0.84591919680000005</v>
      </c>
      <c r="J10" s="66">
        <f>'[1]Mortality table'!H32*ProMM</f>
        <v>1.1719999999999702E-3</v>
      </c>
      <c r="K10" s="57">
        <f t="shared" si="4"/>
        <v>38510.111389110272</v>
      </c>
      <c r="L10" s="57">
        <f t="shared" si="8"/>
        <v>-45.133850548036087</v>
      </c>
      <c r="M10" s="58">
        <f t="shared" si="9"/>
        <v>-1.9919715112360876</v>
      </c>
      <c r="N10" s="67"/>
      <c r="O10" s="68"/>
      <c r="P10" s="69"/>
      <c r="Q10" s="60"/>
      <c r="R10" s="70"/>
      <c r="S10" s="69"/>
      <c r="T10" s="69"/>
      <c r="U10" s="60"/>
    </row>
    <row r="11" spans="1:21" x14ac:dyDescent="0.35">
      <c r="A11" s="55">
        <v>7</v>
      </c>
      <c r="B11" s="56">
        <f t="shared" si="0"/>
        <v>1950</v>
      </c>
      <c r="C11" s="56">
        <f t="shared" si="5"/>
        <v>1852.5</v>
      </c>
      <c r="D11" s="56">
        <f t="shared" si="6"/>
        <v>13342.38861088973</v>
      </c>
      <c r="E11" s="56">
        <f t="shared" si="1"/>
        <v>13876.084155325319</v>
      </c>
      <c r="F11" s="65"/>
      <c r="G11" s="57">
        <f t="shared" si="2"/>
        <v>97.5</v>
      </c>
      <c r="H11" s="57">
        <f t="shared" si="7"/>
        <v>-56.308120963200004</v>
      </c>
      <c r="I11" s="57">
        <f t="shared" si="3"/>
        <v>0.82383758073599989</v>
      </c>
      <c r="J11" s="66">
        <f>'[1]Mortality table'!H33*ProMM</f>
        <v>1.2976000000000491E-3</v>
      </c>
      <c r="K11" s="57">
        <f t="shared" si="4"/>
        <v>36123.915844674681</v>
      </c>
      <c r="L11" s="57">
        <f t="shared" si="8"/>
        <v>-46.874393200051642</v>
      </c>
      <c r="M11" s="58">
        <f t="shared" si="9"/>
        <v>-4.858676582515649</v>
      </c>
      <c r="N11" s="67"/>
      <c r="O11" s="68"/>
      <c r="P11" s="69"/>
      <c r="Q11" s="60"/>
      <c r="R11" s="70"/>
      <c r="S11" s="69"/>
      <c r="T11" s="69"/>
      <c r="U11" s="60"/>
    </row>
    <row r="12" spans="1:21" x14ac:dyDescent="0.35">
      <c r="A12" s="55">
        <v>8</v>
      </c>
      <c r="B12" s="56">
        <f t="shared" si="0"/>
        <v>1950</v>
      </c>
      <c r="C12" s="56">
        <f t="shared" si="5"/>
        <v>1852.5</v>
      </c>
      <c r="D12" s="56">
        <f t="shared" si="6"/>
        <v>15728.584155325319</v>
      </c>
      <c r="E12" s="56">
        <f t="shared" si="1"/>
        <v>16357.727521538332</v>
      </c>
      <c r="F12" s="65"/>
      <c r="G12" s="57">
        <f t="shared" si="2"/>
        <v>97.5</v>
      </c>
      <c r="H12" s="57">
        <f t="shared" si="7"/>
        <v>-57.434283382463988</v>
      </c>
      <c r="I12" s="57">
        <f t="shared" si="3"/>
        <v>0.80131433235072025</v>
      </c>
      <c r="J12" s="66">
        <f>'[1]Mortality table'!H34*ProMM</f>
        <v>1.4415999999999635E-3</v>
      </c>
      <c r="K12" s="57">
        <f t="shared" si="4"/>
        <v>33642.272478461666</v>
      </c>
      <c r="L12" s="57">
        <f t="shared" si="8"/>
        <v>-48.498700004949107</v>
      </c>
      <c r="M12" s="58">
        <f t="shared" si="9"/>
        <v>-7.6316690550623747</v>
      </c>
      <c r="N12" s="67"/>
      <c r="O12" s="68"/>
      <c r="P12" s="69"/>
      <c r="Q12" s="60"/>
      <c r="R12" s="70"/>
      <c r="S12" s="69"/>
      <c r="T12" s="69"/>
      <c r="U12" s="60"/>
    </row>
    <row r="13" spans="1:21" x14ac:dyDescent="0.35">
      <c r="A13" s="55">
        <v>9</v>
      </c>
      <c r="B13" s="56">
        <f t="shared" si="0"/>
        <v>1950</v>
      </c>
      <c r="C13" s="56">
        <f t="shared" si="5"/>
        <v>1852.5</v>
      </c>
      <c r="D13" s="56">
        <f t="shared" si="6"/>
        <v>18210.227521538334</v>
      </c>
      <c r="E13" s="56">
        <f t="shared" si="1"/>
        <v>18938.636622399867</v>
      </c>
      <c r="F13" s="65"/>
      <c r="G13" s="57">
        <f t="shared" si="2"/>
        <v>97.5</v>
      </c>
      <c r="H13" s="57">
        <f t="shared" si="7"/>
        <v>-58.582969050113277</v>
      </c>
      <c r="I13" s="57">
        <f t="shared" si="3"/>
        <v>0.77834061899773443</v>
      </c>
      <c r="J13" s="66">
        <f>'[1]Mortality table'!H35*ProMM</f>
        <v>1.6063999999999679E-3</v>
      </c>
      <c r="K13" s="57">
        <f t="shared" si="4"/>
        <v>31061.363377600133</v>
      </c>
      <c r="L13" s="57">
        <f t="shared" si="8"/>
        <v>-49.896974129775856</v>
      </c>
      <c r="M13" s="58">
        <f t="shared" si="9"/>
        <v>-10.201602560891402</v>
      </c>
      <c r="N13" s="67"/>
      <c r="O13" s="68"/>
      <c r="P13" s="69"/>
      <c r="Q13" s="60"/>
      <c r="R13" s="70"/>
      <c r="S13" s="69"/>
      <c r="T13" s="69"/>
      <c r="U13" s="60"/>
    </row>
    <row r="14" spans="1:21" x14ac:dyDescent="0.35">
      <c r="A14" s="55">
        <v>10</v>
      </c>
      <c r="B14" s="56">
        <f t="shared" si="0"/>
        <v>1950</v>
      </c>
      <c r="C14" s="56">
        <f t="shared" si="5"/>
        <v>1852.5</v>
      </c>
      <c r="D14" s="56">
        <f t="shared" si="6"/>
        <v>20791.136622399867</v>
      </c>
      <c r="E14" s="56">
        <f t="shared" si="1"/>
        <v>21622.782087295862</v>
      </c>
      <c r="F14" s="65"/>
      <c r="G14" s="57">
        <f t="shared" si="2"/>
        <v>97.5</v>
      </c>
      <c r="H14" s="57">
        <f t="shared" si="7"/>
        <v>-59.754628431115542</v>
      </c>
      <c r="I14" s="57">
        <f t="shared" si="3"/>
        <v>0.75490743137768923</v>
      </c>
      <c r="J14" s="66">
        <f>'[1]Mortality table'!H36*ProMM</f>
        <v>1.7928000000000861E-3</v>
      </c>
      <c r="K14" s="57">
        <f t="shared" si="4"/>
        <v>28377.217912704138</v>
      </c>
      <c r="L14" s="57">
        <f t="shared" si="8"/>
        <v>-50.874676273898423</v>
      </c>
      <c r="M14" s="58">
        <f t="shared" si="9"/>
        <v>-12.374397273636276</v>
      </c>
      <c r="N14" s="67"/>
      <c r="O14" s="68"/>
      <c r="P14" s="69"/>
      <c r="Q14" s="60"/>
      <c r="R14" s="70"/>
      <c r="S14" s="69"/>
      <c r="T14" s="69"/>
      <c r="U14" s="60"/>
    </row>
    <row r="15" spans="1:21" x14ac:dyDescent="0.35">
      <c r="A15" s="55">
        <v>11</v>
      </c>
      <c r="B15" s="56">
        <f t="shared" si="0"/>
        <v>1950</v>
      </c>
      <c r="C15" s="56">
        <f t="shared" si="5"/>
        <v>1852.5</v>
      </c>
      <c r="D15" s="56">
        <f t="shared" si="6"/>
        <v>23475.282087295862</v>
      </c>
      <c r="E15" s="56">
        <f t="shared" si="1"/>
        <v>24414.293370787698</v>
      </c>
      <c r="F15" s="65"/>
      <c r="G15" s="57">
        <f t="shared" si="2"/>
        <v>97.5</v>
      </c>
      <c r="H15" s="57">
        <f t="shared" si="7"/>
        <v>-60.949720999737856</v>
      </c>
      <c r="I15" s="57">
        <f t="shared" si="3"/>
        <v>0.73100558000524285</v>
      </c>
      <c r="J15" s="66">
        <f>'[1]Mortality table'!H37*ProMM</f>
        <v>2.0063999999998892E-3</v>
      </c>
      <c r="K15" s="57">
        <f t="shared" si="4"/>
        <v>25585.706629212302</v>
      </c>
      <c r="L15" s="57">
        <f t="shared" si="8"/>
        <v>-51.335161780848729</v>
      </c>
      <c r="M15" s="58">
        <f t="shared" si="9"/>
        <v>-14.05387720058134</v>
      </c>
      <c r="N15" s="67"/>
      <c r="O15" s="68"/>
      <c r="P15" s="69"/>
      <c r="Q15" s="60"/>
      <c r="R15" s="70"/>
      <c r="S15" s="69"/>
      <c r="T15" s="69"/>
      <c r="U15" s="60"/>
    </row>
    <row r="16" spans="1:21" x14ac:dyDescent="0.35">
      <c r="A16" s="55">
        <v>12</v>
      </c>
      <c r="B16" s="56">
        <f t="shared" si="0"/>
        <v>1950</v>
      </c>
      <c r="C16" s="56">
        <f t="shared" si="5"/>
        <v>1852.5</v>
      </c>
      <c r="D16" s="56">
        <f t="shared" si="6"/>
        <v>26266.793370787698</v>
      </c>
      <c r="E16" s="56">
        <f t="shared" si="1"/>
        <v>27317.465105619209</v>
      </c>
      <c r="F16" s="65"/>
      <c r="G16" s="57">
        <f t="shared" si="2"/>
        <v>97.5</v>
      </c>
      <c r="H16" s="57">
        <f t="shared" si="7"/>
        <v>-62.1687154197326</v>
      </c>
      <c r="I16" s="57">
        <f t="shared" si="3"/>
        <v>0.70662569160534805</v>
      </c>
      <c r="J16" s="66">
        <f>'[1]Mortality table'!H38*ProMM</f>
        <v>2.2471999999999731E-3</v>
      </c>
      <c r="K16" s="57">
        <f t="shared" si="4"/>
        <v>22682.534894380791</v>
      </c>
      <c r="L16" s="57">
        <f t="shared" si="8"/>
        <v>-50.972192414651907</v>
      </c>
      <c r="M16" s="58">
        <f t="shared" si="9"/>
        <v>-14.934282142779161</v>
      </c>
      <c r="N16" s="67"/>
      <c r="O16" s="68"/>
      <c r="P16" s="69"/>
      <c r="Q16" s="60"/>
      <c r="R16" s="70"/>
      <c r="S16" s="69"/>
      <c r="T16" s="69"/>
      <c r="U16" s="60"/>
    </row>
    <row r="17" spans="1:21" x14ac:dyDescent="0.35">
      <c r="A17" s="55">
        <v>13</v>
      </c>
      <c r="B17" s="56">
        <f t="shared" si="0"/>
        <v>1950</v>
      </c>
      <c r="C17" s="56">
        <f t="shared" si="5"/>
        <v>1852.5</v>
      </c>
      <c r="D17" s="56">
        <f t="shared" si="6"/>
        <v>29169.965105619209</v>
      </c>
      <c r="E17" s="56">
        <f t="shared" si="1"/>
        <v>30336.763709843977</v>
      </c>
      <c r="F17" s="65"/>
      <c r="G17" s="57">
        <f t="shared" si="2"/>
        <v>97.5</v>
      </c>
      <c r="H17" s="57">
        <f t="shared" si="7"/>
        <v>-63.412089728127263</v>
      </c>
      <c r="I17" s="57">
        <f t="shared" si="3"/>
        <v>0.6817582054374548</v>
      </c>
      <c r="J17" s="66">
        <f>'[1]Mortality table'!H39*ProMM</f>
        <v>2.5215999999999867E-3</v>
      </c>
      <c r="K17" s="57">
        <f t="shared" si="4"/>
        <v>19663.236290156023</v>
      </c>
      <c r="L17" s="57">
        <f t="shared" si="8"/>
        <v>-49.582816629257167</v>
      </c>
      <c r="M17" s="58">
        <f t="shared" si="9"/>
        <v>-14.813148151946976</v>
      </c>
      <c r="N17" s="67"/>
      <c r="O17" s="68"/>
      <c r="P17" s="69"/>
      <c r="Q17" s="60"/>
      <c r="R17" s="70"/>
      <c r="S17" s="69"/>
      <c r="T17" s="69"/>
      <c r="U17" s="60"/>
    </row>
    <row r="18" spans="1:21" x14ac:dyDescent="0.35">
      <c r="A18" s="55">
        <v>14</v>
      </c>
      <c r="B18" s="56">
        <f t="shared" si="0"/>
        <v>1950</v>
      </c>
      <c r="C18" s="56">
        <f t="shared" si="5"/>
        <v>1852.5</v>
      </c>
      <c r="D18" s="56">
        <f t="shared" si="6"/>
        <v>32189.263709843977</v>
      </c>
      <c r="E18" s="56">
        <f t="shared" si="1"/>
        <v>33476.834258237737</v>
      </c>
      <c r="F18" s="65"/>
      <c r="G18" s="57">
        <f t="shared" si="2"/>
        <v>97.5</v>
      </c>
      <c r="H18" s="57">
        <f t="shared" si="7"/>
        <v>-64.680331522689798</v>
      </c>
      <c r="I18" s="57">
        <f t="shared" si="3"/>
        <v>0.65639336954620409</v>
      </c>
      <c r="J18" s="66">
        <f>'[1]Mortality table'!H40*ProMM</f>
        <v>2.8311999999999235E-3</v>
      </c>
      <c r="K18" s="57">
        <f t="shared" si="4"/>
        <v>16523.165741762263</v>
      </c>
      <c r="L18" s="57">
        <f t="shared" si="8"/>
        <v>-46.780386848076056</v>
      </c>
      <c r="M18" s="58">
        <f t="shared" si="9"/>
        <v>-13.304325001219652</v>
      </c>
      <c r="N18" s="67"/>
      <c r="O18" s="68"/>
      <c r="P18" s="69"/>
      <c r="Q18" s="60"/>
      <c r="R18" s="70"/>
      <c r="S18" s="69"/>
      <c r="T18" s="69"/>
      <c r="U18" s="60"/>
    </row>
    <row r="19" spans="1:21" x14ac:dyDescent="0.35">
      <c r="A19" s="55">
        <v>15</v>
      </c>
      <c r="B19" s="56">
        <f t="shared" si="0"/>
        <v>1950</v>
      </c>
      <c r="C19" s="56">
        <f t="shared" si="5"/>
        <v>1852.5</v>
      </c>
      <c r="D19" s="56">
        <f t="shared" si="6"/>
        <v>35329.334258237737</v>
      </c>
      <c r="E19" s="56">
        <f t="shared" si="1"/>
        <v>36742.507628567248</v>
      </c>
      <c r="F19" s="65"/>
      <c r="G19" s="57">
        <f t="shared" si="2"/>
        <v>97.5</v>
      </c>
      <c r="H19" s="57">
        <f t="shared" si="7"/>
        <v>-65.973938153143607</v>
      </c>
      <c r="I19" s="57">
        <f t="shared" si="3"/>
        <v>0.63052123693712792</v>
      </c>
      <c r="J19" s="66">
        <f>'[1]Mortality table'!H41*ProMM</f>
        <v>3.1808000000000144E-3</v>
      </c>
      <c r="K19" s="57">
        <f t="shared" si="4"/>
        <v>13257.492371432752</v>
      </c>
      <c r="L19" s="57">
        <f t="shared" si="8"/>
        <v>-42.169431735053493</v>
      </c>
      <c r="M19" s="58">
        <f t="shared" si="9"/>
        <v>-10.012848651259972</v>
      </c>
      <c r="N19" s="67"/>
      <c r="O19" s="68"/>
      <c r="P19" s="69"/>
      <c r="Q19" s="60"/>
      <c r="R19" s="70"/>
      <c r="S19" s="69"/>
      <c r="T19" s="69"/>
      <c r="U19" s="60"/>
    </row>
    <row r="20" spans="1:21" x14ac:dyDescent="0.35">
      <c r="A20" s="55">
        <v>16</v>
      </c>
      <c r="B20" s="56">
        <f t="shared" si="0"/>
        <v>1950</v>
      </c>
      <c r="C20" s="56">
        <f t="shared" si="5"/>
        <v>1852.5</v>
      </c>
      <c r="D20" s="56">
        <f t="shared" si="6"/>
        <v>38595.007628567248</v>
      </c>
      <c r="E20" s="56">
        <f t="shared" si="1"/>
        <v>40138.807933709941</v>
      </c>
      <c r="F20" s="65"/>
      <c r="G20" s="57">
        <f t="shared" si="2"/>
        <v>97.5</v>
      </c>
      <c r="H20" s="57">
        <f t="shared" si="7"/>
        <v>-67.293416916206468</v>
      </c>
      <c r="I20" s="57">
        <f t="shared" si="3"/>
        <v>0.60413166167587062</v>
      </c>
      <c r="J20" s="66">
        <f>'[1]Mortality table'!H42*ProMM</f>
        <v>3.5752000000000236E-3</v>
      </c>
      <c r="K20" s="57">
        <f t="shared" si="4"/>
        <v>9861.1920662900593</v>
      </c>
      <c r="L20" s="57">
        <f t="shared" si="8"/>
        <v>-35.255733875400452</v>
      </c>
      <c r="M20" s="58">
        <f t="shared" si="9"/>
        <v>-4.4450191299310475</v>
      </c>
      <c r="N20" s="67"/>
      <c r="O20" s="68"/>
      <c r="P20" s="69"/>
      <c r="Q20" s="60"/>
      <c r="R20" s="70"/>
      <c r="S20" s="69"/>
      <c r="T20" s="69"/>
      <c r="U20" s="60"/>
    </row>
    <row r="21" spans="1:21" x14ac:dyDescent="0.35">
      <c r="A21" s="55">
        <v>17</v>
      </c>
      <c r="B21" s="56">
        <f t="shared" si="0"/>
        <v>1950</v>
      </c>
      <c r="C21" s="56">
        <f t="shared" si="5"/>
        <v>1852.5</v>
      </c>
      <c r="D21" s="56">
        <f t="shared" si="6"/>
        <v>41991.307933709941</v>
      </c>
      <c r="E21" s="56">
        <f t="shared" si="1"/>
        <v>43670.960251058343</v>
      </c>
      <c r="F21" s="65"/>
      <c r="G21" s="57">
        <f t="shared" si="2"/>
        <v>97.5</v>
      </c>
      <c r="H21" s="57">
        <f t="shared" si="7"/>
        <v>-68.639285254530606</v>
      </c>
      <c r="I21" s="57">
        <f t="shared" si="3"/>
        <v>0.57721429490938791</v>
      </c>
      <c r="J21" s="66">
        <f>'[1]Mortality table'!H43*ProMM</f>
        <v>4.0199999999999082E-3</v>
      </c>
      <c r="K21" s="57">
        <f t="shared" si="4"/>
        <v>6329.0397489416573</v>
      </c>
      <c r="L21" s="57">
        <f t="shared" si="8"/>
        <v>-25.442739790744881</v>
      </c>
      <c r="M21" s="58">
        <f t="shared" si="9"/>
        <v>3.9951892496339028</v>
      </c>
      <c r="N21" s="67"/>
      <c r="O21" s="68"/>
      <c r="P21" s="69"/>
      <c r="Q21" s="60"/>
      <c r="R21" s="70"/>
      <c r="S21" s="69"/>
      <c r="T21" s="69"/>
      <c r="U21" s="60"/>
    </row>
    <row r="22" spans="1:21" x14ac:dyDescent="0.35">
      <c r="A22" s="55">
        <v>18</v>
      </c>
      <c r="B22" s="56">
        <f t="shared" si="0"/>
        <v>1950</v>
      </c>
      <c r="C22" s="56">
        <f t="shared" si="5"/>
        <v>1852.5</v>
      </c>
      <c r="D22" s="56">
        <f t="shared" si="6"/>
        <v>45523.460251058343</v>
      </c>
      <c r="E22" s="56">
        <f t="shared" si="1"/>
        <v>47344.398661100677</v>
      </c>
      <c r="F22" s="65"/>
      <c r="G22" s="57">
        <f t="shared" si="2"/>
        <v>97.5</v>
      </c>
      <c r="H22" s="57">
        <f t="shared" si="7"/>
        <v>-70.012070959621227</v>
      </c>
      <c r="I22" s="57">
        <f t="shared" si="3"/>
        <v>0.54975858080757545</v>
      </c>
      <c r="J22" s="66">
        <f>'[1]Mortality table'!H44*ProMM</f>
        <v>4.5199999999999615E-3</v>
      </c>
      <c r="K22" s="57">
        <f t="shared" si="4"/>
        <v>2655.6013388993233</v>
      </c>
      <c r="L22" s="57">
        <f t="shared" si="8"/>
        <v>-12.00331805182484</v>
      </c>
      <c r="M22" s="58">
        <f t="shared" si="9"/>
        <v>16.034369569361509</v>
      </c>
      <c r="N22" s="67"/>
      <c r="O22" s="68"/>
      <c r="P22" s="69"/>
      <c r="Q22" s="60"/>
      <c r="R22" s="70"/>
      <c r="S22" s="69"/>
      <c r="T22" s="69"/>
      <c r="U22" s="60"/>
    </row>
    <row r="23" spans="1:21" x14ac:dyDescent="0.35">
      <c r="A23" s="55">
        <v>19</v>
      </c>
      <c r="B23" s="56">
        <f t="shared" si="0"/>
        <v>1950</v>
      </c>
      <c r="C23" s="56">
        <f t="shared" si="5"/>
        <v>1852.5</v>
      </c>
      <c r="D23" s="56">
        <f t="shared" si="6"/>
        <v>49196.898661100677</v>
      </c>
      <c r="E23" s="56">
        <f t="shared" si="1"/>
        <v>51164.774607544707</v>
      </c>
      <c r="F23" s="65"/>
      <c r="G23" s="57">
        <f t="shared" si="2"/>
        <v>97.5</v>
      </c>
      <c r="H23" s="57">
        <f t="shared" si="7"/>
        <v>-71.412312378813638</v>
      </c>
      <c r="I23" s="57">
        <f t="shared" si="3"/>
        <v>0.52175375242372724</v>
      </c>
      <c r="J23" s="66">
        <f>'[1]Mortality table'!H45*ProMM</f>
        <v>5.0816000000000507E-3</v>
      </c>
      <c r="K23" s="57">
        <f t="shared" si="4"/>
        <v>0</v>
      </c>
      <c r="L23" s="57">
        <f t="shared" si="8"/>
        <v>0</v>
      </c>
      <c r="M23" s="58">
        <f t="shared" si="9"/>
        <v>26.609441373610089</v>
      </c>
      <c r="N23" s="67"/>
      <c r="O23" s="68"/>
      <c r="P23" s="69"/>
      <c r="Q23" s="60"/>
      <c r="R23" s="70"/>
      <c r="S23" s="69"/>
      <c r="T23" s="69"/>
      <c r="U23" s="60"/>
    </row>
    <row r="24" spans="1:21" x14ac:dyDescent="0.35">
      <c r="A24" s="55">
        <v>20</v>
      </c>
      <c r="B24" s="56">
        <f t="shared" si="0"/>
        <v>1950</v>
      </c>
      <c r="C24" s="56">
        <f t="shared" si="5"/>
        <v>1852.5</v>
      </c>
      <c r="D24" s="56">
        <f t="shared" si="6"/>
        <v>53017.274607544707</v>
      </c>
      <c r="E24" s="56">
        <f t="shared" si="1"/>
        <v>55137.9655918465</v>
      </c>
      <c r="F24" s="65"/>
      <c r="G24" s="57">
        <f t="shared" si="2"/>
        <v>97.5</v>
      </c>
      <c r="H24" s="57">
        <f t="shared" si="7"/>
        <v>-72.840558626389907</v>
      </c>
      <c r="I24" s="57">
        <f t="shared" si="3"/>
        <v>0.49318882747220189</v>
      </c>
      <c r="J24" s="66">
        <f>'[1]Mortality table'!H46*ProMM</f>
        <v>5.7120000000000859E-3</v>
      </c>
      <c r="K24" s="57">
        <f t="shared" si="4"/>
        <v>0</v>
      </c>
      <c r="L24" s="57">
        <f t="shared" si="8"/>
        <v>0</v>
      </c>
      <c r="M24" s="58">
        <f t="shared" si="9"/>
        <v>25.152630201082296</v>
      </c>
      <c r="N24" s="67"/>
      <c r="O24" s="68"/>
      <c r="P24" s="69"/>
      <c r="Q24" s="60"/>
      <c r="R24" s="70"/>
      <c r="S24" s="69"/>
      <c r="T24" s="69"/>
      <c r="U24" s="60"/>
    </row>
    <row r="25" spans="1:21" x14ac:dyDescent="0.35">
      <c r="A25" s="55">
        <v>21</v>
      </c>
      <c r="B25" s="56">
        <f t="shared" si="0"/>
        <v>1950</v>
      </c>
      <c r="C25" s="56">
        <f t="shared" si="5"/>
        <v>1852.5</v>
      </c>
      <c r="D25" s="56">
        <f t="shared" si="6"/>
        <v>56990.4655918465</v>
      </c>
      <c r="E25" s="56">
        <f t="shared" si="1"/>
        <v>59270.084215520365</v>
      </c>
      <c r="F25" s="65"/>
      <c r="G25" s="57">
        <f t="shared" si="2"/>
        <v>97.5</v>
      </c>
      <c r="H25" s="57">
        <f t="shared" si="7"/>
        <v>-74.297369798917714</v>
      </c>
      <c r="I25" s="57">
        <f t="shared" si="3"/>
        <v>0.46405260402164572</v>
      </c>
      <c r="J25" s="66">
        <f>'[1]Mortality table'!H47*ProMM</f>
        <v>6.4176000000000554E-3</v>
      </c>
      <c r="K25" s="57">
        <f t="shared" si="4"/>
        <v>0</v>
      </c>
      <c r="L25" s="57">
        <f t="shared" si="8"/>
        <v>0</v>
      </c>
      <c r="M25" s="58">
        <f t="shared" si="9"/>
        <v>23.666682805103932</v>
      </c>
      <c r="N25" s="67"/>
      <c r="O25" s="68"/>
      <c r="P25" s="69"/>
      <c r="Q25" s="60"/>
      <c r="R25" s="70"/>
      <c r="S25" s="69"/>
      <c r="T25" s="69"/>
      <c r="U25" s="60"/>
    </row>
    <row r="26" spans="1:21" x14ac:dyDescent="0.35">
      <c r="A26" s="55">
        <v>22</v>
      </c>
      <c r="B26" s="56">
        <f t="shared" si="0"/>
        <v>1950</v>
      </c>
      <c r="C26" s="56">
        <f t="shared" si="5"/>
        <v>1852.5</v>
      </c>
      <c r="D26" s="56">
        <f t="shared" si="6"/>
        <v>61122.584215520365</v>
      </c>
      <c r="E26" s="56">
        <f t="shared" si="1"/>
        <v>63567.487584141178</v>
      </c>
      <c r="F26" s="65"/>
      <c r="G26" s="57">
        <f t="shared" si="2"/>
        <v>97.5</v>
      </c>
      <c r="H26" s="57">
        <f t="shared" si="7"/>
        <v>-75.783317194896057</v>
      </c>
      <c r="I26" s="57">
        <f t="shared" si="3"/>
        <v>0.43433365610207886</v>
      </c>
      <c r="J26" s="66">
        <f>'[1]Mortality table'!H48*ProMM</f>
        <v>7.2072000000001071E-3</v>
      </c>
      <c r="K26" s="57">
        <f t="shared" si="4"/>
        <v>0</v>
      </c>
      <c r="L26" s="57">
        <f t="shared" si="8"/>
        <v>0</v>
      </c>
      <c r="M26" s="58">
        <f t="shared" si="9"/>
        <v>22.151016461206023</v>
      </c>
      <c r="N26" s="67"/>
      <c r="O26" s="68"/>
      <c r="P26" s="69"/>
      <c r="Q26" s="60"/>
      <c r="R26" s="70"/>
      <c r="S26" s="69"/>
      <c r="T26" s="69"/>
      <c r="U26" s="60"/>
    </row>
    <row r="27" spans="1:21" x14ac:dyDescent="0.35">
      <c r="A27" s="55">
        <v>23</v>
      </c>
      <c r="B27" s="56">
        <f t="shared" si="0"/>
        <v>1950</v>
      </c>
      <c r="C27" s="56">
        <f t="shared" si="5"/>
        <v>1852.5</v>
      </c>
      <c r="D27" s="56">
        <f t="shared" si="6"/>
        <v>65419.987584141178</v>
      </c>
      <c r="E27" s="56">
        <f t="shared" si="1"/>
        <v>68036.787087506833</v>
      </c>
      <c r="F27" s="65"/>
      <c r="G27" s="57">
        <f t="shared" si="2"/>
        <v>97.5</v>
      </c>
      <c r="H27" s="57">
        <f t="shared" si="7"/>
        <v>-77.298983538793991</v>
      </c>
      <c r="I27" s="57">
        <f t="shared" si="3"/>
        <v>0.40402032922412018</v>
      </c>
      <c r="J27" s="66">
        <f>'[1]Mortality table'!H49*ProMM</f>
        <v>8.0895999999999416E-3</v>
      </c>
      <c r="K27" s="57">
        <f t="shared" si="4"/>
        <v>0</v>
      </c>
      <c r="L27" s="57">
        <f t="shared" si="8"/>
        <v>0</v>
      </c>
      <c r="M27" s="58">
        <f t="shared" si="9"/>
        <v>20.60503679043013</v>
      </c>
      <c r="N27" s="67"/>
      <c r="O27" s="68"/>
      <c r="P27" s="69"/>
      <c r="Q27" s="60"/>
      <c r="R27" s="70"/>
      <c r="S27" s="69"/>
      <c r="T27" s="69"/>
      <c r="U27" s="60"/>
    </row>
    <row r="28" spans="1:21" x14ac:dyDescent="0.35">
      <c r="A28" s="55">
        <v>24</v>
      </c>
      <c r="B28" s="56">
        <f t="shared" si="0"/>
        <v>1950</v>
      </c>
      <c r="C28" s="56">
        <f t="shared" si="5"/>
        <v>1852.5</v>
      </c>
      <c r="D28" s="56">
        <f t="shared" si="6"/>
        <v>69889.287087506833</v>
      </c>
      <c r="E28" s="56">
        <f t="shared" si="1"/>
        <v>72684.858571007106</v>
      </c>
      <c r="F28" s="65"/>
      <c r="G28" s="57">
        <f t="shared" si="2"/>
        <v>97.5</v>
      </c>
      <c r="H28" s="57">
        <f t="shared" si="7"/>
        <v>-78.844963209569855</v>
      </c>
      <c r="I28" s="57">
        <f t="shared" si="3"/>
        <v>0.37310073580860292</v>
      </c>
      <c r="J28" s="66">
        <f>'[1]Mortality table'!H50*ProMM</f>
        <v>9.075200000000009E-3</v>
      </c>
      <c r="K28" s="57">
        <f t="shared" si="4"/>
        <v>0</v>
      </c>
      <c r="L28" s="57">
        <f t="shared" si="8"/>
        <v>0</v>
      </c>
      <c r="M28" s="58">
        <f t="shared" si="9"/>
        <v>19.028137526238748</v>
      </c>
      <c r="N28" s="67"/>
      <c r="O28" s="68"/>
      <c r="P28" s="69"/>
      <c r="Q28" s="60"/>
      <c r="R28" s="70"/>
      <c r="S28" s="69"/>
      <c r="T28" s="69"/>
      <c r="U28" s="69"/>
    </row>
    <row r="29" spans="1:21" x14ac:dyDescent="0.35">
      <c r="A29" s="55">
        <v>25</v>
      </c>
      <c r="B29" s="56">
        <f t="shared" si="0"/>
        <v>1950</v>
      </c>
      <c r="C29" s="56">
        <f t="shared" si="5"/>
        <v>1852.5</v>
      </c>
      <c r="D29" s="56">
        <f t="shared" si="6"/>
        <v>74537.358571007106</v>
      </c>
      <c r="E29" s="56">
        <f t="shared" si="1"/>
        <v>77518.852913847397</v>
      </c>
      <c r="F29" s="65"/>
      <c r="G29" s="57">
        <f t="shared" si="2"/>
        <v>97.5</v>
      </c>
      <c r="H29" s="57">
        <f t="shared" si="7"/>
        <v>-80.421862473761252</v>
      </c>
      <c r="I29" s="57">
        <f t="shared" si="3"/>
        <v>0.34156275052477497</v>
      </c>
      <c r="J29" s="66">
        <f>'[1]Mortality table'!H51*ProMM</f>
        <v>1.0172799999999897E-2</v>
      </c>
      <c r="K29" s="57">
        <f t="shared" si="4"/>
        <v>0</v>
      </c>
      <c r="L29" s="57">
        <f t="shared" si="8"/>
        <v>0</v>
      </c>
      <c r="M29" s="58">
        <f t="shared" si="9"/>
        <v>17.419700276763525</v>
      </c>
      <c r="N29" s="67"/>
      <c r="O29" s="68"/>
      <c r="P29" s="69"/>
      <c r="Q29" s="60"/>
      <c r="R29" s="70"/>
      <c r="S29" s="69"/>
      <c r="T29" s="69"/>
      <c r="U29" s="69"/>
    </row>
    <row r="30" spans="1:21" x14ac:dyDescent="0.35">
      <c r="T30" s="69"/>
      <c r="U30" s="69"/>
    </row>
    <row r="31" spans="1:21" x14ac:dyDescent="0.35">
      <c r="T31" s="69"/>
      <c r="U31" s="69"/>
    </row>
    <row r="32" spans="1:21" x14ac:dyDescent="0.35">
      <c r="T32" s="69"/>
      <c r="U32" s="69"/>
    </row>
    <row r="33" spans="20:21" x14ac:dyDescent="0.35">
      <c r="T33" s="69"/>
      <c r="U33" s="69"/>
    </row>
    <row r="34" spans="20:21" x14ac:dyDescent="0.35">
      <c r="T34" s="69"/>
      <c r="U34" s="6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W44"/>
  <sheetViews>
    <sheetView zoomScaleNormal="100" workbookViewId="0">
      <selection activeCell="J39" sqref="J39"/>
    </sheetView>
  </sheetViews>
  <sheetFormatPr defaultColWidth="9.1796875" defaultRowHeight="14.5" x14ac:dyDescent="0.35"/>
  <cols>
    <col min="1" max="1" width="3.36328125" style="2" customWidth="1"/>
    <col min="2" max="2" width="9.1796875" style="2"/>
    <col min="3" max="3" width="18.26953125" style="2" bestFit="1" customWidth="1"/>
    <col min="4" max="4" width="2.7265625" style="2" customWidth="1"/>
    <col min="5" max="5" width="9.1796875" style="2"/>
    <col min="6" max="6" width="17.453125" style="2" bestFit="1" customWidth="1"/>
    <col min="7" max="16384" width="9.1796875" style="2"/>
  </cols>
  <sheetData>
    <row r="1" spans="2:6" s="76" customFormat="1" ht="15" customHeight="1" x14ac:dyDescent="0.5"/>
    <row r="2" spans="2:6" ht="15" thickBot="1" x14ac:dyDescent="0.4"/>
    <row r="3" spans="2:6" ht="19" thickBot="1" x14ac:dyDescent="0.5">
      <c r="B3" s="141" t="s">
        <v>66</v>
      </c>
      <c r="C3" s="142"/>
      <c r="E3" s="143" t="s">
        <v>68</v>
      </c>
      <c r="F3" s="144"/>
    </row>
    <row r="4" spans="2:6" x14ac:dyDescent="0.35">
      <c r="B4" s="85" t="s">
        <v>48</v>
      </c>
      <c r="C4" s="86" t="s">
        <v>67</v>
      </c>
      <c r="E4" s="85" t="s">
        <v>48</v>
      </c>
      <c r="F4" s="87" t="s">
        <v>67</v>
      </c>
    </row>
    <row r="5" spans="2:6" x14ac:dyDescent="0.35">
      <c r="B5" s="79">
        <v>1</v>
      </c>
      <c r="C5" s="81">
        <v>72.075164823756111</v>
      </c>
      <c r="E5" s="79">
        <v>1</v>
      </c>
      <c r="F5" s="81">
        <v>81.872380712004883</v>
      </c>
    </row>
    <row r="6" spans="2:6" x14ac:dyDescent="0.35">
      <c r="B6" s="79">
        <v>2</v>
      </c>
      <c r="C6" s="81">
        <v>-1.1784376888189527</v>
      </c>
      <c r="E6" s="79">
        <v>2</v>
      </c>
      <c r="F6" s="81">
        <v>9.1642754265648421</v>
      </c>
    </row>
    <row r="7" spans="2:6" x14ac:dyDescent="0.35">
      <c r="B7" s="79">
        <v>3</v>
      </c>
      <c r="C7" s="81">
        <v>-4.7962892579068281</v>
      </c>
      <c r="E7" s="79">
        <v>3</v>
      </c>
      <c r="F7" s="81">
        <v>6.5289988337657263</v>
      </c>
    </row>
    <row r="8" spans="2:6" x14ac:dyDescent="0.35">
      <c r="B8" s="79">
        <v>4</v>
      </c>
      <c r="C8" s="81">
        <v>-8.6356023205183448</v>
      </c>
      <c r="E8" s="79">
        <v>4</v>
      </c>
      <c r="F8" s="81">
        <v>3.7628494925735154</v>
      </c>
    </row>
    <row r="9" spans="2:6" x14ac:dyDescent="0.35">
      <c r="B9" s="79">
        <v>5</v>
      </c>
      <c r="C9" s="81">
        <v>-12.631650991491682</v>
      </c>
      <c r="E9" s="79">
        <v>5</v>
      </c>
      <c r="F9" s="81">
        <v>0.92787059896141244</v>
      </c>
    </row>
    <row r="10" spans="2:6" x14ac:dyDescent="0.35">
      <c r="B10" s="79">
        <v>6</v>
      </c>
      <c r="C10" s="81">
        <v>-16.821624276656522</v>
      </c>
      <c r="E10" s="79">
        <v>6</v>
      </c>
      <c r="F10" s="81">
        <v>-1.9919715112360876</v>
      </c>
    </row>
    <row r="11" spans="2:6" x14ac:dyDescent="0.35">
      <c r="B11" s="79">
        <v>7</v>
      </c>
      <c r="C11" s="81">
        <v>-21.053626157765031</v>
      </c>
      <c r="E11" s="79">
        <v>7</v>
      </c>
      <c r="F11" s="81">
        <v>-4.858676582515649</v>
      </c>
    </row>
    <row r="12" spans="2:6" x14ac:dyDescent="0.35">
      <c r="B12" s="79">
        <v>8</v>
      </c>
      <c r="C12" s="81">
        <v>-25.304430820233328</v>
      </c>
      <c r="E12" s="79">
        <v>8</v>
      </c>
      <c r="F12" s="81">
        <v>-7.6316690550623747</v>
      </c>
    </row>
    <row r="13" spans="2:6" x14ac:dyDescent="0.35">
      <c r="B13" s="79">
        <v>9</v>
      </c>
      <c r="C13" s="81">
        <v>-29.471770851594592</v>
      </c>
      <c r="E13" s="79">
        <v>9</v>
      </c>
      <c r="F13" s="81">
        <v>-10.201602560891402</v>
      </c>
    </row>
    <row r="14" spans="2:6" x14ac:dyDescent="0.35">
      <c r="B14" s="79">
        <v>10</v>
      </c>
      <c r="C14" s="81">
        <v>-33.353798896265268</v>
      </c>
      <c r="E14" s="79">
        <v>10</v>
      </c>
      <c r="F14" s="81">
        <v>-12.374397273636276</v>
      </c>
    </row>
    <row r="15" spans="2:6" x14ac:dyDescent="0.35">
      <c r="B15" s="79">
        <v>11</v>
      </c>
      <c r="C15" s="81">
        <v>-36.887349569595735</v>
      </c>
      <c r="E15" s="79">
        <v>11</v>
      </c>
      <c r="F15" s="81">
        <v>-14.05387720058134</v>
      </c>
    </row>
    <row r="16" spans="2:6" x14ac:dyDescent="0.35">
      <c r="B16" s="79">
        <v>12</v>
      </c>
      <c r="C16" s="81">
        <v>-39.751730767389972</v>
      </c>
      <c r="E16" s="79">
        <v>12</v>
      </c>
      <c r="F16" s="81">
        <v>-14.934282142779161</v>
      </c>
    </row>
    <row r="17" spans="2:23" x14ac:dyDescent="0.35">
      <c r="B17" s="79">
        <v>13</v>
      </c>
      <c r="C17" s="81">
        <v>-41.781718530091155</v>
      </c>
      <c r="E17" s="79">
        <v>13</v>
      </c>
      <c r="F17" s="81">
        <v>-14.813148151946976</v>
      </c>
    </row>
    <row r="18" spans="2:23" x14ac:dyDescent="0.35">
      <c r="B18" s="79">
        <v>14</v>
      </c>
      <c r="C18" s="81">
        <v>-42.591244463867675</v>
      </c>
      <c r="E18" s="79">
        <v>14</v>
      </c>
      <c r="F18" s="81">
        <v>-13.304325001219652</v>
      </c>
    </row>
    <row r="19" spans="2:23" ht="15" thickBot="1" x14ac:dyDescent="0.4">
      <c r="B19" s="79">
        <v>15</v>
      </c>
      <c r="C19" s="81">
        <v>-41.812052250859281</v>
      </c>
      <c r="E19" s="79">
        <v>15</v>
      </c>
      <c r="F19" s="81">
        <v>-10.012848651259972</v>
      </c>
    </row>
    <row r="20" spans="2:23" x14ac:dyDescent="0.35">
      <c r="B20" s="79">
        <v>16</v>
      </c>
      <c r="C20" s="81">
        <v>-38.979640530700735</v>
      </c>
      <c r="E20" s="79">
        <v>16</v>
      </c>
      <c r="F20" s="81">
        <v>-4.4450191299310475</v>
      </c>
      <c r="H20" s="92" t="s">
        <v>69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4"/>
      <c r="T20" s="95"/>
      <c r="U20" s="95"/>
      <c r="V20" s="95"/>
      <c r="W20" s="96"/>
    </row>
    <row r="21" spans="2:23" x14ac:dyDescent="0.35">
      <c r="B21" s="79">
        <v>17</v>
      </c>
      <c r="C21" s="81">
        <v>-33.536902373090498</v>
      </c>
      <c r="E21" s="79">
        <v>17</v>
      </c>
      <c r="F21" s="81">
        <v>3.9951892496339028</v>
      </c>
      <c r="H21" s="97" t="s">
        <v>70</v>
      </c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  <c r="T21" s="90"/>
      <c r="U21" s="90"/>
      <c r="V21" s="90"/>
      <c r="W21" s="98"/>
    </row>
    <row r="22" spans="2:23" x14ac:dyDescent="0.35">
      <c r="B22" s="79">
        <v>18</v>
      </c>
      <c r="C22" s="81">
        <v>-24.797599886633964</v>
      </c>
      <c r="E22" s="79">
        <v>18</v>
      </c>
      <c r="F22" s="81">
        <v>16.034369569361509</v>
      </c>
      <c r="H22" s="99" t="s">
        <v>71</v>
      </c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9"/>
      <c r="T22" s="90"/>
      <c r="U22" s="90"/>
      <c r="V22" s="90"/>
      <c r="W22" s="98"/>
    </row>
    <row r="23" spans="2:23" x14ac:dyDescent="0.35">
      <c r="B23" s="79">
        <v>19</v>
      </c>
      <c r="C23" s="81">
        <v>-11.965716920006376</v>
      </c>
      <c r="E23" s="79">
        <v>19</v>
      </c>
      <c r="F23" s="81">
        <v>26.609441373610089</v>
      </c>
      <c r="H23" s="99" t="s">
        <v>74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9"/>
      <c r="T23" s="90"/>
      <c r="U23" s="90"/>
      <c r="V23" s="90"/>
      <c r="W23" s="98"/>
    </row>
    <row r="24" spans="2:23" x14ac:dyDescent="0.35">
      <c r="B24" s="79">
        <v>20</v>
      </c>
      <c r="C24" s="81">
        <v>5.9057536888376649</v>
      </c>
      <c r="E24" s="79">
        <v>20</v>
      </c>
      <c r="F24" s="81">
        <v>25.152630201082296</v>
      </c>
      <c r="H24" s="99" t="s">
        <v>72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  <c r="T24" s="90"/>
      <c r="U24" s="90"/>
      <c r="V24" s="90"/>
      <c r="W24" s="98"/>
    </row>
    <row r="25" spans="2:23" x14ac:dyDescent="0.35">
      <c r="B25" s="79">
        <v>21</v>
      </c>
      <c r="C25" s="81">
        <v>7.302354840527272</v>
      </c>
      <c r="E25" s="79">
        <v>21</v>
      </c>
      <c r="F25" s="81">
        <v>23.666682805103932</v>
      </c>
      <c r="H25" s="99" t="s">
        <v>75</v>
      </c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  <c r="T25" s="90"/>
      <c r="U25" s="90"/>
      <c r="V25" s="90"/>
      <c r="W25" s="98"/>
    </row>
    <row r="26" spans="2:23" x14ac:dyDescent="0.35">
      <c r="B26" s="79">
        <v>22</v>
      </c>
      <c r="C26" s="81">
        <v>4.5525504857431081</v>
      </c>
      <c r="E26" s="79">
        <v>22</v>
      </c>
      <c r="F26" s="81">
        <v>22.151016461206023</v>
      </c>
      <c r="H26" s="99" t="s">
        <v>73</v>
      </c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  <c r="T26" s="90"/>
      <c r="U26" s="90"/>
      <c r="V26" s="90"/>
      <c r="W26" s="98"/>
    </row>
    <row r="27" spans="2:23" x14ac:dyDescent="0.35">
      <c r="B27" s="83">
        <v>23</v>
      </c>
      <c r="C27" s="84">
        <v>1.7202520003153974</v>
      </c>
      <c r="E27" s="79">
        <v>23</v>
      </c>
      <c r="F27" s="81">
        <v>20.60503679043013</v>
      </c>
      <c r="H27" s="100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  <c r="T27" s="90"/>
      <c r="U27" s="90"/>
      <c r="V27" s="90"/>
      <c r="W27" s="98"/>
    </row>
    <row r="28" spans="2:23" x14ac:dyDescent="0.35">
      <c r="B28" s="79">
        <v>24</v>
      </c>
      <c r="C28" s="81">
        <v>-1.1970154396751513</v>
      </c>
      <c r="E28" s="79">
        <v>24</v>
      </c>
      <c r="F28" s="81">
        <v>19.028137526238748</v>
      </c>
      <c r="H28" s="101" t="s">
        <v>76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9"/>
      <c r="T28" s="90"/>
      <c r="U28" s="90"/>
      <c r="V28" s="90"/>
      <c r="W28" s="98"/>
    </row>
    <row r="29" spans="2:23" ht="15" thickBot="1" x14ac:dyDescent="0.4">
      <c r="B29" s="80">
        <v>25</v>
      </c>
      <c r="C29" s="82">
        <v>-4.2018009028653971</v>
      </c>
      <c r="E29" s="80">
        <v>25</v>
      </c>
      <c r="F29" s="82">
        <v>17.419700276763525</v>
      </c>
      <c r="H29" s="140" t="s">
        <v>77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9"/>
      <c r="T29" s="90"/>
      <c r="U29" s="90"/>
      <c r="V29" s="90"/>
      <c r="W29" s="98"/>
    </row>
    <row r="30" spans="2:23" x14ac:dyDescent="0.35">
      <c r="F30" s="91"/>
      <c r="H30" s="97" t="s">
        <v>78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9"/>
      <c r="T30" s="90"/>
      <c r="U30" s="90"/>
      <c r="V30" s="90"/>
      <c r="W30" s="98"/>
    </row>
    <row r="31" spans="2:23" x14ac:dyDescent="0.35">
      <c r="H31" s="97" t="s">
        <v>79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9"/>
      <c r="T31" s="90"/>
      <c r="U31" s="90"/>
      <c r="V31" s="90"/>
      <c r="W31" s="98"/>
    </row>
    <row r="32" spans="2:23" x14ac:dyDescent="0.35">
      <c r="H32" s="97" t="s">
        <v>80</v>
      </c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9"/>
      <c r="T32" s="90"/>
      <c r="U32" s="90"/>
      <c r="V32" s="90"/>
      <c r="W32" s="98"/>
    </row>
    <row r="33" spans="7:23" x14ac:dyDescent="0.35">
      <c r="H33" s="97" t="s">
        <v>81</v>
      </c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9"/>
      <c r="T33" s="90"/>
      <c r="U33" s="90"/>
      <c r="V33" s="90"/>
      <c r="W33" s="98"/>
    </row>
    <row r="34" spans="7:23" x14ac:dyDescent="0.35">
      <c r="H34" s="97" t="s">
        <v>82</v>
      </c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9"/>
      <c r="T34" s="90"/>
      <c r="U34" s="90"/>
      <c r="V34" s="90"/>
      <c r="W34" s="98"/>
    </row>
    <row r="35" spans="7:23" x14ac:dyDescent="0.35">
      <c r="H35" s="140" t="s">
        <v>126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9"/>
      <c r="T35" s="90"/>
      <c r="U35" s="90"/>
      <c r="V35" s="90"/>
      <c r="W35" s="98"/>
    </row>
    <row r="36" spans="7:23" x14ac:dyDescent="0.35">
      <c r="H36" s="140" t="s">
        <v>125</v>
      </c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8"/>
    </row>
    <row r="37" spans="7:23" x14ac:dyDescent="0.35">
      <c r="H37" s="102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8"/>
    </row>
    <row r="38" spans="7:23" x14ac:dyDescent="0.35">
      <c r="G38" s="90"/>
      <c r="H38" s="97" t="s">
        <v>83</v>
      </c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8"/>
    </row>
    <row r="39" spans="7:23" x14ac:dyDescent="0.35">
      <c r="G39" s="90"/>
      <c r="H39" s="97" t="s">
        <v>84</v>
      </c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8"/>
    </row>
    <row r="40" spans="7:23" x14ac:dyDescent="0.35">
      <c r="H40" s="97" t="s">
        <v>85</v>
      </c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8"/>
    </row>
    <row r="41" spans="7:23" x14ac:dyDescent="0.35">
      <c r="H41" s="97" t="s">
        <v>86</v>
      </c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8"/>
    </row>
    <row r="42" spans="7:23" ht="15" thickBot="1" x14ac:dyDescent="0.4">
      <c r="H42" s="103" t="s">
        <v>87</v>
      </c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5"/>
    </row>
    <row r="43" spans="7:23" x14ac:dyDescent="0.35">
      <c r="H43" s="90"/>
      <c r="I43" s="90"/>
    </row>
    <row r="44" spans="7:23" x14ac:dyDescent="0.35">
      <c r="H44" s="90"/>
      <c r="I44" s="90"/>
    </row>
  </sheetData>
  <mergeCells count="2">
    <mergeCell ref="B3:C3"/>
    <mergeCell ref="E3:F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9"/>
  <sheetViews>
    <sheetView topLeftCell="J1" zoomScaleNormal="100" workbookViewId="0">
      <selection activeCell="O6" sqref="O6"/>
    </sheetView>
  </sheetViews>
  <sheetFormatPr defaultColWidth="11.7265625" defaultRowHeight="14.5" x14ac:dyDescent="0.35"/>
  <cols>
    <col min="1" max="5" width="11.7265625" style="12"/>
    <col min="6" max="6" width="1.453125" style="12" customWidth="1"/>
    <col min="7" max="14" width="11.7265625" style="12"/>
    <col min="15" max="15" width="12.6328125" style="12" bestFit="1" customWidth="1"/>
    <col min="16" max="16" width="21.08984375" style="12" customWidth="1"/>
    <col min="17" max="16384" width="11.7265625" style="12"/>
  </cols>
  <sheetData>
    <row r="1" spans="1:17" s="10" customFormat="1" ht="21" x14ac:dyDescent="0.5">
      <c r="A1" s="9" t="s">
        <v>38</v>
      </c>
    </row>
    <row r="2" spans="1:17" x14ac:dyDescent="0.35">
      <c r="B2" s="44" t="s">
        <v>39</v>
      </c>
      <c r="C2" s="45"/>
      <c r="G2" s="44" t="s">
        <v>40</v>
      </c>
      <c r="H2" s="46"/>
      <c r="I2" s="45"/>
      <c r="N2" s="47"/>
      <c r="O2" s="47"/>
      <c r="P2" s="47"/>
    </row>
    <row r="3" spans="1:17" x14ac:dyDescent="0.35">
      <c r="A3" s="48"/>
      <c r="B3" s="48"/>
      <c r="C3" s="48" t="s">
        <v>41</v>
      </c>
      <c r="D3" s="48" t="s">
        <v>42</v>
      </c>
      <c r="E3" s="48" t="s">
        <v>42</v>
      </c>
      <c r="F3" s="49"/>
      <c r="G3" s="48" t="s">
        <v>43</v>
      </c>
      <c r="H3" s="48"/>
      <c r="I3" s="48"/>
      <c r="J3" s="48" t="s">
        <v>44</v>
      </c>
      <c r="K3" s="48" t="s">
        <v>45</v>
      </c>
      <c r="L3" s="48" t="s">
        <v>46</v>
      </c>
      <c r="M3" s="50" t="s">
        <v>47</v>
      </c>
      <c r="N3" s="107" t="s">
        <v>90</v>
      </c>
      <c r="O3" s="107" t="s">
        <v>94</v>
      </c>
      <c r="P3" s="109" t="s">
        <v>92</v>
      </c>
      <c r="Q3" s="108" t="s">
        <v>96</v>
      </c>
    </row>
    <row r="4" spans="1:17" x14ac:dyDescent="0.35">
      <c r="A4" s="53" t="s">
        <v>48</v>
      </c>
      <c r="B4" s="53" t="s">
        <v>49</v>
      </c>
      <c r="C4" s="53" t="s">
        <v>50</v>
      </c>
      <c r="D4" s="53" t="s">
        <v>51</v>
      </c>
      <c r="E4" s="53" t="s">
        <v>52</v>
      </c>
      <c r="F4" s="53"/>
      <c r="G4" s="53" t="s">
        <v>53</v>
      </c>
      <c r="H4" s="53" t="s">
        <v>54</v>
      </c>
      <c r="I4" s="53" t="s">
        <v>55</v>
      </c>
      <c r="J4" s="53" t="s">
        <v>56</v>
      </c>
      <c r="K4" s="53" t="s">
        <v>57</v>
      </c>
      <c r="L4" s="53" t="s">
        <v>58</v>
      </c>
      <c r="M4" s="54" t="s">
        <v>59</v>
      </c>
      <c r="N4" s="107" t="s">
        <v>91</v>
      </c>
      <c r="O4" s="55" t="s">
        <v>95</v>
      </c>
      <c r="P4" s="109" t="s">
        <v>93</v>
      </c>
      <c r="Q4" s="108" t="s">
        <v>97</v>
      </c>
    </row>
    <row r="5" spans="1:17" x14ac:dyDescent="0.35">
      <c r="A5" s="55">
        <v>1</v>
      </c>
      <c r="B5" s="56">
        <f t="shared" ref="B5:B29" si="0">P</f>
        <v>1950</v>
      </c>
      <c r="C5" s="56">
        <f>B5*A*(1-BO)</f>
        <v>833.625</v>
      </c>
      <c r="D5" s="56">
        <f>C5</f>
        <v>833.625</v>
      </c>
      <c r="E5" s="56">
        <f t="shared" ref="E5:E29" si="1">D5*(1+ResUG)</f>
        <v>858.63375000000008</v>
      </c>
      <c r="G5" s="57">
        <f t="shared" ref="G5:G29" si="2">B5-C5</f>
        <v>1116.375</v>
      </c>
      <c r="H5" s="57">
        <f>-ResIE</f>
        <v>-1000</v>
      </c>
      <c r="I5" s="57">
        <f t="shared" ref="I5:I29" si="3">(G5+H5)*ResINT</f>
        <v>1.745625</v>
      </c>
      <c r="J5" s="11">
        <f>'[1]Mortality table'!H27</f>
        <v>9.3699999999987576E-4</v>
      </c>
      <c r="K5" s="57">
        <f t="shared" ref="K5:K29" si="4">MAX(D-E5,0)</f>
        <v>49141.366249999999</v>
      </c>
      <c r="L5" s="57">
        <f>-J5*K5</f>
        <v>-46.045460176243893</v>
      </c>
      <c r="M5" s="58">
        <f>G5+H5+I5+L5</f>
        <v>72.075164823756111</v>
      </c>
      <c r="N5" s="11">
        <f>1-J5</f>
        <v>0.99906300000000015</v>
      </c>
      <c r="O5" s="56">
        <f t="shared" ref="O5:O27" si="5">M5-P6*N5</f>
        <v>-314.8243345456325</v>
      </c>
      <c r="P5" s="56">
        <f t="shared" ref="P5:P23" si="6">-O5/(1+ResINT)</f>
        <v>310.17175817303695</v>
      </c>
      <c r="Q5" s="108" t="s">
        <v>98</v>
      </c>
    </row>
    <row r="6" spans="1:17" x14ac:dyDescent="0.35">
      <c r="A6" s="55">
        <v>2</v>
      </c>
      <c r="B6" s="56">
        <f t="shared" si="0"/>
        <v>1950</v>
      </c>
      <c r="C6" s="56">
        <f t="shared" ref="C6:C29" si="7">B6*(1-BO)</f>
        <v>1852.5</v>
      </c>
      <c r="D6" s="56">
        <f t="shared" ref="D6:D29" si="8">C6+E5</f>
        <v>2711.13375</v>
      </c>
      <c r="E6" s="56">
        <f t="shared" si="1"/>
        <v>2792.4677624999999</v>
      </c>
      <c r="G6" s="57">
        <f t="shared" si="2"/>
        <v>97.5</v>
      </c>
      <c r="H6" s="57">
        <f t="shared" ref="H6:H29" si="9">-ResRE*(1+ResINF)^A5</f>
        <v>-51.5</v>
      </c>
      <c r="I6" s="57">
        <f t="shared" si="3"/>
        <v>0.69</v>
      </c>
      <c r="J6" s="11">
        <f>'[1]Mortality table'!H28</f>
        <v>1.0139999999998718E-3</v>
      </c>
      <c r="K6" s="57">
        <f t="shared" si="4"/>
        <v>47207.532237500003</v>
      </c>
      <c r="L6" s="57">
        <f t="shared" ref="L6:L29" si="10">-J6*K6</f>
        <v>-47.86843768881895</v>
      </c>
      <c r="M6" s="58">
        <f t="shared" ref="M6:M29" si="11">G6+H6+I6+L6</f>
        <v>-1.1784376888189527</v>
      </c>
      <c r="N6" s="11">
        <f t="shared" ref="N6:N29" si="12">1-J6</f>
        <v>0.99898600000000015</v>
      </c>
      <c r="O6" s="56">
        <f t="shared" si="5"/>
        <v>-393.07129966771799</v>
      </c>
      <c r="P6" s="56">
        <f t="shared" si="6"/>
        <v>387.26236420464829</v>
      </c>
    </row>
    <row r="7" spans="1:17" x14ac:dyDescent="0.35">
      <c r="A7" s="55">
        <v>3</v>
      </c>
      <c r="B7" s="56">
        <f t="shared" si="0"/>
        <v>1950</v>
      </c>
      <c r="C7" s="56">
        <f t="shared" si="7"/>
        <v>1852.5</v>
      </c>
      <c r="D7" s="56">
        <f t="shared" si="8"/>
        <v>4644.9677625000004</v>
      </c>
      <c r="E7" s="56">
        <f t="shared" si="1"/>
        <v>4784.3167953750008</v>
      </c>
      <c r="G7" s="57">
        <f t="shared" si="2"/>
        <v>97.5</v>
      </c>
      <c r="H7" s="57">
        <f t="shared" si="9"/>
        <v>-53.044999999999995</v>
      </c>
      <c r="I7" s="57">
        <f t="shared" si="3"/>
        <v>0.666825</v>
      </c>
      <c r="J7" s="11">
        <f>'[1]Mortality table'!H29</f>
        <v>1.1040000000000186E-3</v>
      </c>
      <c r="K7" s="57">
        <f t="shared" si="4"/>
        <v>45215.683204624998</v>
      </c>
      <c r="L7" s="57">
        <f t="shared" si="10"/>
        <v>-49.918114257906836</v>
      </c>
      <c r="M7" s="58">
        <f t="shared" si="11"/>
        <v>-4.7962892579068281</v>
      </c>
      <c r="N7" s="11">
        <f t="shared" si="12"/>
        <v>0.99889600000000001</v>
      </c>
      <c r="O7" s="56">
        <f t="shared" si="5"/>
        <v>-398.17500436300651</v>
      </c>
      <c r="P7" s="56">
        <f t="shared" si="6"/>
        <v>392.29064469261726</v>
      </c>
    </row>
    <row r="8" spans="1:17" x14ac:dyDescent="0.35">
      <c r="A8" s="55">
        <v>4</v>
      </c>
      <c r="B8" s="56">
        <f t="shared" si="0"/>
        <v>1950</v>
      </c>
      <c r="C8" s="56">
        <f t="shared" si="7"/>
        <v>1852.5</v>
      </c>
      <c r="D8" s="56">
        <f t="shared" si="8"/>
        <v>6636.8167953750008</v>
      </c>
      <c r="E8" s="56">
        <f t="shared" si="1"/>
        <v>6835.9212992362509</v>
      </c>
      <c r="G8" s="57">
        <f t="shared" si="2"/>
        <v>97.5</v>
      </c>
      <c r="H8" s="57">
        <f t="shared" si="9"/>
        <v>-54.63635</v>
      </c>
      <c r="I8" s="57">
        <f t="shared" si="3"/>
        <v>0.64295475000000002</v>
      </c>
      <c r="J8" s="11">
        <f>'[1]Mortality table'!H30</f>
        <v>1.2079999999999012E-3</v>
      </c>
      <c r="K8" s="57">
        <f t="shared" si="4"/>
        <v>43164.078700763748</v>
      </c>
      <c r="L8" s="57">
        <f t="shared" si="10"/>
        <v>-52.142207070518346</v>
      </c>
      <c r="M8" s="58">
        <f t="shared" si="11"/>
        <v>-8.6356023205183448</v>
      </c>
      <c r="N8" s="11">
        <f t="shared" si="12"/>
        <v>0.99879200000000012</v>
      </c>
      <c r="O8" s="56">
        <f t="shared" si="5"/>
        <v>-399.72068747064372</v>
      </c>
      <c r="P8" s="56">
        <f t="shared" si="6"/>
        <v>393.81348519275247</v>
      </c>
    </row>
    <row r="9" spans="1:17" x14ac:dyDescent="0.35">
      <c r="A9" s="55">
        <v>5</v>
      </c>
      <c r="B9" s="56">
        <f t="shared" si="0"/>
        <v>1950</v>
      </c>
      <c r="C9" s="56">
        <f t="shared" si="7"/>
        <v>1852.5</v>
      </c>
      <c r="D9" s="56">
        <f t="shared" si="8"/>
        <v>8688.4212992362518</v>
      </c>
      <c r="E9" s="56">
        <f t="shared" si="1"/>
        <v>8949.0739382133397</v>
      </c>
      <c r="G9" s="57">
        <f t="shared" si="2"/>
        <v>97.5</v>
      </c>
      <c r="H9" s="57">
        <f t="shared" si="9"/>
        <v>-56.275440499999995</v>
      </c>
      <c r="I9" s="57">
        <f t="shared" si="3"/>
        <v>0.61836839250000009</v>
      </c>
      <c r="J9" s="11">
        <f>'[1]Mortality table'!H31</f>
        <v>1.3270000000000194E-3</v>
      </c>
      <c r="K9" s="57">
        <f t="shared" si="4"/>
        <v>41050.92606178666</v>
      </c>
      <c r="L9" s="57">
        <f t="shared" si="10"/>
        <v>-54.47457888399169</v>
      </c>
      <c r="M9" s="58">
        <f t="shared" si="11"/>
        <v>-12.631650991491682</v>
      </c>
      <c r="N9" s="11">
        <f t="shared" si="12"/>
        <v>0.99867300000000003</v>
      </c>
      <c r="O9" s="56">
        <f t="shared" si="5"/>
        <v>-397.4314586294015</v>
      </c>
      <c r="P9" s="56">
        <f t="shared" si="6"/>
        <v>391.55808731960741</v>
      </c>
    </row>
    <row r="10" spans="1:17" x14ac:dyDescent="0.35">
      <c r="A10" s="55">
        <v>6</v>
      </c>
      <c r="B10" s="56">
        <f t="shared" si="0"/>
        <v>1950</v>
      </c>
      <c r="C10" s="56">
        <f t="shared" si="7"/>
        <v>1852.5</v>
      </c>
      <c r="D10" s="56">
        <f t="shared" si="8"/>
        <v>10801.57393821334</v>
      </c>
      <c r="E10" s="56">
        <f t="shared" si="1"/>
        <v>11125.621156359741</v>
      </c>
      <c r="G10" s="57">
        <f t="shared" si="2"/>
        <v>97.5</v>
      </c>
      <c r="H10" s="57">
        <f t="shared" si="9"/>
        <v>-57.963703714999994</v>
      </c>
      <c r="I10" s="57">
        <f t="shared" si="3"/>
        <v>0.59304444427500003</v>
      </c>
      <c r="J10" s="11">
        <f>'[1]Mortality table'!H32</f>
        <v>1.4649999999999626E-3</v>
      </c>
      <c r="K10" s="57">
        <f t="shared" si="4"/>
        <v>38874.378843640261</v>
      </c>
      <c r="L10" s="57">
        <f t="shared" si="10"/>
        <v>-56.950965005931529</v>
      </c>
      <c r="M10" s="58">
        <f t="shared" si="11"/>
        <v>-16.821624276656522</v>
      </c>
      <c r="N10" s="11">
        <f t="shared" si="12"/>
        <v>0.99853500000000006</v>
      </c>
      <c r="O10" s="56">
        <f t="shared" si="5"/>
        <v>-391.09078222048498</v>
      </c>
      <c r="P10" s="56">
        <f t="shared" si="6"/>
        <v>385.31111548816256</v>
      </c>
    </row>
    <row r="11" spans="1:17" x14ac:dyDescent="0.35">
      <c r="A11" s="55">
        <v>7</v>
      </c>
      <c r="B11" s="56">
        <f t="shared" si="0"/>
        <v>1950</v>
      </c>
      <c r="C11" s="56">
        <f t="shared" si="7"/>
        <v>1852.5</v>
      </c>
      <c r="D11" s="56">
        <f t="shared" si="8"/>
        <v>12978.121156359741</v>
      </c>
      <c r="E11" s="56">
        <f t="shared" si="1"/>
        <v>13367.464791050534</v>
      </c>
      <c r="G11" s="57">
        <f t="shared" si="2"/>
        <v>97.5</v>
      </c>
      <c r="H11" s="57">
        <f t="shared" si="9"/>
        <v>-59.702614826449995</v>
      </c>
      <c r="I11" s="57">
        <f t="shared" si="3"/>
        <v>0.56696077760325003</v>
      </c>
      <c r="J11" s="11">
        <f>'[1]Mortality table'!H33</f>
        <v>1.6220000000000613E-3</v>
      </c>
      <c r="K11" s="57">
        <f t="shared" si="4"/>
        <v>36632.53520894947</v>
      </c>
      <c r="L11" s="57">
        <f t="shared" si="10"/>
        <v>-59.417972108918285</v>
      </c>
      <c r="M11" s="58">
        <f t="shared" si="11"/>
        <v>-21.053626157765031</v>
      </c>
      <c r="N11" s="11">
        <f t="shared" si="12"/>
        <v>0.99837799999999999</v>
      </c>
      <c r="O11" s="56">
        <f t="shared" si="5"/>
        <v>-380.44054070511885</v>
      </c>
      <c r="P11" s="56">
        <f t="shared" si="6"/>
        <v>374.81826670455064</v>
      </c>
    </row>
    <row r="12" spans="1:17" x14ac:dyDescent="0.35">
      <c r="A12" s="55">
        <v>8</v>
      </c>
      <c r="B12" s="56">
        <f t="shared" si="0"/>
        <v>1950</v>
      </c>
      <c r="C12" s="56">
        <f t="shared" si="7"/>
        <v>1852.5</v>
      </c>
      <c r="D12" s="56">
        <f t="shared" si="8"/>
        <v>15219.964791050534</v>
      </c>
      <c r="E12" s="56">
        <f t="shared" si="1"/>
        <v>15676.56373478205</v>
      </c>
      <c r="G12" s="57">
        <f t="shared" si="2"/>
        <v>97.5</v>
      </c>
      <c r="H12" s="57">
        <f t="shared" si="9"/>
        <v>-61.493693271243501</v>
      </c>
      <c r="I12" s="57">
        <f t="shared" si="3"/>
        <v>0.54009460093134742</v>
      </c>
      <c r="J12" s="11">
        <f>'[1]Mortality table'!H34</f>
        <v>1.8019999999999542E-3</v>
      </c>
      <c r="K12" s="57">
        <f t="shared" si="4"/>
        <v>34323.436265217948</v>
      </c>
      <c r="L12" s="57">
        <f t="shared" si="10"/>
        <v>-61.850832149921175</v>
      </c>
      <c r="M12" s="58">
        <f t="shared" si="11"/>
        <v>-25.304430820233328</v>
      </c>
      <c r="N12" s="11">
        <f t="shared" si="12"/>
        <v>0.99819800000000003</v>
      </c>
      <c r="O12" s="56">
        <f t="shared" si="5"/>
        <v>-365.370348971596</v>
      </c>
      <c r="P12" s="56">
        <f t="shared" si="6"/>
        <v>359.97078716413404</v>
      </c>
    </row>
    <row r="13" spans="1:17" x14ac:dyDescent="0.35">
      <c r="A13" s="55">
        <v>9</v>
      </c>
      <c r="B13" s="56">
        <f t="shared" si="0"/>
        <v>1950</v>
      </c>
      <c r="C13" s="56">
        <f t="shared" si="7"/>
        <v>1852.5</v>
      </c>
      <c r="D13" s="56">
        <f t="shared" si="8"/>
        <v>17529.063734782052</v>
      </c>
      <c r="E13" s="56">
        <f t="shared" si="1"/>
        <v>18054.935646825514</v>
      </c>
      <c r="G13" s="57">
        <f t="shared" si="2"/>
        <v>97.5</v>
      </c>
      <c r="H13" s="57">
        <f t="shared" si="9"/>
        <v>-63.338504069380797</v>
      </c>
      <c r="I13" s="57">
        <f t="shared" si="3"/>
        <v>0.51242243895928807</v>
      </c>
      <c r="J13" s="11">
        <f>'[1]Mortality table'!H35</f>
        <v>2.0079999999999599E-3</v>
      </c>
      <c r="K13" s="57">
        <f t="shared" si="4"/>
        <v>31945.064353174486</v>
      </c>
      <c r="L13" s="57">
        <f t="shared" si="10"/>
        <v>-64.145689221173086</v>
      </c>
      <c r="M13" s="58">
        <f t="shared" si="11"/>
        <v>-29.471770851594592</v>
      </c>
      <c r="N13" s="11">
        <f t="shared" si="12"/>
        <v>0.99799199999999999</v>
      </c>
      <c r="O13" s="56">
        <f t="shared" si="5"/>
        <v>-345.79002054064728</v>
      </c>
      <c r="P13" s="56">
        <f t="shared" si="6"/>
        <v>340.67982319275598</v>
      </c>
    </row>
    <row r="14" spans="1:17" x14ac:dyDescent="0.35">
      <c r="A14" s="55">
        <v>10</v>
      </c>
      <c r="B14" s="56">
        <f t="shared" si="0"/>
        <v>1950</v>
      </c>
      <c r="C14" s="56">
        <f t="shared" si="7"/>
        <v>1852.5</v>
      </c>
      <c r="D14" s="56">
        <f t="shared" si="8"/>
        <v>19907.435646825514</v>
      </c>
      <c r="E14" s="56">
        <f t="shared" si="1"/>
        <v>20504.658716230279</v>
      </c>
      <c r="G14" s="57">
        <f t="shared" si="2"/>
        <v>97.5</v>
      </c>
      <c r="H14" s="57">
        <f t="shared" si="9"/>
        <v>-65.238659191462219</v>
      </c>
      <c r="I14" s="57">
        <f t="shared" si="3"/>
        <v>0.48392011212806668</v>
      </c>
      <c r="J14" s="11">
        <f>'[1]Mortality table'!H36</f>
        <v>2.2410000000001075E-3</v>
      </c>
      <c r="K14" s="56">
        <f t="shared" si="4"/>
        <v>29495.341283769721</v>
      </c>
      <c r="L14" s="56">
        <f t="shared" si="10"/>
        <v>-66.099059816931117</v>
      </c>
      <c r="M14" s="58">
        <f t="shared" si="11"/>
        <v>-33.353798896265268</v>
      </c>
      <c r="N14" s="11">
        <f t="shared" si="12"/>
        <v>0.99775899999999984</v>
      </c>
      <c r="O14" s="56">
        <f t="shared" si="5"/>
        <v>-321.70901513678308</v>
      </c>
      <c r="P14" s="56">
        <f t="shared" si="6"/>
        <v>316.95469471604247</v>
      </c>
    </row>
    <row r="15" spans="1:17" x14ac:dyDescent="0.35">
      <c r="A15" s="55">
        <v>11</v>
      </c>
      <c r="B15" s="56">
        <f t="shared" si="0"/>
        <v>1950</v>
      </c>
      <c r="C15" s="56">
        <f t="shared" si="7"/>
        <v>1852.5</v>
      </c>
      <c r="D15" s="56">
        <f t="shared" si="8"/>
        <v>22357.158716230279</v>
      </c>
      <c r="E15" s="56">
        <f t="shared" si="1"/>
        <v>23027.873477717189</v>
      </c>
      <c r="G15" s="57">
        <f t="shared" si="2"/>
        <v>97.5</v>
      </c>
      <c r="H15" s="57">
        <f t="shared" si="9"/>
        <v>-67.195818967206094</v>
      </c>
      <c r="I15" s="57">
        <f t="shared" si="3"/>
        <v>0.45456271549190858</v>
      </c>
      <c r="J15" s="11">
        <f>'[1]Mortality table'!H37</f>
        <v>2.5079999999998615E-3</v>
      </c>
      <c r="K15" s="56">
        <f t="shared" si="4"/>
        <v>26972.126522282811</v>
      </c>
      <c r="L15" s="56">
        <f t="shared" si="10"/>
        <v>-67.646093317881551</v>
      </c>
      <c r="M15" s="58">
        <f t="shared" si="11"/>
        <v>-36.887349569595735</v>
      </c>
      <c r="N15" s="11">
        <f t="shared" si="12"/>
        <v>0.99749200000000016</v>
      </c>
      <c r="O15" s="56">
        <f t="shared" si="5"/>
        <v>-293.33791475108279</v>
      </c>
      <c r="P15" s="56">
        <f t="shared" si="6"/>
        <v>289.00287167594365</v>
      </c>
    </row>
    <row r="16" spans="1:17" x14ac:dyDescent="0.35">
      <c r="A16" s="55">
        <v>12</v>
      </c>
      <c r="B16" s="56">
        <f t="shared" si="0"/>
        <v>1950</v>
      </c>
      <c r="C16" s="56">
        <f t="shared" si="7"/>
        <v>1852.5</v>
      </c>
      <c r="D16" s="56">
        <f t="shared" si="8"/>
        <v>24880.373477717189</v>
      </c>
      <c r="E16" s="56">
        <f t="shared" si="1"/>
        <v>25626.784682048707</v>
      </c>
      <c r="G16" s="57">
        <f t="shared" si="2"/>
        <v>97.5</v>
      </c>
      <c r="H16" s="57">
        <f t="shared" si="9"/>
        <v>-69.21169353622227</v>
      </c>
      <c r="I16" s="57">
        <f t="shared" si="3"/>
        <v>0.42432459695666591</v>
      </c>
      <c r="J16" s="11">
        <f>'[1]Mortality table'!H38</f>
        <v>2.8089999999999665E-3</v>
      </c>
      <c r="K16" s="56">
        <f t="shared" si="4"/>
        <v>24373.215317951293</v>
      </c>
      <c r="L16" s="56">
        <f t="shared" si="10"/>
        <v>-68.464361828124368</v>
      </c>
      <c r="M16" s="58">
        <f t="shared" si="11"/>
        <v>-39.751730767389972</v>
      </c>
      <c r="N16" s="11">
        <f t="shared" si="12"/>
        <v>0.99719100000000005</v>
      </c>
      <c r="O16" s="56">
        <f t="shared" si="5"/>
        <v>-260.95179075041131</v>
      </c>
      <c r="P16" s="56">
        <f t="shared" si="6"/>
        <v>257.09536034523285</v>
      </c>
    </row>
    <row r="17" spans="1:16" x14ac:dyDescent="0.35">
      <c r="A17" s="55">
        <v>13</v>
      </c>
      <c r="B17" s="56">
        <f t="shared" si="0"/>
        <v>1950</v>
      </c>
      <c r="C17" s="56">
        <f t="shared" si="7"/>
        <v>1852.5</v>
      </c>
      <c r="D17" s="56">
        <f t="shared" si="8"/>
        <v>27479.284682048707</v>
      </c>
      <c r="E17" s="56">
        <f t="shared" si="1"/>
        <v>28303.663222510168</v>
      </c>
      <c r="G17" s="57">
        <f t="shared" si="2"/>
        <v>97.5</v>
      </c>
      <c r="H17" s="57">
        <f t="shared" si="9"/>
        <v>-71.288044342308936</v>
      </c>
      <c r="I17" s="57">
        <f t="shared" si="3"/>
        <v>0.39317933486536594</v>
      </c>
      <c r="J17" s="11">
        <f>'[1]Mortality table'!H39</f>
        <v>3.1519999999999829E-3</v>
      </c>
      <c r="K17" s="56">
        <f t="shared" si="4"/>
        <v>21696.336777489832</v>
      </c>
      <c r="L17" s="56">
        <f t="shared" si="10"/>
        <v>-68.386853522647584</v>
      </c>
      <c r="M17" s="58">
        <f t="shared" si="11"/>
        <v>-41.781718530091155</v>
      </c>
      <c r="N17" s="11">
        <f t="shared" si="12"/>
        <v>0.99684800000000007</v>
      </c>
      <c r="O17" s="56">
        <f t="shared" si="5"/>
        <v>-225.15050866159709</v>
      </c>
      <c r="P17" s="56">
        <f t="shared" si="6"/>
        <v>221.82316124295281</v>
      </c>
    </row>
    <row r="18" spans="1:16" x14ac:dyDescent="0.35">
      <c r="A18" s="55">
        <v>14</v>
      </c>
      <c r="B18" s="56">
        <f t="shared" si="0"/>
        <v>1950</v>
      </c>
      <c r="C18" s="56">
        <f t="shared" si="7"/>
        <v>1852.5</v>
      </c>
      <c r="D18" s="56">
        <f t="shared" si="8"/>
        <v>30156.163222510168</v>
      </c>
      <c r="E18" s="56">
        <f t="shared" si="1"/>
        <v>31060.848119185473</v>
      </c>
      <c r="G18" s="57">
        <f t="shared" si="2"/>
        <v>97.5</v>
      </c>
      <c r="H18" s="57">
        <f t="shared" si="9"/>
        <v>-73.426685672578202</v>
      </c>
      <c r="I18" s="57">
        <f t="shared" si="3"/>
        <v>0.36109971491132697</v>
      </c>
      <c r="J18" s="11">
        <f>'[1]Mortality table'!H40</f>
        <v>3.5389999999999042E-3</v>
      </c>
      <c r="K18" s="56">
        <f t="shared" si="4"/>
        <v>18939.151880814527</v>
      </c>
      <c r="L18" s="56">
        <f t="shared" si="10"/>
        <v>-67.025658506200799</v>
      </c>
      <c r="M18" s="58">
        <f t="shared" si="11"/>
        <v>-42.591244463867675</v>
      </c>
      <c r="N18" s="11">
        <f t="shared" si="12"/>
        <v>0.99646100000000004</v>
      </c>
      <c r="O18" s="56">
        <f t="shared" si="5"/>
        <v>-186.70782504802989</v>
      </c>
      <c r="P18" s="56">
        <f t="shared" si="6"/>
        <v>183.9485961064334</v>
      </c>
    </row>
    <row r="19" spans="1:16" x14ac:dyDescent="0.35">
      <c r="A19" s="55">
        <v>15</v>
      </c>
      <c r="B19" s="56">
        <f t="shared" si="0"/>
        <v>1950</v>
      </c>
      <c r="C19" s="56">
        <f t="shared" si="7"/>
        <v>1852.5</v>
      </c>
      <c r="D19" s="56">
        <f t="shared" si="8"/>
        <v>32913.348119185473</v>
      </c>
      <c r="E19" s="56">
        <f t="shared" si="1"/>
        <v>33900.748562761037</v>
      </c>
      <c r="G19" s="57">
        <f t="shared" si="2"/>
        <v>97.5</v>
      </c>
      <c r="H19" s="57">
        <f t="shared" si="9"/>
        <v>-75.629486242755547</v>
      </c>
      <c r="I19" s="57">
        <f t="shared" si="3"/>
        <v>0.32805770635866677</v>
      </c>
      <c r="J19" s="11">
        <f>'[1]Mortality table'!H41</f>
        <v>3.9760000000000177E-3</v>
      </c>
      <c r="K19" s="56">
        <f t="shared" si="4"/>
        <v>16099.251437238963</v>
      </c>
      <c r="L19" s="56">
        <f t="shared" si="10"/>
        <v>-64.010623714462398</v>
      </c>
      <c r="M19" s="58">
        <f t="shared" si="11"/>
        <v>-41.812052250859281</v>
      </c>
      <c r="N19" s="11">
        <f t="shared" si="12"/>
        <v>0.99602400000000002</v>
      </c>
      <c r="O19" s="56">
        <f t="shared" si="5"/>
        <v>-146.79784687300821</v>
      </c>
      <c r="P19" s="56">
        <f t="shared" si="6"/>
        <v>144.62842056454014</v>
      </c>
    </row>
    <row r="20" spans="1:16" x14ac:dyDescent="0.35">
      <c r="A20" s="55">
        <v>16</v>
      </c>
      <c r="B20" s="56">
        <f t="shared" si="0"/>
        <v>1950</v>
      </c>
      <c r="C20" s="56">
        <f t="shared" si="7"/>
        <v>1852.5</v>
      </c>
      <c r="D20" s="56">
        <f t="shared" si="8"/>
        <v>35753.248562761037</v>
      </c>
      <c r="E20" s="56">
        <f t="shared" si="1"/>
        <v>36825.846019643868</v>
      </c>
      <c r="G20" s="57">
        <f t="shared" si="2"/>
        <v>97.5</v>
      </c>
      <c r="H20" s="57">
        <f t="shared" si="9"/>
        <v>-77.898370830038218</v>
      </c>
      <c r="I20" s="57">
        <f t="shared" si="3"/>
        <v>0.2940244375494267</v>
      </c>
      <c r="J20" s="11">
        <f>'[1]Mortality table'!H42</f>
        <v>4.4690000000000294E-3</v>
      </c>
      <c r="K20" s="56">
        <f t="shared" si="4"/>
        <v>13174.153980356132</v>
      </c>
      <c r="L20" s="56">
        <f t="shared" si="10"/>
        <v>-58.875294138211942</v>
      </c>
      <c r="M20" s="58">
        <f t="shared" si="11"/>
        <v>-38.979640530700735</v>
      </c>
      <c r="N20" s="11">
        <f t="shared" si="12"/>
        <v>0.99553099999999994</v>
      </c>
      <c r="O20" s="56">
        <f t="shared" si="5"/>
        <v>-106.98595770933346</v>
      </c>
      <c r="P20" s="56">
        <f t="shared" si="6"/>
        <v>105.40488444269307</v>
      </c>
    </row>
    <row r="21" spans="1:16" x14ac:dyDescent="0.35">
      <c r="A21" s="55">
        <v>17</v>
      </c>
      <c r="B21" s="56">
        <f t="shared" si="0"/>
        <v>1950</v>
      </c>
      <c r="C21" s="56">
        <f t="shared" si="7"/>
        <v>1852.5</v>
      </c>
      <c r="D21" s="56">
        <f t="shared" si="8"/>
        <v>38678.346019643868</v>
      </c>
      <c r="E21" s="56">
        <f t="shared" si="1"/>
        <v>39838.696400233188</v>
      </c>
      <c r="G21" s="57">
        <f t="shared" si="2"/>
        <v>97.5</v>
      </c>
      <c r="H21" s="57">
        <f t="shared" si="9"/>
        <v>-80.235321954939351</v>
      </c>
      <c r="I21" s="57">
        <f t="shared" si="3"/>
        <v>0.25897017067590972</v>
      </c>
      <c r="J21" s="11">
        <f>'[1]Mortality table'!H43</f>
        <v>5.0249999999998846E-3</v>
      </c>
      <c r="K21" s="56">
        <f t="shared" si="4"/>
        <v>10161.303599766812</v>
      </c>
      <c r="L21" s="56">
        <f t="shared" si="10"/>
        <v>-51.060550588827056</v>
      </c>
      <c r="M21" s="58">
        <f t="shared" si="11"/>
        <v>-33.536902373090498</v>
      </c>
      <c r="N21" s="11">
        <f t="shared" si="12"/>
        <v>0.99497500000000016</v>
      </c>
      <c r="O21" s="56">
        <f t="shared" si="5"/>
        <v>-69.336275752650806</v>
      </c>
      <c r="P21" s="56">
        <f t="shared" si="6"/>
        <v>68.311601726749572</v>
      </c>
    </row>
    <row r="22" spans="1:16" x14ac:dyDescent="0.35">
      <c r="A22" s="55">
        <v>18</v>
      </c>
      <c r="B22" s="56">
        <f t="shared" si="0"/>
        <v>1950</v>
      </c>
      <c r="C22" s="56">
        <f t="shared" si="7"/>
        <v>1852.5</v>
      </c>
      <c r="D22" s="56">
        <f t="shared" si="8"/>
        <v>41691.196400233188</v>
      </c>
      <c r="E22" s="56">
        <f t="shared" si="1"/>
        <v>42941.932292240184</v>
      </c>
      <c r="G22" s="57">
        <f t="shared" si="2"/>
        <v>97.5</v>
      </c>
      <c r="H22" s="57">
        <f t="shared" si="9"/>
        <v>-82.642381613587531</v>
      </c>
      <c r="I22" s="57">
        <f t="shared" si="3"/>
        <v>0.22286427579618703</v>
      </c>
      <c r="J22" s="11">
        <f>'[1]Mortality table'!H44</f>
        <v>5.6499999999999519E-3</v>
      </c>
      <c r="K22" s="56">
        <f t="shared" si="4"/>
        <v>7058.0677077598157</v>
      </c>
      <c r="L22" s="56">
        <f t="shared" si="10"/>
        <v>-39.87808254884262</v>
      </c>
      <c r="M22" s="58">
        <f t="shared" si="11"/>
        <v>-24.797599886633964</v>
      </c>
      <c r="N22" s="11">
        <f t="shared" si="12"/>
        <v>0.99435000000000007</v>
      </c>
      <c r="O22" s="56">
        <f t="shared" si="5"/>
        <v>-36.519876358957454</v>
      </c>
      <c r="P22" s="56">
        <f t="shared" si="6"/>
        <v>35.980173752667447</v>
      </c>
    </row>
    <row r="23" spans="1:16" x14ac:dyDescent="0.35">
      <c r="A23" s="55">
        <v>19</v>
      </c>
      <c r="B23" s="56">
        <f t="shared" si="0"/>
        <v>1950</v>
      </c>
      <c r="C23" s="56">
        <f t="shared" si="7"/>
        <v>1852.5</v>
      </c>
      <c r="D23" s="56">
        <f t="shared" si="8"/>
        <v>44794.432292240184</v>
      </c>
      <c r="E23" s="56">
        <f t="shared" si="1"/>
        <v>46138.265261007393</v>
      </c>
      <c r="G23" s="57">
        <f t="shared" si="2"/>
        <v>97.5</v>
      </c>
      <c r="H23" s="57">
        <f t="shared" si="9"/>
        <v>-85.121653061995161</v>
      </c>
      <c r="I23" s="57">
        <f t="shared" si="3"/>
        <v>0.18567520407007257</v>
      </c>
      <c r="J23" s="11">
        <f>'[1]Mortality table'!H45</f>
        <v>6.3520000000000633E-3</v>
      </c>
      <c r="K23" s="56">
        <f t="shared" si="4"/>
        <v>3861.7347389926072</v>
      </c>
      <c r="L23" s="56">
        <f t="shared" si="10"/>
        <v>-24.529739062081287</v>
      </c>
      <c r="M23" s="58">
        <f t="shared" si="11"/>
        <v>-11.965716920006376</v>
      </c>
      <c r="N23" s="11">
        <f t="shared" si="12"/>
        <v>0.99364799999999998</v>
      </c>
      <c r="O23" s="56">
        <f t="shared" si="5"/>
        <v>-11.965716920006376</v>
      </c>
      <c r="P23" s="56">
        <f t="shared" si="6"/>
        <v>11.788883665030912</v>
      </c>
    </row>
    <row r="24" spans="1:16" x14ac:dyDescent="0.35">
      <c r="A24" s="55">
        <v>20</v>
      </c>
      <c r="B24" s="56">
        <f t="shared" si="0"/>
        <v>1950</v>
      </c>
      <c r="C24" s="56">
        <f t="shared" si="7"/>
        <v>1852.5</v>
      </c>
      <c r="D24" s="56">
        <f t="shared" si="8"/>
        <v>47990.765261007393</v>
      </c>
      <c r="E24" s="56">
        <f t="shared" si="1"/>
        <v>49430.488218837614</v>
      </c>
      <c r="G24" s="57">
        <f t="shared" si="2"/>
        <v>97.5</v>
      </c>
      <c r="H24" s="57">
        <f t="shared" si="9"/>
        <v>-87.675302653855013</v>
      </c>
      <c r="I24" s="57">
        <f t="shared" si="3"/>
        <v>0.14737046019217478</v>
      </c>
      <c r="J24" s="11">
        <f>'[1]Mortality table'!H46</f>
        <v>7.1400000000001072E-3</v>
      </c>
      <c r="K24" s="56">
        <f t="shared" si="4"/>
        <v>569.51178116238589</v>
      </c>
      <c r="L24" s="56">
        <f t="shared" si="10"/>
        <v>-4.0663141174994966</v>
      </c>
      <c r="M24" s="58">
        <f t="shared" si="11"/>
        <v>5.9057536888376649</v>
      </c>
      <c r="N24" s="11">
        <f t="shared" si="12"/>
        <v>0.99285999999999985</v>
      </c>
      <c r="O24" s="56">
        <f t="shared" si="5"/>
        <v>5.9057536888376649</v>
      </c>
      <c r="P24" s="56">
        <v>0</v>
      </c>
    </row>
    <row r="25" spans="1:16" x14ac:dyDescent="0.35">
      <c r="A25" s="55">
        <v>21</v>
      </c>
      <c r="B25" s="56">
        <f t="shared" si="0"/>
        <v>1950</v>
      </c>
      <c r="C25" s="56">
        <f t="shared" si="7"/>
        <v>1852.5</v>
      </c>
      <c r="D25" s="56">
        <f t="shared" si="8"/>
        <v>51282.988218837614</v>
      </c>
      <c r="E25" s="56">
        <f t="shared" si="1"/>
        <v>52821.477865402747</v>
      </c>
      <c r="G25" s="57">
        <f t="shared" si="2"/>
        <v>97.5</v>
      </c>
      <c r="H25" s="57">
        <f t="shared" si="9"/>
        <v>-90.305561733470668</v>
      </c>
      <c r="I25" s="57">
        <f t="shared" si="3"/>
        <v>0.10791657399793997</v>
      </c>
      <c r="J25" s="11">
        <f>'[1]Mortality table'!H47</f>
        <v>8.022000000000069E-3</v>
      </c>
      <c r="K25" s="56">
        <f t="shared" si="4"/>
        <v>0</v>
      </c>
      <c r="L25" s="56">
        <f t="shared" si="10"/>
        <v>0</v>
      </c>
      <c r="M25" s="58">
        <f t="shared" si="11"/>
        <v>7.302354840527272</v>
      </c>
      <c r="N25" s="11">
        <f t="shared" si="12"/>
        <v>0.99197799999999992</v>
      </c>
      <c r="O25" s="56">
        <f t="shared" si="5"/>
        <v>7.302354840527272</v>
      </c>
      <c r="P25" s="56">
        <v>0</v>
      </c>
    </row>
    <row r="26" spans="1:16" x14ac:dyDescent="0.35">
      <c r="A26" s="55">
        <v>22</v>
      </c>
      <c r="B26" s="56">
        <f t="shared" si="0"/>
        <v>1950</v>
      </c>
      <c r="C26" s="56">
        <f t="shared" si="7"/>
        <v>1852.5</v>
      </c>
      <c r="D26" s="56">
        <f t="shared" si="8"/>
        <v>54673.977865402747</v>
      </c>
      <c r="E26" s="56">
        <f t="shared" si="1"/>
        <v>56314.197201364834</v>
      </c>
      <c r="G26" s="57">
        <f t="shared" si="2"/>
        <v>97.5</v>
      </c>
      <c r="H26" s="57">
        <f t="shared" si="9"/>
        <v>-93.014728585474771</v>
      </c>
      <c r="I26" s="57">
        <f t="shared" si="3"/>
        <v>6.7279071217878433E-2</v>
      </c>
      <c r="J26" s="11">
        <f>'[1]Mortality table'!H48</f>
        <v>9.0090000000001332E-3</v>
      </c>
      <c r="K26" s="56">
        <f t="shared" si="4"/>
        <v>0</v>
      </c>
      <c r="L26" s="56">
        <f t="shared" si="10"/>
        <v>0</v>
      </c>
      <c r="M26" s="58">
        <f t="shared" si="11"/>
        <v>4.5525504857431081</v>
      </c>
      <c r="N26" s="11">
        <f t="shared" si="12"/>
        <v>0.99099099999999984</v>
      </c>
      <c r="O26" s="56">
        <f t="shared" si="5"/>
        <v>1.1952539983921278</v>
      </c>
      <c r="P26" s="56">
        <v>0</v>
      </c>
    </row>
    <row r="27" spans="1:16" x14ac:dyDescent="0.35">
      <c r="A27" s="55">
        <v>23</v>
      </c>
      <c r="B27" s="56">
        <f t="shared" si="0"/>
        <v>1950</v>
      </c>
      <c r="C27" s="56">
        <f t="shared" si="7"/>
        <v>1852.5</v>
      </c>
      <c r="D27" s="56">
        <f t="shared" si="8"/>
        <v>58166.697201364834</v>
      </c>
      <c r="E27" s="56">
        <f t="shared" si="1"/>
        <v>59911.69811740578</v>
      </c>
      <c r="G27" s="57">
        <f t="shared" si="2"/>
        <v>97.5</v>
      </c>
      <c r="H27" s="57">
        <f t="shared" si="9"/>
        <v>-95.805170443039017</v>
      </c>
      <c r="I27" s="57">
        <f t="shared" si="3"/>
        <v>2.5422443354414737E-2</v>
      </c>
      <c r="J27" s="11">
        <f>'[1]Mortality table'!H49</f>
        <v>1.0111999999999927E-2</v>
      </c>
      <c r="K27" s="56">
        <f t="shared" si="4"/>
        <v>0</v>
      </c>
      <c r="L27" s="56">
        <f t="shared" si="10"/>
        <v>0</v>
      </c>
      <c r="M27" s="58">
        <f t="shared" si="11"/>
        <v>1.7202520003153974</v>
      </c>
      <c r="N27" s="11">
        <f t="shared" si="12"/>
        <v>0.9898880000000001</v>
      </c>
      <c r="O27" s="56">
        <f t="shared" si="5"/>
        <v>-3.4386345937160328</v>
      </c>
      <c r="P27" s="56">
        <f>-O27/(1+ResINT)</f>
        <v>3.3878173337103776</v>
      </c>
    </row>
    <row r="28" spans="1:16" x14ac:dyDescent="0.35">
      <c r="A28" s="55">
        <v>24</v>
      </c>
      <c r="B28" s="56">
        <f t="shared" si="0"/>
        <v>1950</v>
      </c>
      <c r="C28" s="56">
        <f t="shared" si="7"/>
        <v>1852.5</v>
      </c>
      <c r="D28" s="56">
        <f t="shared" si="8"/>
        <v>61764.19811740578</v>
      </c>
      <c r="E28" s="56">
        <f t="shared" si="1"/>
        <v>63617.124060927956</v>
      </c>
      <c r="G28" s="57">
        <f t="shared" si="2"/>
        <v>97.5</v>
      </c>
      <c r="H28" s="57">
        <f t="shared" si="9"/>
        <v>-98.679325556330198</v>
      </c>
      <c r="I28" s="57">
        <f t="shared" si="3"/>
        <v>-1.7689883344952972E-2</v>
      </c>
      <c r="J28" s="11">
        <f>'[1]Mortality table'!H50</f>
        <v>1.134400000000001E-2</v>
      </c>
      <c r="K28" s="56">
        <f t="shared" si="4"/>
        <v>0</v>
      </c>
      <c r="L28" s="56">
        <f t="shared" si="10"/>
        <v>0</v>
      </c>
      <c r="M28" s="58">
        <f t="shared" si="11"/>
        <v>-1.1970154396751513</v>
      </c>
      <c r="N28" s="11">
        <f t="shared" si="12"/>
        <v>0.98865599999999998</v>
      </c>
      <c r="O28" s="56">
        <f>M28-P29*N28</f>
        <v>-5.289759945510907</v>
      </c>
      <c r="P28" s="56">
        <f>-O28/(1+ResINT)</f>
        <v>5.2115861532127168</v>
      </c>
    </row>
    <row r="29" spans="1:16" x14ac:dyDescent="0.35">
      <c r="A29" s="55">
        <v>25</v>
      </c>
      <c r="B29" s="56">
        <f t="shared" si="0"/>
        <v>1950</v>
      </c>
      <c r="C29" s="56">
        <f t="shared" si="7"/>
        <v>1852.5</v>
      </c>
      <c r="D29" s="56">
        <f t="shared" si="8"/>
        <v>65469.624060927956</v>
      </c>
      <c r="E29" s="56">
        <f t="shared" si="1"/>
        <v>67433.7127827558</v>
      </c>
      <c r="G29" s="57">
        <f t="shared" si="2"/>
        <v>97.5</v>
      </c>
      <c r="H29" s="57">
        <f t="shared" si="9"/>
        <v>-101.6397053230201</v>
      </c>
      <c r="I29" s="57">
        <f t="shared" si="3"/>
        <v>-6.2095579845301424E-2</v>
      </c>
      <c r="J29" s="11">
        <f>'[1]Mortality table'!H51</f>
        <v>1.271599999999987E-2</v>
      </c>
      <c r="K29" s="56">
        <f t="shared" si="4"/>
        <v>0</v>
      </c>
      <c r="L29" s="56">
        <f t="shared" si="10"/>
        <v>0</v>
      </c>
      <c r="M29" s="58">
        <f t="shared" si="11"/>
        <v>-4.2018009028653971</v>
      </c>
      <c r="N29" s="11">
        <f t="shared" si="12"/>
        <v>0.98728400000000016</v>
      </c>
      <c r="O29" s="56">
        <f>M29</f>
        <v>-4.2018009028653971</v>
      </c>
      <c r="P29" s="56">
        <f>-O29/(1+ResINT)</f>
        <v>4.1397053230200962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4"/>
  <sheetViews>
    <sheetView topLeftCell="D1" zoomScale="85" zoomScaleNormal="85" workbookViewId="0">
      <selection activeCell="Q7" sqref="Q7"/>
    </sheetView>
  </sheetViews>
  <sheetFormatPr defaultColWidth="11.7265625" defaultRowHeight="14.5" x14ac:dyDescent="0.35"/>
  <cols>
    <col min="1" max="5" width="11.7265625" style="12"/>
    <col min="6" max="6" width="1.453125" style="12" customWidth="1"/>
    <col min="7" max="16384" width="11.7265625" style="12"/>
  </cols>
  <sheetData>
    <row r="1" spans="1:21" s="10" customFormat="1" ht="21" x14ac:dyDescent="0.5">
      <c r="A1" s="9" t="s">
        <v>60</v>
      </c>
    </row>
    <row r="2" spans="1:21" x14ac:dyDescent="0.35">
      <c r="B2" s="31" t="s">
        <v>39</v>
      </c>
      <c r="C2" s="61"/>
      <c r="G2" s="31" t="s">
        <v>40</v>
      </c>
      <c r="H2" s="62"/>
      <c r="I2" s="61"/>
      <c r="N2" s="63"/>
      <c r="O2" s="63"/>
      <c r="P2" s="63"/>
      <c r="Q2" s="63"/>
      <c r="R2" s="63"/>
    </row>
    <row r="3" spans="1:21" x14ac:dyDescent="0.35">
      <c r="A3" s="48"/>
      <c r="B3" s="48"/>
      <c r="C3" s="48" t="s">
        <v>41</v>
      </c>
      <c r="D3" s="48" t="s">
        <v>42</v>
      </c>
      <c r="E3" s="48" t="s">
        <v>42</v>
      </c>
      <c r="F3" s="64"/>
      <c r="G3" s="48" t="s">
        <v>43</v>
      </c>
      <c r="H3" s="48"/>
      <c r="I3" s="48"/>
      <c r="J3" s="48" t="s">
        <v>44</v>
      </c>
      <c r="K3" s="48" t="s">
        <v>45</v>
      </c>
      <c r="L3" s="48" t="s">
        <v>46</v>
      </c>
      <c r="M3" s="48" t="s">
        <v>47</v>
      </c>
      <c r="N3" s="48" t="s">
        <v>89</v>
      </c>
      <c r="O3" s="48" t="s">
        <v>100</v>
      </c>
      <c r="P3" s="48" t="s">
        <v>88</v>
      </c>
      <c r="Q3" s="48" t="s">
        <v>101</v>
      </c>
      <c r="R3" s="117" t="s">
        <v>103</v>
      </c>
      <c r="S3" s="52"/>
      <c r="T3" s="52"/>
      <c r="U3" s="52"/>
    </row>
    <row r="4" spans="1:21" x14ac:dyDescent="0.35">
      <c r="A4" s="53" t="s">
        <v>48</v>
      </c>
      <c r="B4" s="53" t="s">
        <v>49</v>
      </c>
      <c r="C4" s="53" t="s">
        <v>50</v>
      </c>
      <c r="D4" s="53" t="s">
        <v>51</v>
      </c>
      <c r="E4" s="53" t="s">
        <v>52</v>
      </c>
      <c r="F4" s="64"/>
      <c r="G4" s="53" t="s">
        <v>53</v>
      </c>
      <c r="H4" s="53" t="s">
        <v>54</v>
      </c>
      <c r="I4" s="53" t="s">
        <v>55</v>
      </c>
      <c r="J4" s="53" t="s">
        <v>56</v>
      </c>
      <c r="K4" s="53" t="s">
        <v>57</v>
      </c>
      <c r="L4" s="53" t="s">
        <v>58</v>
      </c>
      <c r="M4" s="53" t="s">
        <v>59</v>
      </c>
      <c r="N4" s="53" t="s">
        <v>38</v>
      </c>
      <c r="O4" s="53" t="s">
        <v>99</v>
      </c>
      <c r="P4" s="53" t="s">
        <v>91</v>
      </c>
      <c r="Q4" s="53" t="s">
        <v>102</v>
      </c>
      <c r="R4" s="118" t="s">
        <v>104</v>
      </c>
      <c r="S4" s="52"/>
      <c r="T4" s="52"/>
      <c r="U4" s="52"/>
    </row>
    <row r="5" spans="1:21" x14ac:dyDescent="0.35">
      <c r="A5" s="55">
        <v>1</v>
      </c>
      <c r="B5" s="56">
        <f t="shared" ref="B5:B29" si="0">P</f>
        <v>1950</v>
      </c>
      <c r="C5" s="56">
        <f>B5*A*(1-BO)</f>
        <v>833.625</v>
      </c>
      <c r="D5" s="56">
        <f>C5</f>
        <v>833.625</v>
      </c>
      <c r="E5" s="56">
        <f t="shared" ref="E5:E29" si="1">D5*(1+ProUG)</f>
        <v>866.97</v>
      </c>
      <c r="F5" s="65"/>
      <c r="G5" s="57">
        <f t="shared" ref="G5:G29" si="2">B5-C5</f>
        <v>1116.375</v>
      </c>
      <c r="H5" s="57">
        <f>-ProIE</f>
        <v>-1000</v>
      </c>
      <c r="I5" s="57">
        <f t="shared" ref="I5:I29" si="3">(G5+H5)*ProINT</f>
        <v>2.3275000000000001</v>
      </c>
      <c r="J5" s="66">
        <f>'[1]Mortality table'!H27*ProMM</f>
        <v>7.4959999999990069E-4</v>
      </c>
      <c r="K5" s="57">
        <f t="shared" ref="K5:K29" si="4">MAX(D-E5,0)</f>
        <v>49133.03</v>
      </c>
      <c r="L5" s="57">
        <f>-J5*K5</f>
        <v>-36.830119287995117</v>
      </c>
      <c r="M5" s="111">
        <f>G5+H5+I5+L5</f>
        <v>81.872380712004883</v>
      </c>
      <c r="N5" s="112">
        <v>0</v>
      </c>
      <c r="O5" s="112">
        <f t="shared" ref="O5:O29" si="5">N5*ProINT</f>
        <v>0</v>
      </c>
      <c r="P5" s="113">
        <f>1-J5</f>
        <v>0.99925040000000009</v>
      </c>
      <c r="Q5" s="114">
        <f>N6*P5</f>
        <v>386.97207233644053</v>
      </c>
      <c r="R5" s="115">
        <f>M5+N5+O5-Q5</f>
        <v>-305.09969162443565</v>
      </c>
      <c r="S5" s="69"/>
      <c r="T5" s="69"/>
      <c r="U5" s="60"/>
    </row>
    <row r="6" spans="1:21" x14ac:dyDescent="0.35">
      <c r="A6" s="55">
        <v>2</v>
      </c>
      <c r="B6" s="56">
        <f t="shared" si="0"/>
        <v>1950</v>
      </c>
      <c r="C6" s="56">
        <f t="shared" ref="C6:C29" si="6">B6*(1-BO)</f>
        <v>1852.5</v>
      </c>
      <c r="D6" s="56">
        <f t="shared" ref="D6:D29" si="7">C6+E5</f>
        <v>2719.4700000000003</v>
      </c>
      <c r="E6" s="56">
        <f t="shared" si="1"/>
        <v>2828.2488000000003</v>
      </c>
      <c r="F6" s="65"/>
      <c r="G6" s="57">
        <f t="shared" si="2"/>
        <v>97.5</v>
      </c>
      <c r="H6" s="57">
        <f t="shared" ref="H6:H29" si="8">-ProRE*(1+ProINF)^A5</f>
        <v>-51</v>
      </c>
      <c r="I6" s="57">
        <f t="shared" si="3"/>
        <v>0.93</v>
      </c>
      <c r="J6" s="66">
        <f>'[1]Mortality table'!H28*ProMM</f>
        <v>8.1119999999989742E-4</v>
      </c>
      <c r="K6" s="57">
        <f t="shared" si="4"/>
        <v>47171.751199999999</v>
      </c>
      <c r="L6" s="57">
        <f t="shared" ref="L6:L29" si="9">-J6*K6</f>
        <v>-38.265724573435158</v>
      </c>
      <c r="M6" s="58">
        <f t="shared" ref="M6:M29" si="10">G6+H6+I6+L6</f>
        <v>9.1642754265648421</v>
      </c>
      <c r="N6" s="110">
        <f>'Answer 2'!P6</f>
        <v>387.26236420464829</v>
      </c>
      <c r="O6" s="110">
        <f t="shared" si="5"/>
        <v>7.745247284092966</v>
      </c>
      <c r="P6" s="66">
        <f t="shared" ref="P6:P29" si="11">1-J6</f>
        <v>0.9991888000000001</v>
      </c>
      <c r="Q6" s="56">
        <f t="shared" ref="Q6:Q29" si="12">N7*P6</f>
        <v>391.97241852164262</v>
      </c>
      <c r="R6" s="57">
        <f t="shared" ref="R6:R29" si="13">M6+N6+O6-Q6</f>
        <v>12.199468393663437</v>
      </c>
      <c r="S6" s="69"/>
      <c r="T6" s="69"/>
      <c r="U6" s="60"/>
    </row>
    <row r="7" spans="1:21" x14ac:dyDescent="0.35">
      <c r="A7" s="55">
        <v>3</v>
      </c>
      <c r="B7" s="56">
        <f t="shared" si="0"/>
        <v>1950</v>
      </c>
      <c r="C7" s="56">
        <f t="shared" si="6"/>
        <v>1852.5</v>
      </c>
      <c r="D7" s="56">
        <f t="shared" si="7"/>
        <v>4680.7488000000003</v>
      </c>
      <c r="E7" s="56">
        <f t="shared" si="1"/>
        <v>4867.9787520000009</v>
      </c>
      <c r="F7" s="65"/>
      <c r="G7" s="57">
        <f t="shared" si="2"/>
        <v>97.5</v>
      </c>
      <c r="H7" s="57">
        <f t="shared" si="8"/>
        <v>-52.019999999999996</v>
      </c>
      <c r="I7" s="57">
        <f t="shared" si="3"/>
        <v>0.90960000000000008</v>
      </c>
      <c r="J7" s="66">
        <f>'[1]Mortality table'!H29*ProMM</f>
        <v>8.8320000000001496E-4</v>
      </c>
      <c r="K7" s="57">
        <f t="shared" si="4"/>
        <v>45132.021247999997</v>
      </c>
      <c r="L7" s="57">
        <f t="shared" si="9"/>
        <v>-39.860601166234275</v>
      </c>
      <c r="M7" s="58">
        <f t="shared" si="10"/>
        <v>6.5289988337657263</v>
      </c>
      <c r="N7" s="110">
        <f>'Answer 2'!P7</f>
        <v>392.29064469261726</v>
      </c>
      <c r="O7" s="110">
        <f t="shared" si="5"/>
        <v>7.8458128938523455</v>
      </c>
      <c r="P7" s="66">
        <f t="shared" si="11"/>
        <v>0.99911680000000003</v>
      </c>
      <c r="Q7" s="56">
        <f t="shared" si="12"/>
        <v>393.46566912263023</v>
      </c>
      <c r="R7" s="57">
        <f t="shared" si="13"/>
        <v>13.199787297605099</v>
      </c>
      <c r="S7" s="69"/>
      <c r="T7" s="69"/>
      <c r="U7" s="60"/>
    </row>
    <row r="8" spans="1:21" x14ac:dyDescent="0.35">
      <c r="A8" s="55">
        <v>4</v>
      </c>
      <c r="B8" s="56">
        <f t="shared" si="0"/>
        <v>1950</v>
      </c>
      <c r="C8" s="56">
        <f t="shared" si="6"/>
        <v>1852.5</v>
      </c>
      <c r="D8" s="56">
        <f t="shared" si="7"/>
        <v>6720.4787520000009</v>
      </c>
      <c r="E8" s="56">
        <f t="shared" si="1"/>
        <v>6989.2979020800012</v>
      </c>
      <c r="F8" s="65"/>
      <c r="G8" s="57">
        <f t="shared" si="2"/>
        <v>97.5</v>
      </c>
      <c r="H8" s="57">
        <f t="shared" si="8"/>
        <v>-53.060399999999994</v>
      </c>
      <c r="I8" s="57">
        <f t="shared" si="3"/>
        <v>0.88879200000000014</v>
      </c>
      <c r="J8" s="66">
        <f>'[1]Mortality table'!H30*ProMM</f>
        <v>9.6639999999992103E-4</v>
      </c>
      <c r="K8" s="57">
        <f t="shared" si="4"/>
        <v>43010.702097920002</v>
      </c>
      <c r="L8" s="57">
        <f t="shared" si="9"/>
        <v>-41.565542507426493</v>
      </c>
      <c r="M8" s="58">
        <f t="shared" si="10"/>
        <v>3.7628494925735154</v>
      </c>
      <c r="N8" s="110">
        <f>'Answer 2'!P8</f>
        <v>393.81348519275247</v>
      </c>
      <c r="O8" s="110">
        <f t="shared" si="5"/>
        <v>7.8762697038550495</v>
      </c>
      <c r="P8" s="66">
        <f t="shared" si="11"/>
        <v>0.99903360000000008</v>
      </c>
      <c r="Q8" s="56">
        <f t="shared" si="12"/>
        <v>391.1796855840218</v>
      </c>
      <c r="R8" s="57">
        <f t="shared" si="13"/>
        <v>14.272918805159236</v>
      </c>
      <c r="S8" s="69"/>
      <c r="T8" s="69"/>
      <c r="U8" s="60"/>
    </row>
    <row r="9" spans="1:21" x14ac:dyDescent="0.35">
      <c r="A9" s="55">
        <v>5</v>
      </c>
      <c r="B9" s="56">
        <f t="shared" si="0"/>
        <v>1950</v>
      </c>
      <c r="C9" s="56">
        <f t="shared" si="6"/>
        <v>1852.5</v>
      </c>
      <c r="D9" s="56">
        <f t="shared" si="7"/>
        <v>8841.7979020800012</v>
      </c>
      <c r="E9" s="56">
        <f t="shared" si="1"/>
        <v>9195.4698181632011</v>
      </c>
      <c r="F9" s="65"/>
      <c r="G9" s="57">
        <f t="shared" si="2"/>
        <v>97.5</v>
      </c>
      <c r="H9" s="57">
        <f t="shared" si="8"/>
        <v>-54.121608000000002</v>
      </c>
      <c r="I9" s="57">
        <f t="shared" si="3"/>
        <v>0.86756783999999998</v>
      </c>
      <c r="J9" s="66">
        <f>'[1]Mortality table'!H31*ProMM</f>
        <v>1.0616000000000156E-3</v>
      </c>
      <c r="K9" s="57">
        <f t="shared" si="4"/>
        <v>40804.530181836803</v>
      </c>
      <c r="L9" s="57">
        <f t="shared" si="9"/>
        <v>-43.318089241038585</v>
      </c>
      <c r="M9" s="58">
        <f t="shared" si="10"/>
        <v>0.92787059896141244</v>
      </c>
      <c r="N9" s="110">
        <f>'Answer 2'!P9</f>
        <v>391.55808731960741</v>
      </c>
      <c r="O9" s="110">
        <f t="shared" si="5"/>
        <v>7.8311617463921488</v>
      </c>
      <c r="P9" s="66">
        <f t="shared" si="11"/>
        <v>0.9989384</v>
      </c>
      <c r="Q9" s="56">
        <f t="shared" si="12"/>
        <v>384.90206920796032</v>
      </c>
      <c r="R9" s="57">
        <f t="shared" si="13"/>
        <v>15.415050457000632</v>
      </c>
      <c r="S9" s="69"/>
      <c r="T9" s="69"/>
      <c r="U9" s="60"/>
    </row>
    <row r="10" spans="1:21" x14ac:dyDescent="0.35">
      <c r="A10" s="55">
        <v>6</v>
      </c>
      <c r="B10" s="56">
        <f t="shared" si="0"/>
        <v>1950</v>
      </c>
      <c r="C10" s="56">
        <f t="shared" si="6"/>
        <v>1852.5</v>
      </c>
      <c r="D10" s="56">
        <f t="shared" si="7"/>
        <v>11047.969818163201</v>
      </c>
      <c r="E10" s="56">
        <f t="shared" si="1"/>
        <v>11489.88861088973</v>
      </c>
      <c r="F10" s="65"/>
      <c r="G10" s="57">
        <f t="shared" si="2"/>
        <v>97.5</v>
      </c>
      <c r="H10" s="57">
        <f t="shared" si="8"/>
        <v>-55.204040159999998</v>
      </c>
      <c r="I10" s="57">
        <f t="shared" si="3"/>
        <v>0.84591919680000005</v>
      </c>
      <c r="J10" s="66">
        <f>'[1]Mortality table'!H32*ProMM</f>
        <v>1.1719999999999702E-3</v>
      </c>
      <c r="K10" s="57">
        <f t="shared" si="4"/>
        <v>38510.111389110272</v>
      </c>
      <c r="L10" s="57">
        <f t="shared" si="9"/>
        <v>-45.133850548036087</v>
      </c>
      <c r="M10" s="58">
        <f t="shared" si="10"/>
        <v>-1.9919715112360876</v>
      </c>
      <c r="N10" s="110">
        <f>'Answer 2'!P10</f>
        <v>385.31111548816256</v>
      </c>
      <c r="O10" s="110">
        <f t="shared" si="5"/>
        <v>7.706222309763251</v>
      </c>
      <c r="P10" s="66">
        <f t="shared" si="11"/>
        <v>0.99882800000000005</v>
      </c>
      <c r="Q10" s="56">
        <f t="shared" si="12"/>
        <v>374.37897969597293</v>
      </c>
      <c r="R10" s="57">
        <f t="shared" si="13"/>
        <v>16.646386590716759</v>
      </c>
      <c r="S10" s="69"/>
      <c r="T10" s="69"/>
      <c r="U10" s="60"/>
    </row>
    <row r="11" spans="1:21" x14ac:dyDescent="0.35">
      <c r="A11" s="55">
        <v>7</v>
      </c>
      <c r="B11" s="56">
        <f t="shared" si="0"/>
        <v>1950</v>
      </c>
      <c r="C11" s="56">
        <f t="shared" si="6"/>
        <v>1852.5</v>
      </c>
      <c r="D11" s="56">
        <f t="shared" si="7"/>
        <v>13342.38861088973</v>
      </c>
      <c r="E11" s="56">
        <f t="shared" si="1"/>
        <v>13876.084155325319</v>
      </c>
      <c r="F11" s="65"/>
      <c r="G11" s="57">
        <f t="shared" si="2"/>
        <v>97.5</v>
      </c>
      <c r="H11" s="57">
        <f t="shared" si="8"/>
        <v>-56.308120963200004</v>
      </c>
      <c r="I11" s="57">
        <f t="shared" si="3"/>
        <v>0.82383758073599989</v>
      </c>
      <c r="J11" s="66">
        <f>'[1]Mortality table'!H33*ProMM</f>
        <v>1.2976000000000491E-3</v>
      </c>
      <c r="K11" s="57">
        <f t="shared" si="4"/>
        <v>36123.915844674681</v>
      </c>
      <c r="L11" s="57">
        <f t="shared" si="9"/>
        <v>-46.874393200051642</v>
      </c>
      <c r="M11" s="58">
        <f t="shared" si="10"/>
        <v>-4.858676582515649</v>
      </c>
      <c r="N11" s="110">
        <f>'Answer 2'!P11</f>
        <v>374.81826670455064</v>
      </c>
      <c r="O11" s="110">
        <f t="shared" si="5"/>
        <v>7.4963653340910126</v>
      </c>
      <c r="P11" s="66">
        <f t="shared" si="11"/>
        <v>0.99870239999999999</v>
      </c>
      <c r="Q11" s="56">
        <f t="shared" si="12"/>
        <v>359.50368907070987</v>
      </c>
      <c r="R11" s="57">
        <f t="shared" si="13"/>
        <v>17.952266385416124</v>
      </c>
      <c r="S11" s="69"/>
      <c r="T11" s="69"/>
      <c r="U11" s="60"/>
    </row>
    <row r="12" spans="1:21" x14ac:dyDescent="0.35">
      <c r="A12" s="55">
        <v>8</v>
      </c>
      <c r="B12" s="56">
        <f t="shared" si="0"/>
        <v>1950</v>
      </c>
      <c r="C12" s="56">
        <f t="shared" si="6"/>
        <v>1852.5</v>
      </c>
      <c r="D12" s="56">
        <f t="shared" si="7"/>
        <v>15728.584155325319</v>
      </c>
      <c r="E12" s="56">
        <f t="shared" si="1"/>
        <v>16357.727521538332</v>
      </c>
      <c r="F12" s="65"/>
      <c r="G12" s="57">
        <f t="shared" si="2"/>
        <v>97.5</v>
      </c>
      <c r="H12" s="57">
        <f t="shared" si="8"/>
        <v>-57.434283382463988</v>
      </c>
      <c r="I12" s="57">
        <f t="shared" si="3"/>
        <v>0.80131433235072025</v>
      </c>
      <c r="J12" s="66">
        <f>'[1]Mortality table'!H34*ProMM</f>
        <v>1.4415999999999635E-3</v>
      </c>
      <c r="K12" s="57">
        <f t="shared" si="4"/>
        <v>33642.272478461666</v>
      </c>
      <c r="L12" s="57">
        <f t="shared" si="9"/>
        <v>-48.498700004949107</v>
      </c>
      <c r="M12" s="58">
        <f t="shared" si="10"/>
        <v>-7.6316690550623747</v>
      </c>
      <c r="N12" s="110">
        <f>'Answer 2'!P12</f>
        <v>359.97078716413404</v>
      </c>
      <c r="O12" s="110">
        <f t="shared" si="5"/>
        <v>7.1994157432826809</v>
      </c>
      <c r="P12" s="66">
        <f t="shared" si="11"/>
        <v>0.99855840000000007</v>
      </c>
      <c r="Q12" s="56">
        <f t="shared" si="12"/>
        <v>340.18869915964132</v>
      </c>
      <c r="R12" s="57">
        <f t="shared" si="13"/>
        <v>19.349834692712989</v>
      </c>
      <c r="S12" s="69"/>
      <c r="T12" s="69"/>
      <c r="U12" s="60"/>
    </row>
    <row r="13" spans="1:21" x14ac:dyDescent="0.35">
      <c r="A13" s="55">
        <v>9</v>
      </c>
      <c r="B13" s="56">
        <f t="shared" si="0"/>
        <v>1950</v>
      </c>
      <c r="C13" s="56">
        <f t="shared" si="6"/>
        <v>1852.5</v>
      </c>
      <c r="D13" s="56">
        <f t="shared" si="7"/>
        <v>18210.227521538334</v>
      </c>
      <c r="E13" s="56">
        <f t="shared" si="1"/>
        <v>18938.636622399867</v>
      </c>
      <c r="F13" s="65"/>
      <c r="G13" s="57">
        <f t="shared" si="2"/>
        <v>97.5</v>
      </c>
      <c r="H13" s="57">
        <f t="shared" si="8"/>
        <v>-58.582969050113277</v>
      </c>
      <c r="I13" s="57">
        <f t="shared" si="3"/>
        <v>0.77834061899773443</v>
      </c>
      <c r="J13" s="66">
        <f>'[1]Mortality table'!H35*ProMM</f>
        <v>1.6063999999999679E-3</v>
      </c>
      <c r="K13" s="57">
        <f t="shared" si="4"/>
        <v>31061.363377600133</v>
      </c>
      <c r="L13" s="57">
        <f t="shared" si="9"/>
        <v>-49.896974129775856</v>
      </c>
      <c r="M13" s="58">
        <f t="shared" si="10"/>
        <v>-10.201602560891402</v>
      </c>
      <c r="N13" s="110">
        <f>'Answer 2'!P13</f>
        <v>340.67982319275598</v>
      </c>
      <c r="O13" s="110">
        <f t="shared" si="5"/>
        <v>6.8135964638551201</v>
      </c>
      <c r="P13" s="66">
        <f t="shared" si="11"/>
        <v>0.99839359999999999</v>
      </c>
      <c r="Q13" s="56">
        <f t="shared" si="12"/>
        <v>316.44553869445059</v>
      </c>
      <c r="R13" s="57">
        <f t="shared" si="13"/>
        <v>20.846278401269103</v>
      </c>
      <c r="S13" s="69"/>
      <c r="T13" s="69"/>
      <c r="U13" s="60"/>
    </row>
    <row r="14" spans="1:21" x14ac:dyDescent="0.35">
      <c r="A14" s="55">
        <v>10</v>
      </c>
      <c r="B14" s="56">
        <f t="shared" si="0"/>
        <v>1950</v>
      </c>
      <c r="C14" s="56">
        <f t="shared" si="6"/>
        <v>1852.5</v>
      </c>
      <c r="D14" s="56">
        <f t="shared" si="7"/>
        <v>20791.136622399867</v>
      </c>
      <c r="E14" s="56">
        <f t="shared" si="1"/>
        <v>21622.782087295862</v>
      </c>
      <c r="F14" s="65"/>
      <c r="G14" s="57">
        <f t="shared" si="2"/>
        <v>97.5</v>
      </c>
      <c r="H14" s="57">
        <f t="shared" si="8"/>
        <v>-59.754628431115542</v>
      </c>
      <c r="I14" s="57">
        <f t="shared" si="3"/>
        <v>0.75490743137768923</v>
      </c>
      <c r="J14" s="66">
        <f>'[1]Mortality table'!H36*ProMM</f>
        <v>1.7928000000000861E-3</v>
      </c>
      <c r="K14" s="57">
        <f t="shared" si="4"/>
        <v>28377.217912704138</v>
      </c>
      <c r="L14" s="57">
        <f t="shared" si="9"/>
        <v>-50.874676273898423</v>
      </c>
      <c r="M14" s="58">
        <f t="shared" si="10"/>
        <v>-12.374397273636276</v>
      </c>
      <c r="N14" s="110">
        <f>'Answer 2'!P14</f>
        <v>316.95469471604247</v>
      </c>
      <c r="O14" s="110">
        <f t="shared" si="5"/>
        <v>6.3390938943208495</v>
      </c>
      <c r="P14" s="66">
        <f t="shared" si="11"/>
        <v>0.99820719999999996</v>
      </c>
      <c r="Q14" s="56">
        <f t="shared" si="12"/>
        <v>288.48474732760303</v>
      </c>
      <c r="R14" s="57">
        <f t="shared" si="13"/>
        <v>22.434644009123986</v>
      </c>
      <c r="S14" s="69"/>
      <c r="T14" s="69"/>
      <c r="U14" s="60"/>
    </row>
    <row r="15" spans="1:21" x14ac:dyDescent="0.35">
      <c r="A15" s="55">
        <v>11</v>
      </c>
      <c r="B15" s="56">
        <f t="shared" si="0"/>
        <v>1950</v>
      </c>
      <c r="C15" s="56">
        <f t="shared" si="6"/>
        <v>1852.5</v>
      </c>
      <c r="D15" s="56">
        <f t="shared" si="7"/>
        <v>23475.282087295862</v>
      </c>
      <c r="E15" s="56">
        <f t="shared" si="1"/>
        <v>24414.293370787698</v>
      </c>
      <c r="F15" s="65"/>
      <c r="G15" s="57">
        <f t="shared" si="2"/>
        <v>97.5</v>
      </c>
      <c r="H15" s="57">
        <f t="shared" si="8"/>
        <v>-60.949720999737856</v>
      </c>
      <c r="I15" s="57">
        <f t="shared" si="3"/>
        <v>0.73100558000524285</v>
      </c>
      <c r="J15" s="66">
        <f>'[1]Mortality table'!H37*ProMM</f>
        <v>2.0063999999998892E-3</v>
      </c>
      <c r="K15" s="57">
        <f t="shared" si="4"/>
        <v>25585.706629212302</v>
      </c>
      <c r="L15" s="57">
        <f t="shared" si="9"/>
        <v>-51.335161780848729</v>
      </c>
      <c r="M15" s="58">
        <f t="shared" si="10"/>
        <v>-14.05387720058134</v>
      </c>
      <c r="N15" s="110">
        <f>'Answer 2'!P15</f>
        <v>289.00287167594365</v>
      </c>
      <c r="O15" s="110">
        <f t="shared" si="5"/>
        <v>5.7800574335188735</v>
      </c>
      <c r="P15" s="66">
        <f t="shared" si="11"/>
        <v>0.99799360000000015</v>
      </c>
      <c r="Q15" s="56">
        <f t="shared" si="12"/>
        <v>256.57952421423619</v>
      </c>
      <c r="R15" s="57">
        <f t="shared" si="13"/>
        <v>24.14952769464503</v>
      </c>
      <c r="S15" s="69"/>
      <c r="T15" s="69"/>
      <c r="U15" s="60"/>
    </row>
    <row r="16" spans="1:21" x14ac:dyDescent="0.35">
      <c r="A16" s="55">
        <v>12</v>
      </c>
      <c r="B16" s="56">
        <f t="shared" si="0"/>
        <v>1950</v>
      </c>
      <c r="C16" s="56">
        <f t="shared" si="6"/>
        <v>1852.5</v>
      </c>
      <c r="D16" s="56">
        <f t="shared" si="7"/>
        <v>26266.793370787698</v>
      </c>
      <c r="E16" s="56">
        <f t="shared" si="1"/>
        <v>27317.465105619209</v>
      </c>
      <c r="F16" s="65"/>
      <c r="G16" s="57">
        <f t="shared" si="2"/>
        <v>97.5</v>
      </c>
      <c r="H16" s="57">
        <f t="shared" si="8"/>
        <v>-62.1687154197326</v>
      </c>
      <c r="I16" s="57">
        <f t="shared" si="3"/>
        <v>0.70662569160534805</v>
      </c>
      <c r="J16" s="66">
        <f>'[1]Mortality table'!H38*ProMM</f>
        <v>2.2471999999999731E-3</v>
      </c>
      <c r="K16" s="57">
        <f t="shared" si="4"/>
        <v>22682.534894380791</v>
      </c>
      <c r="L16" s="57">
        <f t="shared" si="9"/>
        <v>-50.972192414651907</v>
      </c>
      <c r="M16" s="58">
        <f t="shared" si="10"/>
        <v>-14.934282142779161</v>
      </c>
      <c r="N16" s="110">
        <f>'Answer 2'!P16</f>
        <v>257.09536034523285</v>
      </c>
      <c r="O16" s="110">
        <f t="shared" si="5"/>
        <v>5.1419072069046567</v>
      </c>
      <c r="P16" s="66">
        <f t="shared" si="11"/>
        <v>0.9977528</v>
      </c>
      <c r="Q16" s="56">
        <f t="shared" si="12"/>
        <v>221.32468023500763</v>
      </c>
      <c r="R16" s="57">
        <f t="shared" si="13"/>
        <v>25.978305174350709</v>
      </c>
      <c r="S16" s="69"/>
      <c r="T16" s="69"/>
      <c r="U16" s="60"/>
    </row>
    <row r="17" spans="1:21" x14ac:dyDescent="0.35">
      <c r="A17" s="55">
        <v>13</v>
      </c>
      <c r="B17" s="56">
        <f t="shared" si="0"/>
        <v>1950</v>
      </c>
      <c r="C17" s="56">
        <f t="shared" si="6"/>
        <v>1852.5</v>
      </c>
      <c r="D17" s="56">
        <f t="shared" si="7"/>
        <v>29169.965105619209</v>
      </c>
      <c r="E17" s="56">
        <f t="shared" si="1"/>
        <v>30336.763709843977</v>
      </c>
      <c r="F17" s="65"/>
      <c r="G17" s="57">
        <f t="shared" si="2"/>
        <v>97.5</v>
      </c>
      <c r="H17" s="57">
        <f t="shared" si="8"/>
        <v>-63.412089728127263</v>
      </c>
      <c r="I17" s="57">
        <f t="shared" si="3"/>
        <v>0.6817582054374548</v>
      </c>
      <c r="J17" s="66">
        <f>'[1]Mortality table'!H39*ProMM</f>
        <v>2.5215999999999867E-3</v>
      </c>
      <c r="K17" s="57">
        <f t="shared" si="4"/>
        <v>19663.236290156023</v>
      </c>
      <c r="L17" s="57">
        <f t="shared" si="9"/>
        <v>-49.582816629257167</v>
      </c>
      <c r="M17" s="58">
        <f t="shared" si="10"/>
        <v>-14.813148151946976</v>
      </c>
      <c r="N17" s="110">
        <f>'Answer 2'!P17</f>
        <v>221.82316124295281</v>
      </c>
      <c r="O17" s="110">
        <f t="shared" si="5"/>
        <v>4.4364632248590565</v>
      </c>
      <c r="P17" s="66">
        <f t="shared" si="11"/>
        <v>0.99747839999999999</v>
      </c>
      <c r="Q17" s="56">
        <f t="shared" si="12"/>
        <v>183.48475132649142</v>
      </c>
      <c r="R17" s="57">
        <f t="shared" si="13"/>
        <v>27.961724989373465</v>
      </c>
      <c r="S17" s="69"/>
      <c r="T17" s="69"/>
      <c r="U17" s="60"/>
    </row>
    <row r="18" spans="1:21" x14ac:dyDescent="0.35">
      <c r="A18" s="55">
        <v>14</v>
      </c>
      <c r="B18" s="56">
        <f t="shared" si="0"/>
        <v>1950</v>
      </c>
      <c r="C18" s="56">
        <f t="shared" si="6"/>
        <v>1852.5</v>
      </c>
      <c r="D18" s="56">
        <f t="shared" si="7"/>
        <v>32189.263709843977</v>
      </c>
      <c r="E18" s="56">
        <f t="shared" si="1"/>
        <v>33476.834258237737</v>
      </c>
      <c r="F18" s="65"/>
      <c r="G18" s="57">
        <f t="shared" si="2"/>
        <v>97.5</v>
      </c>
      <c r="H18" s="57">
        <f t="shared" si="8"/>
        <v>-64.680331522689798</v>
      </c>
      <c r="I18" s="57">
        <f t="shared" si="3"/>
        <v>0.65639336954620409</v>
      </c>
      <c r="J18" s="66">
        <f>'[1]Mortality table'!H40*ProMM</f>
        <v>2.8311999999999235E-3</v>
      </c>
      <c r="K18" s="57">
        <f t="shared" si="4"/>
        <v>16523.165741762263</v>
      </c>
      <c r="L18" s="57">
        <f t="shared" si="9"/>
        <v>-46.780386848076056</v>
      </c>
      <c r="M18" s="58">
        <f t="shared" si="10"/>
        <v>-13.304325001219652</v>
      </c>
      <c r="N18" s="110">
        <f>'Answer 2'!P18</f>
        <v>183.9485961064334</v>
      </c>
      <c r="O18" s="110">
        <f t="shared" si="5"/>
        <v>3.6789719221286679</v>
      </c>
      <c r="P18" s="66">
        <f t="shared" si="11"/>
        <v>0.99716880000000008</v>
      </c>
      <c r="Q18" s="56">
        <f t="shared" si="12"/>
        <v>144.21894858023782</v>
      </c>
      <c r="R18" s="57">
        <f t="shared" si="13"/>
        <v>30.104294447104621</v>
      </c>
      <c r="S18" s="69"/>
      <c r="T18" s="69"/>
      <c r="U18" s="60"/>
    </row>
    <row r="19" spans="1:21" x14ac:dyDescent="0.35">
      <c r="A19" s="55">
        <v>15</v>
      </c>
      <c r="B19" s="56">
        <f t="shared" si="0"/>
        <v>1950</v>
      </c>
      <c r="C19" s="56">
        <f t="shared" si="6"/>
        <v>1852.5</v>
      </c>
      <c r="D19" s="56">
        <f t="shared" si="7"/>
        <v>35329.334258237737</v>
      </c>
      <c r="E19" s="56">
        <f t="shared" si="1"/>
        <v>36742.507628567248</v>
      </c>
      <c r="F19" s="65"/>
      <c r="G19" s="57">
        <f t="shared" si="2"/>
        <v>97.5</v>
      </c>
      <c r="H19" s="57">
        <f t="shared" si="8"/>
        <v>-65.973938153143607</v>
      </c>
      <c r="I19" s="57">
        <f t="shared" si="3"/>
        <v>0.63052123693712792</v>
      </c>
      <c r="J19" s="66">
        <f>'[1]Mortality table'!H41*ProMM</f>
        <v>3.1808000000000144E-3</v>
      </c>
      <c r="K19" s="57">
        <f t="shared" si="4"/>
        <v>13257.492371432752</v>
      </c>
      <c r="L19" s="57">
        <f t="shared" si="9"/>
        <v>-42.169431735053493</v>
      </c>
      <c r="M19" s="58">
        <f t="shared" si="10"/>
        <v>-10.012848651259972</v>
      </c>
      <c r="N19" s="110">
        <f>'Answer 2'!P19</f>
        <v>144.62842056454014</v>
      </c>
      <c r="O19" s="110">
        <f t="shared" si="5"/>
        <v>2.8925684112908026</v>
      </c>
      <c r="P19" s="66">
        <f t="shared" si="11"/>
        <v>0.99681920000000002</v>
      </c>
      <c r="Q19" s="56">
        <f t="shared" si="12"/>
        <v>105.06961258625776</v>
      </c>
      <c r="R19" s="57">
        <f t="shared" si="13"/>
        <v>32.438527738313212</v>
      </c>
      <c r="S19" s="69"/>
      <c r="T19" s="69"/>
      <c r="U19" s="60"/>
    </row>
    <row r="20" spans="1:21" x14ac:dyDescent="0.35">
      <c r="A20" s="55">
        <v>16</v>
      </c>
      <c r="B20" s="56">
        <f t="shared" si="0"/>
        <v>1950</v>
      </c>
      <c r="C20" s="56">
        <f t="shared" si="6"/>
        <v>1852.5</v>
      </c>
      <c r="D20" s="56">
        <f t="shared" si="7"/>
        <v>38595.007628567248</v>
      </c>
      <c r="E20" s="56">
        <f t="shared" si="1"/>
        <v>40138.807933709941</v>
      </c>
      <c r="F20" s="65"/>
      <c r="G20" s="57">
        <f t="shared" si="2"/>
        <v>97.5</v>
      </c>
      <c r="H20" s="57">
        <f t="shared" si="8"/>
        <v>-67.293416916206468</v>
      </c>
      <c r="I20" s="57">
        <f t="shared" si="3"/>
        <v>0.60413166167587062</v>
      </c>
      <c r="J20" s="66">
        <f>'[1]Mortality table'!H42*ProMM</f>
        <v>3.5752000000000236E-3</v>
      </c>
      <c r="K20" s="57">
        <f t="shared" si="4"/>
        <v>9861.1920662900593</v>
      </c>
      <c r="L20" s="57">
        <f t="shared" si="9"/>
        <v>-35.255733875400452</v>
      </c>
      <c r="M20" s="58">
        <f t="shared" si="10"/>
        <v>-4.4450191299310475</v>
      </c>
      <c r="N20" s="110">
        <f>'Answer 2'!P20</f>
        <v>105.40488444269307</v>
      </c>
      <c r="O20" s="110">
        <f t="shared" si="5"/>
        <v>2.1080976888538614</v>
      </c>
      <c r="P20" s="66">
        <f t="shared" si="11"/>
        <v>0.9964248</v>
      </c>
      <c r="Q20" s="56">
        <f t="shared" si="12"/>
        <v>68.067374088256102</v>
      </c>
      <c r="R20" s="57">
        <f t="shared" si="13"/>
        <v>35.000588913359778</v>
      </c>
      <c r="S20" s="69"/>
      <c r="T20" s="69"/>
      <c r="U20" s="60"/>
    </row>
    <row r="21" spans="1:21" x14ac:dyDescent="0.35">
      <c r="A21" s="55">
        <v>17</v>
      </c>
      <c r="B21" s="56">
        <f t="shared" si="0"/>
        <v>1950</v>
      </c>
      <c r="C21" s="56">
        <f t="shared" si="6"/>
        <v>1852.5</v>
      </c>
      <c r="D21" s="56">
        <f t="shared" si="7"/>
        <v>41991.307933709941</v>
      </c>
      <c r="E21" s="56">
        <f t="shared" si="1"/>
        <v>43670.960251058343</v>
      </c>
      <c r="F21" s="65"/>
      <c r="G21" s="57">
        <f t="shared" si="2"/>
        <v>97.5</v>
      </c>
      <c r="H21" s="57">
        <f t="shared" si="8"/>
        <v>-68.639285254530606</v>
      </c>
      <c r="I21" s="57">
        <f t="shared" si="3"/>
        <v>0.57721429490938791</v>
      </c>
      <c r="J21" s="66">
        <f>'[1]Mortality table'!H43*ProMM</f>
        <v>4.0199999999999082E-3</v>
      </c>
      <c r="K21" s="57">
        <f t="shared" si="4"/>
        <v>6329.0397489416573</v>
      </c>
      <c r="L21" s="57">
        <f t="shared" si="9"/>
        <v>-25.442739790744881</v>
      </c>
      <c r="M21" s="58">
        <f t="shared" si="10"/>
        <v>3.9951892496339028</v>
      </c>
      <c r="N21" s="110">
        <f>'Answer 2'!P21</f>
        <v>68.311601726749572</v>
      </c>
      <c r="O21" s="110">
        <f t="shared" si="5"/>
        <v>1.3662320345349914</v>
      </c>
      <c r="P21" s="66">
        <f t="shared" si="11"/>
        <v>0.99598000000000009</v>
      </c>
      <c r="Q21" s="56">
        <f t="shared" si="12"/>
        <v>35.835533454181729</v>
      </c>
      <c r="R21" s="57">
        <f t="shared" si="13"/>
        <v>37.837489556736728</v>
      </c>
      <c r="S21" s="69"/>
      <c r="T21" s="69"/>
      <c r="U21" s="60"/>
    </row>
    <row r="22" spans="1:21" x14ac:dyDescent="0.35">
      <c r="A22" s="55">
        <v>18</v>
      </c>
      <c r="B22" s="56">
        <f t="shared" si="0"/>
        <v>1950</v>
      </c>
      <c r="C22" s="56">
        <f t="shared" si="6"/>
        <v>1852.5</v>
      </c>
      <c r="D22" s="56">
        <f t="shared" si="7"/>
        <v>45523.460251058343</v>
      </c>
      <c r="E22" s="56">
        <f t="shared" si="1"/>
        <v>47344.398661100677</v>
      </c>
      <c r="F22" s="65"/>
      <c r="G22" s="57">
        <f t="shared" si="2"/>
        <v>97.5</v>
      </c>
      <c r="H22" s="57">
        <f t="shared" si="8"/>
        <v>-70.012070959621227</v>
      </c>
      <c r="I22" s="57">
        <f t="shared" si="3"/>
        <v>0.54975858080757545</v>
      </c>
      <c r="J22" s="66">
        <f>'[1]Mortality table'!H44*ProMM</f>
        <v>4.5199999999999615E-3</v>
      </c>
      <c r="K22" s="57">
        <f t="shared" si="4"/>
        <v>2655.6013388993233</v>
      </c>
      <c r="L22" s="57">
        <f t="shared" si="9"/>
        <v>-12.00331805182484</v>
      </c>
      <c r="M22" s="58">
        <f t="shared" si="10"/>
        <v>16.034369569361509</v>
      </c>
      <c r="N22" s="110">
        <f>'Answer 2'!P22</f>
        <v>35.980173752667447</v>
      </c>
      <c r="O22" s="110">
        <f t="shared" si="5"/>
        <v>0.71960347505334898</v>
      </c>
      <c r="P22" s="66">
        <f t="shared" si="11"/>
        <v>0.99548000000000003</v>
      </c>
      <c r="Q22" s="56">
        <f t="shared" si="12"/>
        <v>11.735597910864973</v>
      </c>
      <c r="R22" s="57">
        <f t="shared" si="13"/>
        <v>40.998548886217328</v>
      </c>
      <c r="S22" s="69"/>
      <c r="T22" s="69"/>
      <c r="U22" s="60"/>
    </row>
    <row r="23" spans="1:21" x14ac:dyDescent="0.35">
      <c r="A23" s="55">
        <v>19</v>
      </c>
      <c r="B23" s="56">
        <f t="shared" si="0"/>
        <v>1950</v>
      </c>
      <c r="C23" s="56">
        <f t="shared" si="6"/>
        <v>1852.5</v>
      </c>
      <c r="D23" s="56">
        <f t="shared" si="7"/>
        <v>49196.898661100677</v>
      </c>
      <c r="E23" s="56">
        <f t="shared" si="1"/>
        <v>51164.774607544707</v>
      </c>
      <c r="F23" s="65"/>
      <c r="G23" s="57">
        <f t="shared" si="2"/>
        <v>97.5</v>
      </c>
      <c r="H23" s="57">
        <f t="shared" si="8"/>
        <v>-71.412312378813638</v>
      </c>
      <c r="I23" s="57">
        <f t="shared" si="3"/>
        <v>0.52175375242372724</v>
      </c>
      <c r="J23" s="66">
        <f>'[1]Mortality table'!H45*ProMM</f>
        <v>5.0816000000000507E-3</v>
      </c>
      <c r="K23" s="57">
        <f t="shared" si="4"/>
        <v>0</v>
      </c>
      <c r="L23" s="57">
        <f t="shared" si="9"/>
        <v>0</v>
      </c>
      <c r="M23" s="58">
        <f t="shared" si="10"/>
        <v>26.609441373610089</v>
      </c>
      <c r="N23" s="110">
        <f>'Answer 2'!P23</f>
        <v>11.788883665030912</v>
      </c>
      <c r="O23" s="110">
        <f t="shared" si="5"/>
        <v>0.23577767330061825</v>
      </c>
      <c r="P23" s="66">
        <f t="shared" si="11"/>
        <v>0.99491839999999998</v>
      </c>
      <c r="Q23" s="56">
        <f t="shared" si="12"/>
        <v>0</v>
      </c>
      <c r="R23" s="57">
        <f t="shared" si="13"/>
        <v>38.634102711941622</v>
      </c>
      <c r="S23" s="69"/>
      <c r="T23" s="69"/>
      <c r="U23" s="60"/>
    </row>
    <row r="24" spans="1:21" x14ac:dyDescent="0.35">
      <c r="A24" s="55">
        <v>20</v>
      </c>
      <c r="B24" s="56">
        <f t="shared" si="0"/>
        <v>1950</v>
      </c>
      <c r="C24" s="56">
        <f t="shared" si="6"/>
        <v>1852.5</v>
      </c>
      <c r="D24" s="56">
        <f t="shared" si="7"/>
        <v>53017.274607544707</v>
      </c>
      <c r="E24" s="56">
        <f t="shared" si="1"/>
        <v>55137.9655918465</v>
      </c>
      <c r="F24" s="65"/>
      <c r="G24" s="57">
        <f t="shared" si="2"/>
        <v>97.5</v>
      </c>
      <c r="H24" s="57">
        <f t="shared" si="8"/>
        <v>-72.840558626389907</v>
      </c>
      <c r="I24" s="57">
        <f t="shared" si="3"/>
        <v>0.49318882747220189</v>
      </c>
      <c r="J24" s="66">
        <f>'[1]Mortality table'!H46*ProMM</f>
        <v>5.7120000000000859E-3</v>
      </c>
      <c r="K24" s="57">
        <f t="shared" si="4"/>
        <v>0</v>
      </c>
      <c r="L24" s="57">
        <f t="shared" si="9"/>
        <v>0</v>
      </c>
      <c r="M24" s="58">
        <f t="shared" si="10"/>
        <v>25.152630201082296</v>
      </c>
      <c r="N24" s="110">
        <f>'Answer 2'!P24</f>
        <v>0</v>
      </c>
      <c r="O24" s="110">
        <f t="shared" si="5"/>
        <v>0</v>
      </c>
      <c r="P24" s="66">
        <f t="shared" si="11"/>
        <v>0.99428799999999995</v>
      </c>
      <c r="Q24" s="56">
        <f t="shared" si="12"/>
        <v>0</v>
      </c>
      <c r="R24" s="57">
        <f t="shared" si="13"/>
        <v>25.152630201082296</v>
      </c>
      <c r="S24" s="69"/>
      <c r="T24" s="69"/>
      <c r="U24" s="60"/>
    </row>
    <row r="25" spans="1:21" x14ac:dyDescent="0.35">
      <c r="A25" s="55">
        <v>21</v>
      </c>
      <c r="B25" s="56">
        <f t="shared" si="0"/>
        <v>1950</v>
      </c>
      <c r="C25" s="56">
        <f t="shared" si="6"/>
        <v>1852.5</v>
      </c>
      <c r="D25" s="56">
        <f t="shared" si="7"/>
        <v>56990.4655918465</v>
      </c>
      <c r="E25" s="56">
        <f t="shared" si="1"/>
        <v>59270.084215520365</v>
      </c>
      <c r="F25" s="65"/>
      <c r="G25" s="57">
        <f t="shared" si="2"/>
        <v>97.5</v>
      </c>
      <c r="H25" s="57">
        <f t="shared" si="8"/>
        <v>-74.297369798917714</v>
      </c>
      <c r="I25" s="57">
        <f t="shared" si="3"/>
        <v>0.46405260402164572</v>
      </c>
      <c r="J25" s="66">
        <f>'[1]Mortality table'!H47*ProMM</f>
        <v>6.4176000000000554E-3</v>
      </c>
      <c r="K25" s="57">
        <f t="shared" si="4"/>
        <v>0</v>
      </c>
      <c r="L25" s="57">
        <f t="shared" si="9"/>
        <v>0</v>
      </c>
      <c r="M25" s="58">
        <f t="shared" si="10"/>
        <v>23.666682805103932</v>
      </c>
      <c r="N25" s="110">
        <f>'Answer 2'!P25</f>
        <v>0</v>
      </c>
      <c r="O25" s="110">
        <f t="shared" si="5"/>
        <v>0</v>
      </c>
      <c r="P25" s="66">
        <f t="shared" si="11"/>
        <v>0.99358239999999998</v>
      </c>
      <c r="Q25" s="56">
        <f t="shared" si="12"/>
        <v>0</v>
      </c>
      <c r="R25" s="57">
        <f t="shared" si="13"/>
        <v>23.666682805103932</v>
      </c>
      <c r="S25" s="69"/>
      <c r="T25" s="69"/>
      <c r="U25" s="60"/>
    </row>
    <row r="26" spans="1:21" x14ac:dyDescent="0.35">
      <c r="A26" s="55">
        <v>22</v>
      </c>
      <c r="B26" s="56">
        <f t="shared" si="0"/>
        <v>1950</v>
      </c>
      <c r="C26" s="56">
        <f t="shared" si="6"/>
        <v>1852.5</v>
      </c>
      <c r="D26" s="56">
        <f t="shared" si="7"/>
        <v>61122.584215520365</v>
      </c>
      <c r="E26" s="56">
        <f t="shared" si="1"/>
        <v>63567.487584141178</v>
      </c>
      <c r="F26" s="65"/>
      <c r="G26" s="57">
        <f t="shared" si="2"/>
        <v>97.5</v>
      </c>
      <c r="H26" s="57">
        <f t="shared" si="8"/>
        <v>-75.783317194896057</v>
      </c>
      <c r="I26" s="57">
        <f t="shared" si="3"/>
        <v>0.43433365610207886</v>
      </c>
      <c r="J26" s="66">
        <f>'[1]Mortality table'!H48*ProMM</f>
        <v>7.2072000000001071E-3</v>
      </c>
      <c r="K26" s="57">
        <f t="shared" si="4"/>
        <v>0</v>
      </c>
      <c r="L26" s="57">
        <f t="shared" si="9"/>
        <v>0</v>
      </c>
      <c r="M26" s="58">
        <f t="shared" si="10"/>
        <v>22.151016461206023</v>
      </c>
      <c r="N26" s="110">
        <f>'Answer 2'!P26</f>
        <v>0</v>
      </c>
      <c r="O26" s="110">
        <f t="shared" si="5"/>
        <v>0</v>
      </c>
      <c r="P26" s="66">
        <f t="shared" si="11"/>
        <v>0.99279279999999992</v>
      </c>
      <c r="Q26" s="56">
        <f t="shared" si="12"/>
        <v>3.36340065662286</v>
      </c>
      <c r="R26" s="57">
        <f t="shared" si="13"/>
        <v>18.787615804583162</v>
      </c>
      <c r="S26" s="69"/>
      <c r="T26" s="69"/>
      <c r="U26" s="60"/>
    </row>
    <row r="27" spans="1:21" x14ac:dyDescent="0.35">
      <c r="A27" s="55">
        <v>23</v>
      </c>
      <c r="B27" s="56">
        <f t="shared" si="0"/>
        <v>1950</v>
      </c>
      <c r="C27" s="56">
        <f t="shared" si="6"/>
        <v>1852.5</v>
      </c>
      <c r="D27" s="56">
        <f t="shared" si="7"/>
        <v>65419.987584141178</v>
      </c>
      <c r="E27" s="56">
        <f t="shared" si="1"/>
        <v>68036.787087506833</v>
      </c>
      <c r="F27" s="65"/>
      <c r="G27" s="57">
        <f t="shared" si="2"/>
        <v>97.5</v>
      </c>
      <c r="H27" s="57">
        <f t="shared" si="8"/>
        <v>-77.298983538793991</v>
      </c>
      <c r="I27" s="57">
        <f t="shared" si="3"/>
        <v>0.40402032922412018</v>
      </c>
      <c r="J27" s="66">
        <f>'[1]Mortality table'!H49*ProMM</f>
        <v>8.0895999999999416E-3</v>
      </c>
      <c r="K27" s="57">
        <f t="shared" si="4"/>
        <v>0</v>
      </c>
      <c r="L27" s="57">
        <f t="shared" si="9"/>
        <v>0</v>
      </c>
      <c r="M27" s="58">
        <f t="shared" si="10"/>
        <v>20.60503679043013</v>
      </c>
      <c r="N27" s="110">
        <f>'Answer 2'!P27</f>
        <v>3.3878173337103776</v>
      </c>
      <c r="O27" s="110">
        <f t="shared" si="5"/>
        <v>6.775634667420756E-2</v>
      </c>
      <c r="P27" s="66">
        <f t="shared" si="11"/>
        <v>0.99191040000000008</v>
      </c>
      <c r="Q27" s="56">
        <f t="shared" si="12"/>
        <v>5.1694265058676878</v>
      </c>
      <c r="R27" s="57">
        <f t="shared" si="13"/>
        <v>18.891183964947029</v>
      </c>
      <c r="S27" s="69"/>
      <c r="T27" s="69"/>
      <c r="U27" s="60"/>
    </row>
    <row r="28" spans="1:21" x14ac:dyDescent="0.35">
      <c r="A28" s="55">
        <v>24</v>
      </c>
      <c r="B28" s="56">
        <f t="shared" si="0"/>
        <v>1950</v>
      </c>
      <c r="C28" s="56">
        <f t="shared" si="6"/>
        <v>1852.5</v>
      </c>
      <c r="D28" s="56">
        <f t="shared" si="7"/>
        <v>69889.287087506833</v>
      </c>
      <c r="E28" s="56">
        <f t="shared" si="1"/>
        <v>72684.858571007106</v>
      </c>
      <c r="F28" s="65"/>
      <c r="G28" s="57">
        <f t="shared" si="2"/>
        <v>97.5</v>
      </c>
      <c r="H28" s="57">
        <f t="shared" si="8"/>
        <v>-78.844963209569855</v>
      </c>
      <c r="I28" s="57">
        <f t="shared" si="3"/>
        <v>0.37310073580860292</v>
      </c>
      <c r="J28" s="66">
        <f>'[1]Mortality table'!H50*ProMM</f>
        <v>9.075200000000009E-3</v>
      </c>
      <c r="K28" s="57">
        <f t="shared" si="4"/>
        <v>0</v>
      </c>
      <c r="L28" s="57">
        <f t="shared" si="9"/>
        <v>0</v>
      </c>
      <c r="M28" s="58">
        <f t="shared" si="10"/>
        <v>19.028137526238748</v>
      </c>
      <c r="N28" s="110">
        <f>'Answer 2'!P28</f>
        <v>5.2115861532127168</v>
      </c>
      <c r="O28" s="110">
        <f t="shared" si="5"/>
        <v>0.10423172306425434</v>
      </c>
      <c r="P28" s="66">
        <f t="shared" si="11"/>
        <v>0.99092479999999994</v>
      </c>
      <c r="Q28" s="56">
        <f t="shared" si="12"/>
        <v>4.1021366692726238</v>
      </c>
      <c r="R28" s="57">
        <f t="shared" si="13"/>
        <v>20.241818733243097</v>
      </c>
      <c r="S28" s="69"/>
      <c r="T28" s="69"/>
      <c r="U28" s="69"/>
    </row>
    <row r="29" spans="1:21" x14ac:dyDescent="0.35">
      <c r="A29" s="55">
        <v>25</v>
      </c>
      <c r="B29" s="56">
        <f t="shared" si="0"/>
        <v>1950</v>
      </c>
      <c r="C29" s="56">
        <f t="shared" si="6"/>
        <v>1852.5</v>
      </c>
      <c r="D29" s="56">
        <f t="shared" si="7"/>
        <v>74537.358571007106</v>
      </c>
      <c r="E29" s="56">
        <f t="shared" si="1"/>
        <v>77518.852913847397</v>
      </c>
      <c r="F29" s="65"/>
      <c r="G29" s="57">
        <f t="shared" si="2"/>
        <v>97.5</v>
      </c>
      <c r="H29" s="57">
        <f t="shared" si="8"/>
        <v>-80.421862473761252</v>
      </c>
      <c r="I29" s="57">
        <f t="shared" si="3"/>
        <v>0.34156275052477497</v>
      </c>
      <c r="J29" s="66">
        <f>'[1]Mortality table'!H51*ProMM</f>
        <v>1.0172799999999897E-2</v>
      </c>
      <c r="K29" s="57">
        <f t="shared" si="4"/>
        <v>0</v>
      </c>
      <c r="L29" s="57">
        <f t="shared" si="9"/>
        <v>0</v>
      </c>
      <c r="M29" s="58">
        <f t="shared" si="10"/>
        <v>17.419700276763525</v>
      </c>
      <c r="N29" s="110">
        <f>'Answer 2'!P29</f>
        <v>4.1397053230200962</v>
      </c>
      <c r="O29" s="110">
        <f t="shared" si="5"/>
        <v>8.2794106460401931E-2</v>
      </c>
      <c r="P29" s="66">
        <f t="shared" si="11"/>
        <v>0.98982720000000013</v>
      </c>
      <c r="Q29" s="56">
        <f t="shared" si="12"/>
        <v>0</v>
      </c>
      <c r="R29" s="57">
        <f t="shared" si="13"/>
        <v>21.642199706244021</v>
      </c>
      <c r="S29" s="69"/>
      <c r="T29" s="69"/>
      <c r="U29" s="69"/>
    </row>
    <row r="30" spans="1:21" x14ac:dyDescent="0.35">
      <c r="T30" s="69"/>
      <c r="U30" s="69"/>
    </row>
    <row r="31" spans="1:21" x14ac:dyDescent="0.35">
      <c r="T31" s="69"/>
      <c r="U31" s="69"/>
    </row>
    <row r="32" spans="1:21" x14ac:dyDescent="0.35">
      <c r="T32" s="69"/>
      <c r="U32" s="69"/>
    </row>
    <row r="33" spans="20:21" x14ac:dyDescent="0.35">
      <c r="T33" s="69"/>
      <c r="U33" s="69"/>
    </row>
    <row r="34" spans="20:21" x14ac:dyDescent="0.35">
      <c r="T34" s="69"/>
      <c r="U34" s="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28"/>
  <sheetViews>
    <sheetView topLeftCell="A9" zoomScaleNormal="100" workbookViewId="0">
      <selection activeCell="G18" sqref="G18:G24"/>
    </sheetView>
  </sheetViews>
  <sheetFormatPr defaultColWidth="9.1796875" defaultRowHeight="14.5" x14ac:dyDescent="0.35"/>
  <cols>
    <col min="1" max="2" width="5.6328125" style="2" customWidth="1"/>
    <col min="3" max="3" width="7.81640625" style="2" bestFit="1" customWidth="1"/>
    <col min="4" max="4" width="8.1796875" style="2" bestFit="1" customWidth="1"/>
    <col min="5" max="9" width="5.6328125" style="2" customWidth="1"/>
    <col min="10" max="16384" width="9.1796875" style="2"/>
  </cols>
  <sheetData>
    <row r="1" spans="2:4" s="76" customFormat="1" ht="15" customHeight="1" thickBot="1" x14ac:dyDescent="0.55000000000000004"/>
    <row r="2" spans="2:4" x14ac:dyDescent="0.35">
      <c r="B2" s="121" t="s">
        <v>48</v>
      </c>
      <c r="C2" s="137" t="s">
        <v>105</v>
      </c>
      <c r="D2" s="122" t="s">
        <v>107</v>
      </c>
    </row>
    <row r="3" spans="2:4" x14ac:dyDescent="0.35">
      <c r="B3" s="123"/>
      <c r="C3" s="138" t="s">
        <v>106</v>
      </c>
      <c r="D3" s="124" t="s">
        <v>38</v>
      </c>
    </row>
    <row r="4" spans="2:4" x14ac:dyDescent="0.35">
      <c r="B4" s="125">
        <v>1</v>
      </c>
      <c r="C4" s="115">
        <v>-305.09969162443565</v>
      </c>
      <c r="D4" s="126">
        <f>'Answer 3'!M5</f>
        <v>81.872380712004883</v>
      </c>
    </row>
    <row r="5" spans="2:4" x14ac:dyDescent="0.35">
      <c r="B5" s="125">
        <v>2</v>
      </c>
      <c r="C5" s="57">
        <v>12.199468393663437</v>
      </c>
      <c r="D5" s="126">
        <f>'Answer 3'!M6</f>
        <v>9.1642754265648421</v>
      </c>
    </row>
    <row r="6" spans="2:4" x14ac:dyDescent="0.35">
      <c r="B6" s="125">
        <v>3</v>
      </c>
      <c r="C6" s="57">
        <v>13.199787297605099</v>
      </c>
      <c r="D6" s="126">
        <f>'Answer 3'!M7</f>
        <v>6.5289988337657263</v>
      </c>
    </row>
    <row r="7" spans="2:4" x14ac:dyDescent="0.35">
      <c r="B7" s="125">
        <v>4</v>
      </c>
      <c r="C7" s="57">
        <v>14.272918805159236</v>
      </c>
      <c r="D7" s="126">
        <f>'Answer 3'!M8</f>
        <v>3.7628494925735154</v>
      </c>
    </row>
    <row r="8" spans="2:4" x14ac:dyDescent="0.35">
      <c r="B8" s="125">
        <v>5</v>
      </c>
      <c r="C8" s="57">
        <v>15.415050457000632</v>
      </c>
      <c r="D8" s="126">
        <f>'Answer 3'!M9</f>
        <v>0.92787059896141244</v>
      </c>
    </row>
    <row r="9" spans="2:4" x14ac:dyDescent="0.35">
      <c r="B9" s="125">
        <v>6</v>
      </c>
      <c r="C9" s="57">
        <v>16.646386590716759</v>
      </c>
      <c r="D9" s="126">
        <f>'Answer 3'!M10</f>
        <v>-1.9919715112360876</v>
      </c>
    </row>
    <row r="10" spans="2:4" x14ac:dyDescent="0.35">
      <c r="B10" s="125">
        <v>7</v>
      </c>
      <c r="C10" s="57">
        <v>17.952266385416124</v>
      </c>
      <c r="D10" s="126">
        <f>'Answer 3'!M11</f>
        <v>-4.858676582515649</v>
      </c>
    </row>
    <row r="11" spans="2:4" x14ac:dyDescent="0.35">
      <c r="B11" s="125">
        <v>8</v>
      </c>
      <c r="C11" s="57">
        <v>19.349834692712989</v>
      </c>
      <c r="D11" s="126">
        <f>'Answer 3'!M12</f>
        <v>-7.6316690550623747</v>
      </c>
    </row>
    <row r="12" spans="2:4" x14ac:dyDescent="0.35">
      <c r="B12" s="125">
        <v>9</v>
      </c>
      <c r="C12" s="57">
        <v>20.846278401269103</v>
      </c>
      <c r="D12" s="126">
        <f>'Answer 3'!M13</f>
        <v>-10.201602560891402</v>
      </c>
    </row>
    <row r="13" spans="2:4" x14ac:dyDescent="0.35">
      <c r="B13" s="125">
        <v>10</v>
      </c>
      <c r="C13" s="57">
        <v>22.434644009123986</v>
      </c>
      <c r="D13" s="126">
        <f>'Answer 3'!M14</f>
        <v>-12.374397273636276</v>
      </c>
    </row>
    <row r="14" spans="2:4" x14ac:dyDescent="0.35">
      <c r="B14" s="125">
        <v>11</v>
      </c>
      <c r="C14" s="57">
        <v>24.14952769464503</v>
      </c>
      <c r="D14" s="126">
        <f>'Answer 3'!M15</f>
        <v>-14.05387720058134</v>
      </c>
    </row>
    <row r="15" spans="2:4" x14ac:dyDescent="0.35">
      <c r="B15" s="125">
        <v>12</v>
      </c>
      <c r="C15" s="57">
        <v>25.978305174350709</v>
      </c>
      <c r="D15" s="126">
        <f>'Answer 3'!M16</f>
        <v>-14.934282142779161</v>
      </c>
    </row>
    <row r="16" spans="2:4" x14ac:dyDescent="0.35">
      <c r="B16" s="125">
        <v>13</v>
      </c>
      <c r="C16" s="57">
        <v>27.961724989373465</v>
      </c>
      <c r="D16" s="126">
        <f>'Answer 3'!M17</f>
        <v>-14.813148151946976</v>
      </c>
    </row>
    <row r="17" spans="2:7" x14ac:dyDescent="0.35">
      <c r="B17" s="125">
        <v>14</v>
      </c>
      <c r="C17" s="57">
        <v>30.104294447104621</v>
      </c>
      <c r="D17" s="126">
        <f>'Answer 3'!M18</f>
        <v>-13.304325001219652</v>
      </c>
    </row>
    <row r="18" spans="2:7" x14ac:dyDescent="0.35">
      <c r="B18" s="125">
        <v>15</v>
      </c>
      <c r="C18" s="57">
        <v>32.438527738313212</v>
      </c>
      <c r="D18" s="126">
        <f>'Answer 3'!M19</f>
        <v>-10.012848651259972</v>
      </c>
      <c r="G18" s="78" t="s">
        <v>108</v>
      </c>
    </row>
    <row r="19" spans="2:7" x14ac:dyDescent="0.35">
      <c r="B19" s="125">
        <v>16</v>
      </c>
      <c r="C19" s="57">
        <v>35.000588913359778</v>
      </c>
      <c r="D19" s="126">
        <f>'Answer 3'!M20</f>
        <v>-4.4450191299310475</v>
      </c>
      <c r="G19" s="78" t="s">
        <v>109</v>
      </c>
    </row>
    <row r="20" spans="2:7" x14ac:dyDescent="0.35">
      <c r="B20" s="125">
        <v>17</v>
      </c>
      <c r="C20" s="57">
        <v>37.837489556736728</v>
      </c>
      <c r="D20" s="126">
        <f>'Answer 3'!M21</f>
        <v>3.9951892496339028</v>
      </c>
      <c r="G20" s="78" t="s">
        <v>110</v>
      </c>
    </row>
    <row r="21" spans="2:7" x14ac:dyDescent="0.35">
      <c r="B21" s="125">
        <v>18</v>
      </c>
      <c r="C21" s="57">
        <v>40.998548886217328</v>
      </c>
      <c r="D21" s="126">
        <f>'Answer 3'!M22</f>
        <v>16.034369569361509</v>
      </c>
      <c r="G21" s="78" t="s">
        <v>111</v>
      </c>
    </row>
    <row r="22" spans="2:7" x14ac:dyDescent="0.35">
      <c r="B22" s="125">
        <v>19</v>
      </c>
      <c r="C22" s="57">
        <v>38.634102711941622</v>
      </c>
      <c r="D22" s="126">
        <f>'Answer 3'!M23</f>
        <v>26.609441373610089</v>
      </c>
      <c r="G22" s="78" t="s">
        <v>112</v>
      </c>
    </row>
    <row r="23" spans="2:7" x14ac:dyDescent="0.35">
      <c r="B23" s="125">
        <v>20</v>
      </c>
      <c r="C23" s="57">
        <v>25.152630201082296</v>
      </c>
      <c r="D23" s="126">
        <f>'Answer 3'!M24</f>
        <v>25.152630201082296</v>
      </c>
      <c r="G23" s="78" t="s">
        <v>113</v>
      </c>
    </row>
    <row r="24" spans="2:7" x14ac:dyDescent="0.35">
      <c r="B24" s="125">
        <v>21</v>
      </c>
      <c r="C24" s="57">
        <v>23.666682805103932</v>
      </c>
      <c r="D24" s="126">
        <f>'Answer 3'!M25</f>
        <v>23.666682805103932</v>
      </c>
      <c r="G24" s="78" t="s">
        <v>114</v>
      </c>
    </row>
    <row r="25" spans="2:7" x14ac:dyDescent="0.35">
      <c r="B25" s="125">
        <v>22</v>
      </c>
      <c r="C25" s="57">
        <v>18.787615804583162</v>
      </c>
      <c r="D25" s="126">
        <f>'Answer 3'!M26</f>
        <v>22.151016461206023</v>
      </c>
    </row>
    <row r="26" spans="2:7" x14ac:dyDescent="0.35">
      <c r="B26" s="125">
        <v>23</v>
      </c>
      <c r="C26" s="57">
        <v>18.891183964947029</v>
      </c>
      <c r="D26" s="126">
        <f>'Answer 3'!M27</f>
        <v>20.60503679043013</v>
      </c>
    </row>
    <row r="27" spans="2:7" x14ac:dyDescent="0.35">
      <c r="B27" s="125">
        <v>24</v>
      </c>
      <c r="C27" s="57">
        <v>20.241818733243097</v>
      </c>
      <c r="D27" s="126">
        <f>'Answer 3'!M28</f>
        <v>19.028137526238748</v>
      </c>
    </row>
    <row r="28" spans="2:7" ht="15" thickBot="1" x14ac:dyDescent="0.4">
      <c r="B28" s="127">
        <v>25</v>
      </c>
      <c r="C28" s="128">
        <v>21.642199706244021</v>
      </c>
      <c r="D28" s="129">
        <f>'Answer 3'!M29</f>
        <v>17.419700276763525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Details</vt:lpstr>
      <vt:lpstr>Mortality table</vt:lpstr>
      <vt:lpstr>Inputs</vt:lpstr>
      <vt:lpstr>Reserves</vt:lpstr>
      <vt:lpstr>Profit test</vt:lpstr>
      <vt:lpstr>Answer 1</vt:lpstr>
      <vt:lpstr>Answer 2</vt:lpstr>
      <vt:lpstr>Answer 3</vt:lpstr>
      <vt:lpstr>Answer 4</vt:lpstr>
      <vt:lpstr>Answer 5 reserves</vt:lpstr>
      <vt:lpstr>Answer 5 profit test</vt:lpstr>
      <vt:lpstr>Answer 6</vt:lpstr>
      <vt:lpstr>A</vt:lpstr>
      <vt:lpstr>BO</vt:lpstr>
      <vt:lpstr>D</vt:lpstr>
      <vt:lpstr>New_alloc</vt:lpstr>
      <vt:lpstr>P</vt:lpstr>
      <vt:lpstr>ProIE</vt:lpstr>
      <vt:lpstr>ProINF</vt:lpstr>
      <vt:lpstr>ProINT</vt:lpstr>
      <vt:lpstr>ProMM</vt:lpstr>
      <vt:lpstr>ProRE</vt:lpstr>
      <vt:lpstr>ProUG</vt:lpstr>
      <vt:lpstr>ResIE</vt:lpstr>
      <vt:lpstr>ResINF</vt:lpstr>
      <vt:lpstr>ResINT</vt:lpstr>
      <vt:lpstr>ResRE</vt:lpstr>
      <vt:lpstr>ResUG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Mitchell</dc:creator>
  <cp:lastModifiedBy>KAREENA T</cp:lastModifiedBy>
  <dcterms:created xsi:type="dcterms:W3CDTF">2017-10-20T14:10:12Z</dcterms:created>
  <dcterms:modified xsi:type="dcterms:W3CDTF">2022-04-29T19:36:37Z</dcterms:modified>
</cp:coreProperties>
</file>