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16536" windowHeight="9432" activeTab="2"/>
  </bookViews>
  <sheets>
    <sheet name="q1" sheetId="1" r:id="rId1"/>
    <sheet name="q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"/>
  <c r="L4"/>
  <c r="M15" i="3" l="1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14"/>
  <c r="R4" i="1"/>
  <c r="Q15" i="3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O15"/>
  <c r="O16" s="1"/>
  <c r="N14"/>
  <c r="L16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N33" s="1"/>
  <c r="L15"/>
  <c r="N15" s="1"/>
  <c r="K5"/>
  <c r="K14" s="1"/>
  <c r="K4"/>
  <c r="J14" s="1"/>
  <c r="G14"/>
  <c r="H14" s="1"/>
  <c r="I14" s="1"/>
  <c r="F15"/>
  <c r="G15" s="1"/>
  <c r="H15" s="1"/>
  <c r="I15" s="1"/>
  <c r="C14"/>
  <c r="D14" s="1"/>
  <c r="E14" s="1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C33" s="1"/>
  <c r="D33" s="1"/>
  <c r="E33" s="1"/>
  <c r="F7" i="2"/>
  <c r="F6"/>
  <c r="F5"/>
  <c r="F4"/>
  <c r="U5" i="1"/>
  <c r="U6" s="1"/>
  <c r="U7" s="1"/>
  <c r="U8" s="1"/>
  <c r="U9" s="1"/>
  <c r="U10" s="1"/>
  <c r="U11" s="1"/>
  <c r="U12" s="1"/>
  <c r="U13" s="1"/>
  <c r="U14" s="1"/>
  <c r="X5"/>
  <c r="X6" s="1"/>
  <c r="X7" s="1"/>
  <c r="X8" s="1"/>
  <c r="X9" s="1"/>
  <c r="X10" s="1"/>
  <c r="X11" s="1"/>
  <c r="X12" s="1"/>
  <c r="X13" s="1"/>
  <c r="X14" s="1"/>
  <c r="W5"/>
  <c r="W6" s="1"/>
  <c r="W7" s="1"/>
  <c r="W8" s="1"/>
  <c r="W9" s="1"/>
  <c r="W10" s="1"/>
  <c r="W11" s="1"/>
  <c r="W12" s="1"/>
  <c r="W13" s="1"/>
  <c r="W14" s="1"/>
  <c r="V5"/>
  <c r="V6" s="1"/>
  <c r="V7" s="1"/>
  <c r="V8" s="1"/>
  <c r="V9" s="1"/>
  <c r="V10" s="1"/>
  <c r="S17"/>
  <c r="Q4"/>
  <c r="G4"/>
  <c r="N4" s="1"/>
  <c r="O4" s="1"/>
  <c r="F4"/>
  <c r="M4" s="1"/>
  <c r="J2"/>
  <c r="V12" l="1"/>
  <c r="V13" s="1"/>
  <c r="V14" s="1"/>
  <c r="V11"/>
  <c r="W14" i="3"/>
  <c r="X14" s="1"/>
  <c r="T14"/>
  <c r="C15"/>
  <c r="D15" s="1"/>
  <c r="E15" s="1"/>
  <c r="T15" s="1"/>
  <c r="R15" s="1"/>
  <c r="N25"/>
  <c r="C32"/>
  <c r="D32" s="1"/>
  <c r="E32" s="1"/>
  <c r="N17"/>
  <c r="C24"/>
  <c r="D24" s="1"/>
  <c r="E24" s="1"/>
  <c r="C23"/>
  <c r="D23" s="1"/>
  <c r="E23" s="1"/>
  <c r="C31"/>
  <c r="D31" s="1"/>
  <c r="E31" s="1"/>
  <c r="C16"/>
  <c r="D16" s="1"/>
  <c r="E16" s="1"/>
  <c r="K15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O17"/>
  <c r="C30"/>
  <c r="D30" s="1"/>
  <c r="E30" s="1"/>
  <c r="N32"/>
  <c r="N16"/>
  <c r="N24"/>
  <c r="C29"/>
  <c r="D29" s="1"/>
  <c r="E29" s="1"/>
  <c r="C21"/>
  <c r="D21" s="1"/>
  <c r="E21" s="1"/>
  <c r="F16"/>
  <c r="N31"/>
  <c r="N23"/>
  <c r="C22"/>
  <c r="D22" s="1"/>
  <c r="E22" s="1"/>
  <c r="C28"/>
  <c r="D28" s="1"/>
  <c r="E28" s="1"/>
  <c r="C20"/>
  <c r="D20" s="1"/>
  <c r="E20" s="1"/>
  <c r="N30"/>
  <c r="N22"/>
  <c r="C19"/>
  <c r="D19" s="1"/>
  <c r="E19" s="1"/>
  <c r="N29"/>
  <c r="C18"/>
  <c r="D18" s="1"/>
  <c r="E18" s="1"/>
  <c r="N28"/>
  <c r="N20"/>
  <c r="C27"/>
  <c r="D27" s="1"/>
  <c r="E27" s="1"/>
  <c r="N21"/>
  <c r="C26"/>
  <c r="D26" s="1"/>
  <c r="E26" s="1"/>
  <c r="C25"/>
  <c r="D25" s="1"/>
  <c r="E25" s="1"/>
  <c r="C17"/>
  <c r="D17" s="1"/>
  <c r="E17" s="1"/>
  <c r="N27"/>
  <c r="N19"/>
  <c r="N26"/>
  <c r="N18"/>
  <c r="J15"/>
  <c r="S4" i="1"/>
  <c r="G5"/>
  <c r="O5" s="1"/>
  <c r="Q5"/>
  <c r="H4"/>
  <c r="I4" s="1"/>
  <c r="AB4" s="1"/>
  <c r="F5"/>
  <c r="H5" s="1"/>
  <c r="I5" s="1"/>
  <c r="J4"/>
  <c r="K4" s="1"/>
  <c r="J16" i="3" l="1"/>
  <c r="W15"/>
  <c r="X15" s="1"/>
  <c r="Q6" i="1"/>
  <c r="R5"/>
  <c r="U15" i="3"/>
  <c r="Z15" s="1"/>
  <c r="O18"/>
  <c r="F17"/>
  <c r="G16"/>
  <c r="H16" s="1"/>
  <c r="I16" s="1"/>
  <c r="T16" s="1"/>
  <c r="R16" s="1"/>
  <c r="R14"/>
  <c r="U14" s="1"/>
  <c r="Z14" s="1"/>
  <c r="Y4" i="1"/>
  <c r="AC4" s="1"/>
  <c r="AI4" s="1"/>
  <c r="G6"/>
  <c r="G7" s="1"/>
  <c r="J5"/>
  <c r="K5" s="1"/>
  <c r="AB5" s="1"/>
  <c r="S5"/>
  <c r="S6"/>
  <c r="L5"/>
  <c r="F6"/>
  <c r="J17" i="3" l="1"/>
  <c r="W16"/>
  <c r="X16" s="1"/>
  <c r="Q7" i="1"/>
  <c r="R6"/>
  <c r="Y14" i="3"/>
  <c r="AA14" s="1"/>
  <c r="Y15"/>
  <c r="AA15" s="1"/>
  <c r="U16"/>
  <c r="Z16" s="1"/>
  <c r="O19"/>
  <c r="F18"/>
  <c r="G17"/>
  <c r="H17" s="1"/>
  <c r="I17" s="1"/>
  <c r="T17" s="1"/>
  <c r="R17" s="1"/>
  <c r="J6" i="1"/>
  <c r="K6" s="1"/>
  <c r="N6"/>
  <c r="O6" s="1"/>
  <c r="M5"/>
  <c r="F7"/>
  <c r="L6"/>
  <c r="M6" s="1"/>
  <c r="H6"/>
  <c r="G8"/>
  <c r="N7"/>
  <c r="O7" s="1"/>
  <c r="J7"/>
  <c r="K7" s="1"/>
  <c r="J18" i="3" l="1"/>
  <c r="W17"/>
  <c r="X17" s="1"/>
  <c r="AC14"/>
  <c r="AB14"/>
  <c r="AC15"/>
  <c r="AB15"/>
  <c r="R7" i="1"/>
  <c r="Q8"/>
  <c r="S7"/>
  <c r="Y16" i="3"/>
  <c r="AA16" s="1"/>
  <c r="O20"/>
  <c r="U17"/>
  <c r="Z17" s="1"/>
  <c r="F19"/>
  <c r="G18"/>
  <c r="H18" s="1"/>
  <c r="I18" s="1"/>
  <c r="T18" s="1"/>
  <c r="R18" s="1"/>
  <c r="Y5" i="1"/>
  <c r="AC5" s="1"/>
  <c r="AI5" s="1"/>
  <c r="AD5"/>
  <c r="Z5"/>
  <c r="I6"/>
  <c r="AB6" s="1"/>
  <c r="L7"/>
  <c r="M7" s="1"/>
  <c r="H7"/>
  <c r="F8"/>
  <c r="G9"/>
  <c r="J8"/>
  <c r="K8" s="1"/>
  <c r="N8"/>
  <c r="O8" s="1"/>
  <c r="J19" i="3" l="1"/>
  <c r="W18"/>
  <c r="X18" s="1"/>
  <c r="AC16"/>
  <c r="AB16"/>
  <c r="AE5" i="1"/>
  <c r="R8"/>
  <c r="S8"/>
  <c r="Q9"/>
  <c r="Y17" i="3"/>
  <c r="AA17" s="1"/>
  <c r="O21"/>
  <c r="F20"/>
  <c r="G19"/>
  <c r="H19" s="1"/>
  <c r="I19" s="1"/>
  <c r="T19" s="1"/>
  <c r="R19" s="1"/>
  <c r="U18"/>
  <c r="Z18" s="1"/>
  <c r="Y6" i="1"/>
  <c r="AC6" s="1"/>
  <c r="AI6" s="1"/>
  <c r="AD6"/>
  <c r="Z6"/>
  <c r="AE6" s="1"/>
  <c r="I7"/>
  <c r="AB7" s="1"/>
  <c r="F9"/>
  <c r="L8"/>
  <c r="M8" s="1"/>
  <c r="H8"/>
  <c r="G10"/>
  <c r="J9"/>
  <c r="K9" s="1"/>
  <c r="N9"/>
  <c r="O9" s="1"/>
  <c r="J20" i="3" l="1"/>
  <c r="W19"/>
  <c r="X19" s="1"/>
  <c r="AB17"/>
  <c r="AC17"/>
  <c r="R9" i="1"/>
  <c r="Q10"/>
  <c r="S9"/>
  <c r="Y18" i="3"/>
  <c r="AA18" s="1"/>
  <c r="O22"/>
  <c r="F21"/>
  <c r="G20"/>
  <c r="H20" s="1"/>
  <c r="I20" s="1"/>
  <c r="T20" s="1"/>
  <c r="R20" s="1"/>
  <c r="U19"/>
  <c r="Z19" s="1"/>
  <c r="Z7" i="1"/>
  <c r="AD7"/>
  <c r="Y7"/>
  <c r="AC7" s="1"/>
  <c r="AI7" s="1"/>
  <c r="I8"/>
  <c r="AB8" s="1"/>
  <c r="L9"/>
  <c r="M9" s="1"/>
  <c r="H9"/>
  <c r="F10"/>
  <c r="G11"/>
  <c r="J10"/>
  <c r="K10" s="1"/>
  <c r="N10"/>
  <c r="O10" s="1"/>
  <c r="J21" i="3" l="1"/>
  <c r="W20"/>
  <c r="X20" s="1"/>
  <c r="AB18"/>
  <c r="AC18"/>
  <c r="AE7" i="1"/>
  <c r="R10"/>
  <c r="Q11"/>
  <c r="S10"/>
  <c r="Y19" i="3"/>
  <c r="AA19" s="1"/>
  <c r="O23"/>
  <c r="U20"/>
  <c r="Z20" s="1"/>
  <c r="F22"/>
  <c r="G21"/>
  <c r="H21" s="1"/>
  <c r="I21" s="1"/>
  <c r="T21" s="1"/>
  <c r="R21" s="1"/>
  <c r="AD8" i="1"/>
  <c r="Y8"/>
  <c r="AC8" s="1"/>
  <c r="AI8" s="1"/>
  <c r="Z8"/>
  <c r="I9"/>
  <c r="AB9" s="1"/>
  <c r="L10"/>
  <c r="M10" s="1"/>
  <c r="H10"/>
  <c r="I10" s="1"/>
  <c r="AB10" s="1"/>
  <c r="F11"/>
  <c r="G12"/>
  <c r="J11"/>
  <c r="K11" s="1"/>
  <c r="N11"/>
  <c r="O11" s="1"/>
  <c r="AB19" i="3" l="1"/>
  <c r="AC19"/>
  <c r="J22"/>
  <c r="W21"/>
  <c r="X21" s="1"/>
  <c r="AE8" i="1"/>
  <c r="R11"/>
  <c r="Q12"/>
  <c r="S11"/>
  <c r="Y20" i="3"/>
  <c r="AA20" s="1"/>
  <c r="U21"/>
  <c r="Z21" s="1"/>
  <c r="O24"/>
  <c r="F23"/>
  <c r="G22"/>
  <c r="H22" s="1"/>
  <c r="I22" s="1"/>
  <c r="T22" s="1"/>
  <c r="R22" s="1"/>
  <c r="Y9" i="1"/>
  <c r="AC9" s="1"/>
  <c r="AI9" s="1"/>
  <c r="Z9"/>
  <c r="AD9"/>
  <c r="Z10"/>
  <c r="L11"/>
  <c r="M11" s="1"/>
  <c r="F12"/>
  <c r="H11"/>
  <c r="I11" s="1"/>
  <c r="AB11" s="1"/>
  <c r="G13"/>
  <c r="N12"/>
  <c r="O12" s="1"/>
  <c r="J12"/>
  <c r="K12" s="1"/>
  <c r="J23" i="3" l="1"/>
  <c r="W22"/>
  <c r="X22" s="1"/>
  <c r="AC20"/>
  <c r="AB20"/>
  <c r="AE9" i="1"/>
  <c r="R12"/>
  <c r="S12"/>
  <c r="Q13"/>
  <c r="Y21" i="3"/>
  <c r="AA21" s="1"/>
  <c r="O25"/>
  <c r="U22"/>
  <c r="Z22" s="1"/>
  <c r="F24"/>
  <c r="G23"/>
  <c r="H23" s="1"/>
  <c r="I23" s="1"/>
  <c r="T23" s="1"/>
  <c r="R23" s="1"/>
  <c r="Y10" i="1"/>
  <c r="AC10" s="1"/>
  <c r="AI10" s="1"/>
  <c r="AD10"/>
  <c r="AE10" s="1"/>
  <c r="Y11"/>
  <c r="AC11" s="1"/>
  <c r="AI11" s="1"/>
  <c r="H12"/>
  <c r="I12" s="1"/>
  <c r="AB12" s="1"/>
  <c r="F13"/>
  <c r="L12"/>
  <c r="M12" s="1"/>
  <c r="G14"/>
  <c r="N13"/>
  <c r="O13" s="1"/>
  <c r="J13"/>
  <c r="K13" s="1"/>
  <c r="J24" i="3" l="1"/>
  <c r="W23"/>
  <c r="X23" s="1"/>
  <c r="AC21"/>
  <c r="AB21"/>
  <c r="S13" i="1"/>
  <c r="R13"/>
  <c r="Y22" i="3"/>
  <c r="AA22" s="1"/>
  <c r="O26"/>
  <c r="U23"/>
  <c r="Z23" s="1"/>
  <c r="F25"/>
  <c r="G24"/>
  <c r="H24" s="1"/>
  <c r="I24" s="1"/>
  <c r="T24" s="1"/>
  <c r="R24" s="1"/>
  <c r="AD11" i="1"/>
  <c r="Z11"/>
  <c r="Z12"/>
  <c r="L13"/>
  <c r="M13" s="1"/>
  <c r="H13"/>
  <c r="F14"/>
  <c r="N14"/>
  <c r="O14" s="1"/>
  <c r="G19"/>
  <c r="J14"/>
  <c r="K14" s="1"/>
  <c r="AC22" i="3" l="1"/>
  <c r="AB22"/>
  <c r="J25"/>
  <c r="W24"/>
  <c r="X24" s="1"/>
  <c r="AE11" i="1"/>
  <c r="Y23" i="3"/>
  <c r="AA23" s="1"/>
  <c r="O27"/>
  <c r="U24"/>
  <c r="Z24" s="1"/>
  <c r="F26"/>
  <c r="G25"/>
  <c r="H25" s="1"/>
  <c r="I25" s="1"/>
  <c r="T25" s="1"/>
  <c r="R25" s="1"/>
  <c r="AD12" i="1"/>
  <c r="AE12" s="1"/>
  <c r="I13"/>
  <c r="AB13" s="1"/>
  <c r="Y12"/>
  <c r="AC12" s="1"/>
  <c r="AI12" s="1"/>
  <c r="L14"/>
  <c r="M14" s="1"/>
  <c r="H14"/>
  <c r="I14" s="1"/>
  <c r="AB14" s="1"/>
  <c r="AC23" i="3" l="1"/>
  <c r="AB23"/>
  <c r="J26"/>
  <c r="W25"/>
  <c r="X25" s="1"/>
  <c r="Y24"/>
  <c r="AA24" s="1"/>
  <c r="O28"/>
  <c r="U25"/>
  <c r="Z25" s="1"/>
  <c r="F27"/>
  <c r="G26"/>
  <c r="H26" s="1"/>
  <c r="I26" s="1"/>
  <c r="T26" s="1"/>
  <c r="R26" s="1"/>
  <c r="Z13" i="1"/>
  <c r="AE13" s="1"/>
  <c r="Y13"/>
  <c r="AC13" s="1"/>
  <c r="AI13" s="1"/>
  <c r="AD13"/>
  <c r="Y14"/>
  <c r="AC14" s="1"/>
  <c r="AI14" s="1"/>
  <c r="AD4"/>
  <c r="Z4"/>
  <c r="AE4" s="1"/>
  <c r="J27" i="3" l="1"/>
  <c r="W26"/>
  <c r="X26" s="1"/>
  <c r="AB24"/>
  <c r="AC24"/>
  <c r="Y25"/>
  <c r="AA25" s="1"/>
  <c r="U26"/>
  <c r="Z26" s="1"/>
  <c r="F28"/>
  <c r="G27"/>
  <c r="H27" s="1"/>
  <c r="I27" s="1"/>
  <c r="T27" s="1"/>
  <c r="R27" s="1"/>
  <c r="O29"/>
  <c r="Z14" i="1"/>
  <c r="AD14"/>
  <c r="AB25" i="3" l="1"/>
  <c r="AC25"/>
  <c r="J28"/>
  <c r="W27"/>
  <c r="X27" s="1"/>
  <c r="AE14" i="1"/>
  <c r="Y26" i="3"/>
  <c r="AA26" s="1"/>
  <c r="O30"/>
  <c r="U27"/>
  <c r="Z27" s="1"/>
  <c r="F29"/>
  <c r="G28"/>
  <c r="H28" s="1"/>
  <c r="I28" s="1"/>
  <c r="T28" s="1"/>
  <c r="R28" s="1"/>
  <c r="AG4" i="1"/>
  <c r="AC26" i="3" l="1"/>
  <c r="AB26"/>
  <c r="J29"/>
  <c r="W28"/>
  <c r="X28" s="1"/>
  <c r="Y27"/>
  <c r="AA27" s="1"/>
  <c r="AH4" i="1"/>
  <c r="AJ4" s="1"/>
  <c r="U28" i="3"/>
  <c r="Z28" s="1"/>
  <c r="F30"/>
  <c r="G29"/>
  <c r="H29" s="1"/>
  <c r="I29" s="1"/>
  <c r="T29" s="1"/>
  <c r="R29" s="1"/>
  <c r="O31"/>
  <c r="AB27" l="1"/>
  <c r="AC27"/>
  <c r="J30"/>
  <c r="W29"/>
  <c r="X29" s="1"/>
  <c r="Y28"/>
  <c r="AA28" s="1"/>
  <c r="O32"/>
  <c r="F31"/>
  <c r="G30"/>
  <c r="H30" s="1"/>
  <c r="I30" s="1"/>
  <c r="T30" s="1"/>
  <c r="R30" s="1"/>
  <c r="U29"/>
  <c r="Z29" s="1"/>
  <c r="J31" l="1"/>
  <c r="W30"/>
  <c r="X30" s="1"/>
  <c r="AC28"/>
  <c r="AB28"/>
  <c r="Y29"/>
  <c r="AA29" s="1"/>
  <c r="O33"/>
  <c r="F32"/>
  <c r="G31"/>
  <c r="H31" s="1"/>
  <c r="I31" s="1"/>
  <c r="T31" s="1"/>
  <c r="R31" s="1"/>
  <c r="U30"/>
  <c r="Z30" s="1"/>
  <c r="AC29" l="1"/>
  <c r="AB29"/>
  <c r="J32"/>
  <c r="W31"/>
  <c r="X31" s="1"/>
  <c r="Y30"/>
  <c r="AA30" s="1"/>
  <c r="F33"/>
  <c r="G33" s="1"/>
  <c r="H33" s="1"/>
  <c r="I33" s="1"/>
  <c r="T33" s="1"/>
  <c r="R33" s="1"/>
  <c r="G32"/>
  <c r="H32" s="1"/>
  <c r="I32" s="1"/>
  <c r="T32" s="1"/>
  <c r="R32" s="1"/>
  <c r="U31"/>
  <c r="Z31" s="1"/>
  <c r="AC30" l="1"/>
  <c r="AB30"/>
  <c r="J33"/>
  <c r="W33" s="1"/>
  <c r="X33" s="1"/>
  <c r="W32"/>
  <c r="X32" s="1"/>
  <c r="Y31"/>
  <c r="AA31" s="1"/>
  <c r="U32"/>
  <c r="Z32" s="1"/>
  <c r="U33"/>
  <c r="Z33" s="1"/>
  <c r="AG14" i="1"/>
  <c r="AH14" s="1"/>
  <c r="AJ14" s="1"/>
  <c r="AG13"/>
  <c r="AH13" s="1"/>
  <c r="AJ13" s="1"/>
  <c r="AG12"/>
  <c r="AH12" s="1"/>
  <c r="AJ12" s="1"/>
  <c r="AG11"/>
  <c r="AH11" s="1"/>
  <c r="AJ11" s="1"/>
  <c r="AG10"/>
  <c r="AH10" s="1"/>
  <c r="AJ10" s="1"/>
  <c r="AG9"/>
  <c r="AH9" s="1"/>
  <c r="AJ9" s="1"/>
  <c r="AG8"/>
  <c r="AH8" s="1"/>
  <c r="AJ8" s="1"/>
  <c r="AG7"/>
  <c r="AH7" s="1"/>
  <c r="AJ7" s="1"/>
  <c r="AG6"/>
  <c r="AH6" s="1"/>
  <c r="AJ6" s="1"/>
  <c r="AG5"/>
  <c r="AH5" s="1"/>
  <c r="AJ5" s="1"/>
  <c r="AC31" i="3" l="1"/>
  <c r="AB31"/>
  <c r="Y33"/>
  <c r="AA33" s="1"/>
  <c r="Y32"/>
  <c r="AA32" s="1"/>
  <c r="AC32" l="1"/>
  <c r="AB32"/>
  <c r="AC33"/>
  <c r="B38" s="1"/>
  <c r="AB33"/>
  <c r="B37" s="1"/>
</calcChain>
</file>

<file path=xl/sharedStrings.xml><?xml version="1.0" encoding="utf-8"?>
<sst xmlns="http://schemas.openxmlformats.org/spreadsheetml/2006/main" count="120" uniqueCount="115">
  <si>
    <t>universal swap cash flows</t>
  </si>
  <si>
    <t>negative cashflows</t>
  </si>
  <si>
    <t>positive cashflows</t>
  </si>
  <si>
    <t>depriciation value of cash flows</t>
  </si>
  <si>
    <t>total amount of depricaiation</t>
  </si>
  <si>
    <t>number of consumers in us and russia</t>
  </si>
  <si>
    <t>number of international participants</t>
  </si>
  <si>
    <t>expectation for the growth of us and russia participants</t>
  </si>
  <si>
    <t>expectation on the growth of international participants</t>
  </si>
  <si>
    <t>charges of exchanges</t>
  </si>
  <si>
    <t>inflation rate</t>
  </si>
  <si>
    <t xml:space="preserve">with alterium consumer basefor US and Russia </t>
  </si>
  <si>
    <t xml:space="preserve">with alterium consumer base for international </t>
  </si>
  <si>
    <t>cashflows for exchange services US and russia</t>
  </si>
  <si>
    <t>cashflows for exchange services US and russia with inflation</t>
  </si>
  <si>
    <t>with alterium cashflow for international exchange services</t>
  </si>
  <si>
    <t>with alterium cashflow for international exchange services adjusted inflation</t>
  </si>
  <si>
    <t>servicing cost for us and russia participants</t>
  </si>
  <si>
    <t>growth rate</t>
  </si>
  <si>
    <t>with alterium cashflow for US AND russia for servicing cost</t>
  </si>
  <si>
    <t>with alterium cashflow for US AND russia for servicing cost with adjusted inflation</t>
  </si>
  <si>
    <t>with alterium cashflow for international partcipants for servicing costs</t>
  </si>
  <si>
    <t>with alterium cashflow for international partcipants for servicing costs with inflation</t>
  </si>
  <si>
    <t>number of participants of alterium isolation</t>
  </si>
  <si>
    <t>number of customer attracted</t>
  </si>
  <si>
    <t xml:space="preserve">consumer base expected to grow at </t>
  </si>
  <si>
    <t xml:space="preserve">cost of servicing </t>
  </si>
  <si>
    <t>cost of servicing international partcipants</t>
  </si>
  <si>
    <t>expected rate of inflation</t>
  </si>
  <si>
    <t>consumer base after 10 years</t>
  </si>
  <si>
    <t>new server cost with inflation</t>
  </si>
  <si>
    <t>assumptions</t>
  </si>
  <si>
    <t>1] since the alterium project will be active and will be using the universal swap server threfore the new server has been added</t>
  </si>
  <si>
    <t>growth rate when general and adminstrative expenses when uniswap is operational</t>
  </si>
  <si>
    <t>general and adminstrative expenses with alterium pool</t>
  </si>
  <si>
    <t>capital allocation for alterium pool</t>
  </si>
  <si>
    <t>advertisng expenses</t>
  </si>
  <si>
    <t>advertising expenses with respect to alterium project</t>
  </si>
  <si>
    <t>growth of advertising expenses with respect to alterium</t>
  </si>
  <si>
    <t>cost saving cash flow</t>
  </si>
  <si>
    <t>account recievables is percentage of working capital</t>
  </si>
  <si>
    <t>account payable percentage of working capital</t>
  </si>
  <si>
    <t xml:space="preserve">inventory costs </t>
  </si>
  <si>
    <t>accounts recievables beginiing of each year</t>
  </si>
  <si>
    <t>inventory costs at the beginning of each year</t>
  </si>
  <si>
    <t>accounts payable at the beginning of each ear</t>
  </si>
  <si>
    <t>2] assuming the new alterium server at time 0</t>
  </si>
  <si>
    <t>total cost of each year excluding debt interest</t>
  </si>
  <si>
    <t>market value of debt</t>
  </si>
  <si>
    <t>interest on debt</t>
  </si>
  <si>
    <t>interest paid on debt</t>
  </si>
  <si>
    <t>total cost</t>
  </si>
  <si>
    <t xml:space="preserve">note the </t>
  </si>
  <si>
    <t>3]since the recievables are not received threfore it is not added</t>
  </si>
  <si>
    <t>income for the year</t>
  </si>
  <si>
    <t>after tax   income</t>
  </si>
  <si>
    <t>marginal tax rate</t>
  </si>
  <si>
    <t>book value of the amount spent on infrastructure</t>
  </si>
  <si>
    <t>book value of the new server</t>
  </si>
  <si>
    <t xml:space="preserve">cost of capital </t>
  </si>
  <si>
    <t>net present value</t>
  </si>
  <si>
    <t>total  value of assets</t>
  </si>
  <si>
    <t>netpresent value</t>
  </si>
  <si>
    <t>net present value of assets</t>
  </si>
  <si>
    <t>internal rate of return</t>
  </si>
  <si>
    <t>total value of assets</t>
  </si>
  <si>
    <t>cost of capital</t>
  </si>
  <si>
    <t xml:space="preserve">total amount of revenue </t>
  </si>
  <si>
    <t>total amount of revenue each year excluding account recievables</t>
  </si>
  <si>
    <t>projected cash flows for the next 20 years</t>
  </si>
  <si>
    <t>1] since the machine do not have a lot of life and it will get old and the processing will get slower so it might run out</t>
  </si>
  <si>
    <t>2]since the commencement of technology there has been new age revolutionary technologies being devoloped every 20 years so in the next 20 years thre might be new technology availabe</t>
  </si>
  <si>
    <t>assumptions of cashflows</t>
  </si>
  <si>
    <t xml:space="preserve">consumer base for the next 20 years </t>
  </si>
  <si>
    <t>consumer base for US and russia</t>
  </si>
  <si>
    <t xml:space="preserve">1] consumers are expected to grow by the rate </t>
  </si>
  <si>
    <t>service price is expected to grow at</t>
  </si>
  <si>
    <t>cashflow from the pool with growth rate</t>
  </si>
  <si>
    <t>cashflow from the pool with growth rate and inflation</t>
  </si>
  <si>
    <t>consumer base of international particaipants</t>
  </si>
  <si>
    <t>cashflow from the exchange services</t>
  </si>
  <si>
    <t>cash flow from exchange services for international participants</t>
  </si>
  <si>
    <t>cashflow from theexchange services including growth rate</t>
  </si>
  <si>
    <t>cashflow from theexchange services including growth rate and inflation</t>
  </si>
  <si>
    <t>2]exchange price is expected to grow at</t>
  </si>
  <si>
    <t>cash flow for us and russia participants for servicing cost</t>
  </si>
  <si>
    <t>cashflow from international particiapnts</t>
  </si>
  <si>
    <t>servicing price for US and russia</t>
  </si>
  <si>
    <t>servicing price for international particip[ants</t>
  </si>
  <si>
    <t>4]consumers form the new pool of alterium is expected to grow at</t>
  </si>
  <si>
    <t>consumer base of the new pool of alterium</t>
  </si>
  <si>
    <t>cost of servicing new pool of alterium</t>
  </si>
  <si>
    <t>advertising expenses</t>
  </si>
  <si>
    <t>5] since the new project is established</t>
  </si>
  <si>
    <t>cost saving</t>
  </si>
  <si>
    <t>inventory expenses</t>
  </si>
  <si>
    <t>total revenue</t>
  </si>
  <si>
    <t>accounts recievable</t>
  </si>
  <si>
    <t xml:space="preserve">accounts recievable </t>
  </si>
  <si>
    <t>percentage of revenue</t>
  </si>
  <si>
    <t>total revenue without recievables</t>
  </si>
  <si>
    <t>income</t>
  </si>
  <si>
    <t>tax percentage</t>
  </si>
  <si>
    <t>after tax income</t>
  </si>
  <si>
    <t>installment paid on debt</t>
  </si>
  <si>
    <t>present value of cashflows</t>
  </si>
  <si>
    <t>cashflows from the new pool of alterium servicing cost</t>
  </si>
  <si>
    <t>cashflows from exchange services</t>
  </si>
  <si>
    <t xml:space="preserve">new server exchange prices </t>
  </si>
  <si>
    <t>cashflow exchange services from new alterium pool</t>
  </si>
  <si>
    <t>exchange fee for new alterium pool</t>
  </si>
  <si>
    <t>cashflow from the new alterium pool for servicing costs</t>
  </si>
  <si>
    <t>total net present value</t>
  </si>
  <si>
    <t>irr</t>
  </si>
  <si>
    <t>tax</t>
  </si>
</sst>
</file>

<file path=xl/styles.xml><?xml version="1.0" encoding="utf-8"?>
<styleSheet xmlns="http://schemas.openxmlformats.org/spreadsheetml/2006/main">
  <numFmts count="2">
    <numFmt numFmtId="8" formatCode="&quot;₹&quot;\ #,##0.00;[Red]&quot;₹&quot;\ \-#,##0.00"/>
    <numFmt numFmtId="164" formatCode="&quot;₹&quot;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ont="1" applyFill="1" applyAlignment="1">
      <alignment wrapText="1"/>
    </xf>
    <xf numFmtId="2" fontId="0" fillId="2" borderId="0" xfId="0" applyNumberFormat="1" applyFill="1"/>
    <xf numFmtId="0" fontId="0" fillId="2" borderId="0" xfId="0" applyNumberFormat="1" applyFill="1"/>
    <xf numFmtId="0" fontId="0" fillId="2" borderId="0" xfId="0" applyFont="1" applyFill="1"/>
    <xf numFmtId="164" fontId="0" fillId="2" borderId="0" xfId="0" applyNumberFormat="1" applyFill="1"/>
    <xf numFmtId="16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/>
    <xf numFmtId="8" fontId="0" fillId="0" borderId="0" xfId="0" applyNumberFormat="1"/>
    <xf numFmtId="2" fontId="1" fillId="0" borderId="0" xfId="0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4" fillId="5" borderId="0" xfId="0" applyFont="1" applyFill="1"/>
    <xf numFmtId="0" fontId="5" fillId="6" borderId="0" xfId="0" applyFont="1" applyFill="1"/>
    <xf numFmtId="2" fontId="5" fillId="6" borderId="0" xfId="0" applyNumberFormat="1" applyFont="1" applyFill="1"/>
    <xf numFmtId="0" fontId="1" fillId="7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3" borderId="0" xfId="0" applyFont="1" applyFill="1"/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1" fillId="8" borderId="0" xfId="0" applyFont="1" applyFill="1" applyAlignment="1">
      <alignment wrapText="1"/>
    </xf>
    <xf numFmtId="0" fontId="1" fillId="8" borderId="0" xfId="0" applyFont="1" applyFill="1"/>
    <xf numFmtId="0" fontId="3" fillId="2" borderId="0" xfId="0" applyFont="1" applyFill="1"/>
    <xf numFmtId="0" fontId="1" fillId="4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1" fillId="4" borderId="0" xfId="0" applyNumberFormat="1" applyFont="1" applyFill="1"/>
    <xf numFmtId="8" fontId="1" fillId="4" borderId="0" xfId="0" applyNumberFormat="1" applyFont="1" applyFill="1"/>
    <xf numFmtId="0" fontId="6" fillId="9" borderId="0" xfId="0" applyFont="1" applyFill="1" applyAlignment="1">
      <alignment wrapText="1"/>
    </xf>
    <xf numFmtId="0" fontId="0" fillId="10" borderId="0" xfId="0" applyFill="1"/>
    <xf numFmtId="0" fontId="0" fillId="10" borderId="0" xfId="0" applyFont="1" applyFill="1"/>
    <xf numFmtId="9" fontId="0" fillId="10" borderId="0" xfId="0" applyNumberFormat="1" applyFill="1"/>
    <xf numFmtId="0" fontId="7" fillId="11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0"/>
  <sheetViews>
    <sheetView topLeftCell="AP1" zoomScaleNormal="100" workbookViewId="0">
      <selection activeCell="AF3" sqref="AF3"/>
    </sheetView>
  </sheetViews>
  <sheetFormatPr defaultRowHeight="14.4"/>
  <cols>
    <col min="2" max="2" width="17.6640625" bestFit="1" customWidth="1"/>
    <col min="3" max="3" width="12.88671875" customWidth="1"/>
    <col min="4" max="4" width="17.21875" customWidth="1"/>
    <col min="6" max="7" width="11.5546875" bestFit="1" customWidth="1"/>
    <col min="8" max="8" width="11" bestFit="1" customWidth="1"/>
    <col min="9" max="9" width="16.109375" bestFit="1" customWidth="1"/>
    <col min="10" max="10" width="19" customWidth="1"/>
    <col min="11" max="11" width="23.44140625" customWidth="1"/>
    <col min="12" max="14" width="11" bestFit="1" customWidth="1"/>
    <col min="15" max="15" width="16.88671875" bestFit="1" customWidth="1"/>
    <col min="17" max="17" width="11.5546875" bestFit="1" customWidth="1"/>
    <col min="18" max="18" width="11.5546875" customWidth="1"/>
    <col min="19" max="20" width="10" bestFit="1" customWidth="1"/>
    <col min="21" max="21" width="14.44140625" customWidth="1"/>
    <col min="22" max="22" width="14.21875" customWidth="1"/>
    <col min="23" max="23" width="22.33203125" customWidth="1"/>
    <col min="25" max="25" width="16.77734375" customWidth="1"/>
    <col min="26" max="26" width="17.109375" customWidth="1"/>
    <col min="28" max="28" width="14.6640625" bestFit="1" customWidth="1"/>
    <col min="29" max="29" width="24.33203125" customWidth="1"/>
    <col min="30" max="30" width="12.88671875" customWidth="1"/>
    <col min="31" max="31" width="21.5546875" customWidth="1"/>
    <col min="32" max="32" width="21.109375" customWidth="1"/>
    <col min="33" max="33" width="20.77734375" customWidth="1"/>
    <col min="34" max="35" width="24.6640625" customWidth="1"/>
    <col min="36" max="36" width="23.6640625" customWidth="1"/>
  </cols>
  <sheetData>
    <row r="1" spans="1:40">
      <c r="A1" s="24" t="s">
        <v>0</v>
      </c>
      <c r="B1" s="24"/>
      <c r="C1" s="24"/>
    </row>
    <row r="2" spans="1:40" ht="100.8">
      <c r="A2" s="1"/>
      <c r="B2" s="2" t="s">
        <v>1</v>
      </c>
      <c r="C2" s="2" t="s">
        <v>2</v>
      </c>
      <c r="D2" s="4" t="s">
        <v>3</v>
      </c>
      <c r="H2" s="4" t="s">
        <v>4</v>
      </c>
      <c r="I2" s="3">
        <v>800000000</v>
      </c>
      <c r="J2" s="3">
        <f>I2/10</f>
        <v>80000000</v>
      </c>
      <c r="K2" t="s">
        <v>5</v>
      </c>
      <c r="O2" s="5">
        <v>45000000</v>
      </c>
      <c r="P2" s="4" t="s">
        <v>6</v>
      </c>
      <c r="Q2" s="5">
        <v>30000000</v>
      </c>
      <c r="R2" s="5"/>
      <c r="S2" s="4" t="s">
        <v>23</v>
      </c>
      <c r="T2">
        <v>5000000</v>
      </c>
      <c r="U2" s="4" t="s">
        <v>36</v>
      </c>
      <c r="V2">
        <v>500000000</v>
      </c>
      <c r="W2" s="4" t="s">
        <v>38</v>
      </c>
      <c r="X2" s="6">
        <v>0.15</v>
      </c>
      <c r="Y2" s="4" t="s">
        <v>39</v>
      </c>
      <c r="Z2" s="6">
        <v>0.03</v>
      </c>
      <c r="AA2" s="4" t="s">
        <v>40</v>
      </c>
      <c r="AB2" s="6">
        <v>0.05</v>
      </c>
      <c r="AC2" s="6"/>
      <c r="AD2" s="4" t="s">
        <v>41</v>
      </c>
      <c r="AE2" s="6">
        <v>0.06</v>
      </c>
      <c r="AF2" t="s">
        <v>48</v>
      </c>
      <c r="AG2">
        <v>2432000000</v>
      </c>
      <c r="AH2" s="4" t="s">
        <v>49</v>
      </c>
      <c r="AI2" s="4"/>
      <c r="AJ2" s="6">
        <v>7.0000000000000007E-2</v>
      </c>
      <c r="AK2" s="4" t="s">
        <v>56</v>
      </c>
      <c r="AL2" s="6">
        <v>0.1</v>
      </c>
      <c r="AM2" s="4" t="s">
        <v>108</v>
      </c>
      <c r="AN2">
        <v>50</v>
      </c>
    </row>
    <row r="3" spans="1:40" ht="129.6">
      <c r="A3" s="1">
        <v>0</v>
      </c>
      <c r="B3" s="3">
        <v>150000000</v>
      </c>
      <c r="C3" s="2"/>
      <c r="D3" s="14"/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32" t="s">
        <v>19</v>
      </c>
      <c r="M3" s="31" t="s">
        <v>20</v>
      </c>
      <c r="N3" s="31" t="s">
        <v>21</v>
      </c>
      <c r="O3" s="31" t="s">
        <v>22</v>
      </c>
      <c r="P3" s="9"/>
      <c r="Q3" s="8" t="s">
        <v>24</v>
      </c>
      <c r="R3" s="8" t="s">
        <v>107</v>
      </c>
      <c r="S3" s="33" t="s">
        <v>106</v>
      </c>
      <c r="T3" s="8"/>
      <c r="U3" s="35" t="s">
        <v>30</v>
      </c>
      <c r="V3" s="37" t="s">
        <v>34</v>
      </c>
      <c r="W3" s="25" t="s">
        <v>37</v>
      </c>
      <c r="X3" s="8" t="s">
        <v>39</v>
      </c>
      <c r="Y3" s="8" t="s">
        <v>43</v>
      </c>
      <c r="Z3" s="40" t="s">
        <v>45</v>
      </c>
      <c r="AA3" s="9"/>
      <c r="AB3" s="8" t="s">
        <v>68</v>
      </c>
      <c r="AC3" s="8" t="s">
        <v>67</v>
      </c>
      <c r="AD3" s="44" t="s">
        <v>44</v>
      </c>
      <c r="AE3" s="41" t="s">
        <v>47</v>
      </c>
      <c r="AF3" s="41" t="s">
        <v>50</v>
      </c>
      <c r="AG3" s="17" t="s">
        <v>51</v>
      </c>
      <c r="AH3" s="10" t="s">
        <v>54</v>
      </c>
      <c r="AI3" s="10" t="s">
        <v>114</v>
      </c>
      <c r="AJ3" s="10" t="s">
        <v>55</v>
      </c>
    </row>
    <row r="4" spans="1:40">
      <c r="A4" s="1">
        <v>0</v>
      </c>
      <c r="B4" s="3">
        <v>1000000000</v>
      </c>
      <c r="C4" s="2"/>
      <c r="D4" s="15">
        <v>1000000000</v>
      </c>
      <c r="E4">
        <v>2020</v>
      </c>
      <c r="F4" s="11">
        <f>O2</f>
        <v>45000000</v>
      </c>
      <c r="G4" s="12">
        <f>Q2</f>
        <v>30000000</v>
      </c>
      <c r="H4" s="9">
        <f>F4*$J$17</f>
        <v>4500000000</v>
      </c>
      <c r="I4" s="9">
        <f>H4</f>
        <v>4500000000</v>
      </c>
      <c r="J4" s="9">
        <f>G4*$J$17</f>
        <v>3000000000</v>
      </c>
      <c r="K4" s="9">
        <f>J4</f>
        <v>3000000000</v>
      </c>
      <c r="L4" s="26">
        <f>F4*$L$17</f>
        <v>1620000000</v>
      </c>
      <c r="M4" s="27">
        <f>L4</f>
        <v>1620000000</v>
      </c>
      <c r="N4" s="28">
        <f>G4*$N$17</f>
        <v>1440000000</v>
      </c>
      <c r="O4" s="29">
        <f>N4</f>
        <v>1440000000</v>
      </c>
      <c r="P4" s="9">
        <v>2021</v>
      </c>
      <c r="Q4" s="9">
        <f>T2</f>
        <v>5000000</v>
      </c>
      <c r="R4" s="9">
        <f>Q4*$AN$2</f>
        <v>250000000</v>
      </c>
      <c r="S4" s="34">
        <f>Q4*$S$17</f>
        <v>144000000</v>
      </c>
      <c r="T4" s="9">
        <v>0</v>
      </c>
      <c r="U4" s="36">
        <v>600000000</v>
      </c>
      <c r="V4" s="38">
        <v>40000000</v>
      </c>
      <c r="W4" s="39">
        <v>500000000</v>
      </c>
      <c r="X4" s="9">
        <v>30000000</v>
      </c>
      <c r="Y4" s="9">
        <f t="shared" ref="Y4:Y14" si="0">AB4*$AB$2</f>
        <v>387500000</v>
      </c>
      <c r="Z4" s="27">
        <f t="shared" ref="Z4:Z14" si="1">AB4*$AE$2</f>
        <v>465000000</v>
      </c>
      <c r="AA4" s="9">
        <v>1</v>
      </c>
      <c r="AB4" s="9">
        <f>I4+K4+R4</f>
        <v>7750000000</v>
      </c>
      <c r="AC4" s="9">
        <f>AB4+Y4</f>
        <v>8137500000</v>
      </c>
      <c r="AD4" s="27">
        <f t="shared" ref="AD4:AD14" si="2">AB4*$Z$17</f>
        <v>775000000</v>
      </c>
      <c r="AE4" s="42">
        <f>D4+B3+M4+O4+S4+U4+V4+W4+Z4</f>
        <v>5959000000</v>
      </c>
      <c r="AF4" s="43">
        <v>346262086.63295102</v>
      </c>
      <c r="AG4" s="42">
        <f t="shared" ref="AG4:AG14" si="3">AE4+AF4-X4</f>
        <v>6275262086.6329508</v>
      </c>
      <c r="AH4" s="3">
        <f>AC4-AG4</f>
        <v>1862237913.3670492</v>
      </c>
      <c r="AI4" s="3">
        <f>AC4*(1-$AL$2)</f>
        <v>7323750000</v>
      </c>
      <c r="AJ4" s="3">
        <f>AH4-AI4</f>
        <v>-5461512086.6329508</v>
      </c>
    </row>
    <row r="5" spans="1:40">
      <c r="A5">
        <v>1</v>
      </c>
      <c r="D5" s="15">
        <v>920000000</v>
      </c>
      <c r="E5">
        <v>2021</v>
      </c>
      <c r="F5" s="9">
        <f>F4*(1+$F$17)</f>
        <v>47250000</v>
      </c>
      <c r="G5" s="9">
        <f>G4*(1+$H$17)</f>
        <v>33000000.000000004</v>
      </c>
      <c r="H5" s="9">
        <f t="shared" ref="H5:H14" si="4">F5*$J$17</f>
        <v>4725000000</v>
      </c>
      <c r="I5" s="9">
        <f>H5*(1+$L$18)</f>
        <v>4795875000</v>
      </c>
      <c r="J5" s="9">
        <f t="shared" ref="J5:J14" si="5">G5*$J$17</f>
        <v>3300000000.0000005</v>
      </c>
      <c r="K5" s="9">
        <f>J5*(1+$J$18)</f>
        <v>3349500000</v>
      </c>
      <c r="L5" s="26">
        <f t="shared" ref="L5:L14" si="6">F5*$L$17</f>
        <v>1701000000</v>
      </c>
      <c r="M5" s="27">
        <f>L5*(1+$L$18)</f>
        <v>1726514999.9999998</v>
      </c>
      <c r="N5" s="28">
        <f>G5*$N$17</f>
        <v>1584000000.0000002</v>
      </c>
      <c r="O5" s="30">
        <f>N5*(1+$L$18)</f>
        <v>1607760000</v>
      </c>
      <c r="P5" s="9">
        <v>2022</v>
      </c>
      <c r="Q5" s="9">
        <f>Q4*(1+$P$17)</f>
        <v>5400000</v>
      </c>
      <c r="R5" s="9">
        <f t="shared" ref="R5:R13" si="7">Q5*$AN$2</f>
        <v>270000000</v>
      </c>
      <c r="S5" s="34">
        <f t="shared" ref="S5:S13" si="8">Q5*$S$17</f>
        <v>155519999.99999997</v>
      </c>
      <c r="T5" s="9">
        <v>1</v>
      </c>
      <c r="U5" s="36">
        <f>U4*(1+$N$18)</f>
        <v>609000000</v>
      </c>
      <c r="V5" s="38">
        <f>V4*(1+$V$17)</f>
        <v>44000000</v>
      </c>
      <c r="W5" s="39">
        <f>W4*(1+$X$2)</f>
        <v>575000000</v>
      </c>
      <c r="X5" s="9">
        <f>X4*(1+$Z$2)</f>
        <v>30900000</v>
      </c>
      <c r="Y5" s="9">
        <f t="shared" si="0"/>
        <v>420768750</v>
      </c>
      <c r="Z5" s="27">
        <f t="shared" si="1"/>
        <v>504922500</v>
      </c>
      <c r="AA5" s="9">
        <v>2</v>
      </c>
      <c r="AB5" s="9">
        <f t="shared" ref="AB5:AB14" si="9">I5+K5+R5</f>
        <v>8415375000</v>
      </c>
      <c r="AC5" s="9">
        <f t="shared" ref="AC5:AC14" si="10">AB5+Y5</f>
        <v>8836143750</v>
      </c>
      <c r="AD5" s="27">
        <f t="shared" si="2"/>
        <v>841537500</v>
      </c>
      <c r="AE5" s="42">
        <f>M5+O5+S5+V5+W5+Z5+AD5+$J$2</f>
        <v>5535255000</v>
      </c>
      <c r="AF5" s="43">
        <v>346262086.63295102</v>
      </c>
      <c r="AG5" s="42">
        <f t="shared" si="3"/>
        <v>5850617086.6329508</v>
      </c>
      <c r="AH5" s="3">
        <f t="shared" ref="AH5:AH14" si="11">AC5-AG5</f>
        <v>2985526663.3670492</v>
      </c>
      <c r="AI5" s="3">
        <f t="shared" ref="AI5:AI14" si="12">AC5*(1-$AL$2)</f>
        <v>7952529375</v>
      </c>
      <c r="AJ5" s="3">
        <f t="shared" ref="AJ5:AJ14" si="13">AH5-AI5</f>
        <v>-4967002711.6329508</v>
      </c>
    </row>
    <row r="6" spans="1:40">
      <c r="A6">
        <v>2</v>
      </c>
      <c r="D6" s="15">
        <v>840000000</v>
      </c>
      <c r="E6">
        <v>2022</v>
      </c>
      <c r="F6" s="9">
        <f t="shared" ref="F6:F14" si="14">F5*(1+$F$17)</f>
        <v>49612500</v>
      </c>
      <c r="G6" s="9">
        <f t="shared" ref="G6:G14" si="15">G5*(1+$H$17)</f>
        <v>36300000.000000007</v>
      </c>
      <c r="H6" s="9">
        <f t="shared" si="4"/>
        <v>4961250000</v>
      </c>
      <c r="I6" s="9">
        <f t="shared" ref="I6:I14" si="16">H6*(1+$L$18)</f>
        <v>5035668749.999999</v>
      </c>
      <c r="J6" s="9">
        <f t="shared" si="5"/>
        <v>3630000000.000001</v>
      </c>
      <c r="K6" s="9">
        <f t="shared" ref="K6:K14" si="17">J6*(1+$J$18)</f>
        <v>3684450000.0000005</v>
      </c>
      <c r="L6" s="26">
        <f t="shared" si="6"/>
        <v>1786050000</v>
      </c>
      <c r="M6" s="27">
        <f t="shared" ref="M6:M14" si="18">L6*(1+$L$18)</f>
        <v>1812840749.9999998</v>
      </c>
      <c r="N6" s="28">
        <f t="shared" ref="N5:N14" si="19">G6*$N$17</f>
        <v>1742400000.0000005</v>
      </c>
      <c r="O6" s="30">
        <f t="shared" ref="O6:O14" si="20">N6*(1+$L$18)</f>
        <v>1768536000.0000002</v>
      </c>
      <c r="P6" s="9">
        <v>2023</v>
      </c>
      <c r="Q6" s="9">
        <f t="shared" ref="Q6:Q13" si="21">Q5*(1+$P$17)</f>
        <v>5832000</v>
      </c>
      <c r="R6" s="9">
        <f t="shared" si="7"/>
        <v>291600000</v>
      </c>
      <c r="S6" s="34">
        <f t="shared" si="8"/>
        <v>167961599.99999997</v>
      </c>
      <c r="T6" s="9">
        <v>2</v>
      </c>
      <c r="U6" s="36">
        <f t="shared" ref="U6:U14" si="22">U5*(1+$N$18)</f>
        <v>618135000</v>
      </c>
      <c r="V6" s="38">
        <f t="shared" ref="V6:V14" si="23">V5*(1+$V$17)</f>
        <v>48400000.000000007</v>
      </c>
      <c r="W6" s="39">
        <f t="shared" ref="W6:W14" si="24">W5*(1+$X$2)</f>
        <v>661250000</v>
      </c>
      <c r="X6" s="9">
        <f t="shared" ref="X6:X14" si="25">X5*(1+$Z$2)</f>
        <v>31827000</v>
      </c>
      <c r="Y6" s="9">
        <f t="shared" si="0"/>
        <v>450585937.5</v>
      </c>
      <c r="Z6" s="27">
        <f t="shared" si="1"/>
        <v>540703125</v>
      </c>
      <c r="AA6" s="9">
        <v>3</v>
      </c>
      <c r="AB6" s="9">
        <f t="shared" si="9"/>
        <v>9011718750</v>
      </c>
      <c r="AC6" s="9">
        <f t="shared" si="10"/>
        <v>9462304687.5</v>
      </c>
      <c r="AD6" s="27">
        <f t="shared" si="2"/>
        <v>901171875</v>
      </c>
      <c r="AE6" s="42">
        <f t="shared" ref="AE6:AE14" si="26">M6+O6+S6+V6+W6+Z6+AD6+$J$2</f>
        <v>5980863350</v>
      </c>
      <c r="AF6" s="43">
        <v>346262086.63295102</v>
      </c>
      <c r="AG6" s="42">
        <f t="shared" si="3"/>
        <v>6295298436.6329508</v>
      </c>
      <c r="AH6" s="3">
        <f t="shared" si="11"/>
        <v>3167006250.8670492</v>
      </c>
      <c r="AI6" s="3">
        <f t="shared" si="12"/>
        <v>8516074218.75</v>
      </c>
      <c r="AJ6" s="3">
        <f t="shared" si="13"/>
        <v>-5349067967.8829508</v>
      </c>
    </row>
    <row r="7" spans="1:40">
      <c r="A7">
        <v>3</v>
      </c>
      <c r="D7" s="15">
        <v>760000000</v>
      </c>
      <c r="E7">
        <v>2023</v>
      </c>
      <c r="F7" s="9">
        <f t="shared" si="14"/>
        <v>52093125</v>
      </c>
      <c r="G7" s="9">
        <f t="shared" si="15"/>
        <v>39930000.000000015</v>
      </c>
      <c r="H7" s="9">
        <f t="shared" si="4"/>
        <v>5209312500</v>
      </c>
      <c r="I7" s="9">
        <f t="shared" si="16"/>
        <v>5287452187.499999</v>
      </c>
      <c r="J7" s="9">
        <f t="shared" si="5"/>
        <v>3993000000.0000014</v>
      </c>
      <c r="K7" s="9">
        <f t="shared" si="17"/>
        <v>4052895000.000001</v>
      </c>
      <c r="L7" s="26">
        <f t="shared" si="6"/>
        <v>1875352500</v>
      </c>
      <c r="M7" s="27">
        <f t="shared" si="18"/>
        <v>1903482787.4999998</v>
      </c>
      <c r="N7" s="28">
        <f t="shared" si="19"/>
        <v>1916640000.0000007</v>
      </c>
      <c r="O7" s="30">
        <f t="shared" si="20"/>
        <v>1945389600.0000005</v>
      </c>
      <c r="P7" s="9">
        <v>2024</v>
      </c>
      <c r="Q7" s="9">
        <f t="shared" si="21"/>
        <v>6298560</v>
      </c>
      <c r="R7" s="9">
        <f t="shared" si="7"/>
        <v>314928000</v>
      </c>
      <c r="S7" s="34">
        <f t="shared" si="8"/>
        <v>181398527.99999997</v>
      </c>
      <c r="T7" s="9">
        <v>3</v>
      </c>
      <c r="U7" s="36">
        <f t="shared" si="22"/>
        <v>627407024.99999988</v>
      </c>
      <c r="V7" s="38">
        <f t="shared" si="23"/>
        <v>53240000.000000015</v>
      </c>
      <c r="W7" s="39">
        <f t="shared" si="24"/>
        <v>760437500</v>
      </c>
      <c r="X7" s="9">
        <f t="shared" si="25"/>
        <v>32781810</v>
      </c>
      <c r="Y7" s="9">
        <f t="shared" si="0"/>
        <v>482763759.375</v>
      </c>
      <c r="Z7" s="27">
        <f t="shared" si="1"/>
        <v>579316511.25</v>
      </c>
      <c r="AA7" s="9">
        <v>4</v>
      </c>
      <c r="AB7" s="9">
        <f t="shared" si="9"/>
        <v>9655275187.5</v>
      </c>
      <c r="AC7" s="9">
        <f t="shared" si="10"/>
        <v>10138038946.875</v>
      </c>
      <c r="AD7" s="27">
        <f t="shared" si="2"/>
        <v>965527518.75</v>
      </c>
      <c r="AE7" s="42">
        <f t="shared" si="26"/>
        <v>6468792445.5</v>
      </c>
      <c r="AF7" s="43">
        <v>346262086.63295102</v>
      </c>
      <c r="AG7" s="42">
        <f t="shared" si="3"/>
        <v>6782272722.1329508</v>
      </c>
      <c r="AH7" s="3">
        <f t="shared" si="11"/>
        <v>3355766224.7420492</v>
      </c>
      <c r="AI7" s="3">
        <f t="shared" si="12"/>
        <v>9124235052.1875</v>
      </c>
      <c r="AJ7" s="3">
        <f t="shared" si="13"/>
        <v>-5768468827.4454508</v>
      </c>
    </row>
    <row r="8" spans="1:40">
      <c r="A8">
        <v>4</v>
      </c>
      <c r="D8" s="15">
        <v>680000000</v>
      </c>
      <c r="E8">
        <v>2024</v>
      </c>
      <c r="F8" s="9">
        <f t="shared" si="14"/>
        <v>54697781.25</v>
      </c>
      <c r="G8" s="9">
        <f t="shared" si="15"/>
        <v>43923000.000000022</v>
      </c>
      <c r="H8" s="9">
        <f t="shared" si="4"/>
        <v>5469778125</v>
      </c>
      <c r="I8" s="9">
        <f t="shared" si="16"/>
        <v>5551824796.874999</v>
      </c>
      <c r="J8" s="9">
        <f t="shared" si="5"/>
        <v>4392300000.0000019</v>
      </c>
      <c r="K8" s="9">
        <f t="shared" si="17"/>
        <v>4458184500.0000019</v>
      </c>
      <c r="L8" s="26">
        <f t="shared" si="6"/>
        <v>1969120125</v>
      </c>
      <c r="M8" s="27">
        <f t="shared" si="18"/>
        <v>1998656926.8749998</v>
      </c>
      <c r="N8" s="28">
        <f t="shared" si="19"/>
        <v>2108304000.000001</v>
      </c>
      <c r="O8" s="30">
        <f t="shared" si="20"/>
        <v>2139928560.0000007</v>
      </c>
      <c r="P8" s="9">
        <v>2025</v>
      </c>
      <c r="Q8" s="9">
        <f t="shared" si="21"/>
        <v>6802444.8000000007</v>
      </c>
      <c r="R8" s="9">
        <f t="shared" si="7"/>
        <v>340122240.00000006</v>
      </c>
      <c r="S8" s="34">
        <f t="shared" si="8"/>
        <v>195910410.24000001</v>
      </c>
      <c r="T8" s="9">
        <v>4</v>
      </c>
      <c r="U8" s="36">
        <f t="shared" si="22"/>
        <v>636818130.37499976</v>
      </c>
      <c r="V8" s="38">
        <f t="shared" si="23"/>
        <v>58564000.000000022</v>
      </c>
      <c r="W8" s="39">
        <f t="shared" si="24"/>
        <v>874503124.99999988</v>
      </c>
      <c r="X8" s="9">
        <f t="shared" si="25"/>
        <v>33765264.300000004</v>
      </c>
      <c r="Y8" s="9">
        <f t="shared" si="0"/>
        <v>517506576.84375</v>
      </c>
      <c r="Z8" s="27">
        <f t="shared" si="1"/>
        <v>621007892.21249998</v>
      </c>
      <c r="AA8" s="9">
        <v>5</v>
      </c>
      <c r="AB8" s="9">
        <f t="shared" si="9"/>
        <v>10350131536.875</v>
      </c>
      <c r="AC8" s="9">
        <f t="shared" si="10"/>
        <v>10867638113.71875</v>
      </c>
      <c r="AD8" s="27">
        <f t="shared" si="2"/>
        <v>1035013153.6875</v>
      </c>
      <c r="AE8" s="42">
        <f t="shared" si="26"/>
        <v>7003584068.0150003</v>
      </c>
      <c r="AF8" s="43">
        <v>346262086.63295102</v>
      </c>
      <c r="AG8" s="42">
        <f t="shared" si="3"/>
        <v>7316080890.3479509</v>
      </c>
      <c r="AH8" s="3">
        <f t="shared" si="11"/>
        <v>3551557223.3707991</v>
      </c>
      <c r="AI8" s="3">
        <f t="shared" si="12"/>
        <v>9780874302.3468761</v>
      </c>
      <c r="AJ8" s="3">
        <f t="shared" si="13"/>
        <v>-6229317078.9760771</v>
      </c>
    </row>
    <row r="9" spans="1:40">
      <c r="A9">
        <v>5</v>
      </c>
      <c r="D9" s="15">
        <v>600000000</v>
      </c>
      <c r="E9">
        <v>2025</v>
      </c>
      <c r="F9" s="9">
        <f t="shared" si="14"/>
        <v>57432670.3125</v>
      </c>
      <c r="G9" s="9">
        <f t="shared" si="15"/>
        <v>48315300.00000003</v>
      </c>
      <c r="H9" s="9">
        <f t="shared" si="4"/>
        <v>5743267031.25</v>
      </c>
      <c r="I9" s="9">
        <f t="shared" si="16"/>
        <v>5829416036.718749</v>
      </c>
      <c r="J9" s="9">
        <f t="shared" si="5"/>
        <v>4831530000.0000029</v>
      </c>
      <c r="K9" s="9">
        <f t="shared" si="17"/>
        <v>4904002950.0000029</v>
      </c>
      <c r="L9" s="26">
        <f t="shared" si="6"/>
        <v>2067576131.25</v>
      </c>
      <c r="M9" s="27">
        <f t="shared" si="18"/>
        <v>2098589773.2187498</v>
      </c>
      <c r="N9" s="28">
        <f t="shared" si="19"/>
        <v>2319134400.0000014</v>
      </c>
      <c r="O9" s="30">
        <f t="shared" si="20"/>
        <v>2353921416.0000014</v>
      </c>
      <c r="P9" s="9">
        <v>2026</v>
      </c>
      <c r="Q9" s="9">
        <f t="shared" si="21"/>
        <v>7346640.3840000015</v>
      </c>
      <c r="R9" s="9">
        <f t="shared" si="7"/>
        <v>367332019.20000005</v>
      </c>
      <c r="S9" s="34">
        <f t="shared" si="8"/>
        <v>211583243.05920002</v>
      </c>
      <c r="T9" s="9">
        <v>5</v>
      </c>
      <c r="U9" s="36">
        <f t="shared" si="22"/>
        <v>646370402.3306247</v>
      </c>
      <c r="V9" s="38">
        <f t="shared" si="23"/>
        <v>64420400.00000003</v>
      </c>
      <c r="W9" s="39">
        <f t="shared" si="24"/>
        <v>1005678593.7499998</v>
      </c>
      <c r="X9" s="9">
        <f t="shared" si="25"/>
        <v>34778222.229000002</v>
      </c>
      <c r="Y9" s="9">
        <f t="shared" si="0"/>
        <v>555037550.29593766</v>
      </c>
      <c r="Z9" s="27">
        <f t="shared" si="1"/>
        <v>666045060.35512519</v>
      </c>
      <c r="AA9" s="9">
        <v>6</v>
      </c>
      <c r="AB9" s="9">
        <f t="shared" si="9"/>
        <v>11100751005.918753</v>
      </c>
      <c r="AC9" s="9">
        <f t="shared" si="10"/>
        <v>11655788556.214691</v>
      </c>
      <c r="AD9" s="27">
        <f t="shared" si="2"/>
        <v>1110075100.5918753</v>
      </c>
      <c r="AE9" s="42">
        <f t="shared" si="26"/>
        <v>7590313586.9749517</v>
      </c>
      <c r="AF9" s="43">
        <v>346262086.63295102</v>
      </c>
      <c r="AG9" s="42">
        <f t="shared" si="3"/>
        <v>7901797451.3789024</v>
      </c>
      <c r="AH9" s="3">
        <f t="shared" si="11"/>
        <v>3753991104.8357887</v>
      </c>
      <c r="AI9" s="3">
        <f t="shared" si="12"/>
        <v>10490209700.593222</v>
      </c>
      <c r="AJ9" s="3">
        <f t="shared" si="13"/>
        <v>-6736218595.7574329</v>
      </c>
    </row>
    <row r="10" spans="1:40">
      <c r="A10">
        <v>6</v>
      </c>
      <c r="D10" s="15">
        <v>520000000</v>
      </c>
      <c r="E10">
        <v>2026</v>
      </c>
      <c r="F10" s="9">
        <f t="shared" si="14"/>
        <v>60304303.828125</v>
      </c>
      <c r="G10" s="9">
        <f t="shared" si="15"/>
        <v>53146830.000000037</v>
      </c>
      <c r="H10" s="9">
        <f t="shared" si="4"/>
        <v>6030430382.8125</v>
      </c>
      <c r="I10" s="9">
        <f t="shared" si="16"/>
        <v>6120886838.5546865</v>
      </c>
      <c r="J10" s="9">
        <f t="shared" si="5"/>
        <v>5314683000.0000038</v>
      </c>
      <c r="K10" s="9">
        <f t="shared" si="17"/>
        <v>5394403245.0000038</v>
      </c>
      <c r="L10" s="26">
        <f t="shared" si="6"/>
        <v>2170954937.8125</v>
      </c>
      <c r="M10" s="27">
        <f t="shared" si="18"/>
        <v>2203519261.8796873</v>
      </c>
      <c r="N10" s="28">
        <f t="shared" si="19"/>
        <v>2551047840.0000019</v>
      </c>
      <c r="O10" s="30">
        <f t="shared" si="20"/>
        <v>2589313557.6000018</v>
      </c>
      <c r="P10" s="9">
        <v>2027</v>
      </c>
      <c r="Q10" s="9">
        <f t="shared" si="21"/>
        <v>7934371.6147200018</v>
      </c>
      <c r="R10" s="9">
        <f t="shared" si="7"/>
        <v>396718580.73600006</v>
      </c>
      <c r="S10" s="34">
        <f t="shared" si="8"/>
        <v>228509902.50393602</v>
      </c>
      <c r="T10" s="9">
        <v>6</v>
      </c>
      <c r="U10" s="36">
        <f t="shared" si="22"/>
        <v>656065958.36558402</v>
      </c>
      <c r="V10" s="38">
        <f t="shared" si="23"/>
        <v>70862440.000000045</v>
      </c>
      <c r="W10" s="39">
        <f t="shared" si="24"/>
        <v>1156530382.8124995</v>
      </c>
      <c r="X10" s="9">
        <f t="shared" si="25"/>
        <v>35821568.89587</v>
      </c>
      <c r="Y10" s="9">
        <f t="shared" si="0"/>
        <v>595600433.21453464</v>
      </c>
      <c r="Z10" s="27">
        <f t="shared" si="1"/>
        <v>714720519.85744143</v>
      </c>
      <c r="AA10" s="9">
        <v>7</v>
      </c>
      <c r="AB10" s="9">
        <f t="shared" si="9"/>
        <v>11912008664.290691</v>
      </c>
      <c r="AC10" s="9">
        <f t="shared" si="10"/>
        <v>12507609097.505226</v>
      </c>
      <c r="AD10" s="27">
        <f t="shared" si="2"/>
        <v>1191200866.4290693</v>
      </c>
      <c r="AE10" s="42">
        <f t="shared" si="26"/>
        <v>8234656931.082634</v>
      </c>
      <c r="AF10" s="43">
        <v>346262086.63295102</v>
      </c>
      <c r="AG10" s="42">
        <f t="shared" si="3"/>
        <v>8545097448.8197145</v>
      </c>
      <c r="AH10" s="3">
        <f t="shared" si="11"/>
        <v>3962511648.6855116</v>
      </c>
      <c r="AI10" s="3">
        <f t="shared" si="12"/>
        <v>11256848187.754704</v>
      </c>
      <c r="AJ10" s="3">
        <f t="shared" si="13"/>
        <v>-7294336539.0691919</v>
      </c>
    </row>
    <row r="11" spans="1:40">
      <c r="A11">
        <v>7</v>
      </c>
      <c r="D11" s="15">
        <v>440000000</v>
      </c>
      <c r="E11">
        <v>2027</v>
      </c>
      <c r="F11" s="9">
        <f t="shared" si="14"/>
        <v>63319519.01953125</v>
      </c>
      <c r="G11" s="9">
        <f t="shared" si="15"/>
        <v>58461513.000000045</v>
      </c>
      <c r="H11" s="9">
        <f t="shared" si="4"/>
        <v>6331951901.953125</v>
      </c>
      <c r="I11" s="9">
        <f t="shared" si="16"/>
        <v>6426931180.4824209</v>
      </c>
      <c r="J11" s="9">
        <f t="shared" si="5"/>
        <v>5846151300.0000048</v>
      </c>
      <c r="K11" s="9">
        <f t="shared" si="17"/>
        <v>5933843569.5000038</v>
      </c>
      <c r="L11" s="26">
        <f t="shared" si="6"/>
        <v>2279502684.703125</v>
      </c>
      <c r="M11" s="27">
        <f t="shared" si="18"/>
        <v>2313695224.9736714</v>
      </c>
      <c r="N11" s="28">
        <f t="shared" si="19"/>
        <v>2806152624.0000019</v>
      </c>
      <c r="O11" s="30">
        <f t="shared" si="20"/>
        <v>2848244913.3600016</v>
      </c>
      <c r="P11" s="9">
        <v>2028</v>
      </c>
      <c r="Q11" s="9">
        <f t="shared" si="21"/>
        <v>8569121.3438976035</v>
      </c>
      <c r="R11" s="9">
        <f t="shared" si="7"/>
        <v>428456067.19488019</v>
      </c>
      <c r="S11" s="34">
        <f t="shared" si="8"/>
        <v>246790694.70425096</v>
      </c>
      <c r="T11" s="9">
        <v>7</v>
      </c>
      <c r="U11" s="36">
        <f t="shared" si="22"/>
        <v>665906947.74106777</v>
      </c>
      <c r="V11" s="38">
        <f t="shared" si="23"/>
        <v>77948684.00000006</v>
      </c>
      <c r="W11" s="39">
        <f t="shared" si="24"/>
        <v>1330009940.2343743</v>
      </c>
      <c r="X11" s="9">
        <f t="shared" si="25"/>
        <v>36896215.962746099</v>
      </c>
      <c r="Y11" s="9">
        <f t="shared" si="0"/>
        <v>639461540.85886526</v>
      </c>
      <c r="Z11" s="27">
        <f t="shared" si="1"/>
        <v>767353849.03063834</v>
      </c>
      <c r="AA11" s="9">
        <v>8</v>
      </c>
      <c r="AB11" s="9">
        <f t="shared" si="9"/>
        <v>12789230817.177305</v>
      </c>
      <c r="AC11" s="9">
        <f t="shared" si="10"/>
        <v>13428692358.036171</v>
      </c>
      <c r="AD11" s="27">
        <f t="shared" si="2"/>
        <v>1278923081.7177305</v>
      </c>
      <c r="AE11" s="42">
        <f t="shared" si="26"/>
        <v>8942966388.020668</v>
      </c>
      <c r="AF11" s="43">
        <v>346262086.63295102</v>
      </c>
      <c r="AG11" s="42">
        <f t="shared" si="3"/>
        <v>9252332258.6908741</v>
      </c>
      <c r="AH11" s="3">
        <f t="shared" si="11"/>
        <v>4176360099.3452969</v>
      </c>
      <c r="AI11" s="3">
        <f t="shared" si="12"/>
        <v>12085823122.232553</v>
      </c>
      <c r="AJ11" s="3">
        <f t="shared" si="13"/>
        <v>-7909463022.8872566</v>
      </c>
    </row>
    <row r="12" spans="1:40">
      <c r="A12">
        <v>8</v>
      </c>
      <c r="D12" s="15">
        <v>360000000</v>
      </c>
      <c r="E12">
        <v>2028</v>
      </c>
      <c r="F12" s="9">
        <f t="shared" si="14"/>
        <v>66485494.970507815</v>
      </c>
      <c r="G12" s="9">
        <f t="shared" si="15"/>
        <v>64307664.300000057</v>
      </c>
      <c r="H12" s="9">
        <f t="shared" si="4"/>
        <v>6648549497.0507812</v>
      </c>
      <c r="I12" s="9">
        <f t="shared" si="16"/>
        <v>6748277739.5065422</v>
      </c>
      <c r="J12" s="9">
        <f t="shared" si="5"/>
        <v>6430766430.0000057</v>
      </c>
      <c r="K12" s="9">
        <f t="shared" si="17"/>
        <v>6527227926.4500055</v>
      </c>
      <c r="L12" s="26">
        <f t="shared" si="6"/>
        <v>2393477818.9382815</v>
      </c>
      <c r="M12" s="27">
        <f t="shared" si="18"/>
        <v>2429379986.2223554</v>
      </c>
      <c r="N12" s="28">
        <f t="shared" si="19"/>
        <v>3086767886.4000025</v>
      </c>
      <c r="O12" s="30">
        <f t="shared" si="20"/>
        <v>3133069404.696002</v>
      </c>
      <c r="P12" s="9">
        <v>2029</v>
      </c>
      <c r="Q12" s="9">
        <f t="shared" si="21"/>
        <v>9254651.0514094122</v>
      </c>
      <c r="R12" s="9">
        <f t="shared" si="7"/>
        <v>462732552.57047063</v>
      </c>
      <c r="S12" s="34">
        <f t="shared" si="8"/>
        <v>266533950.28059104</v>
      </c>
      <c r="T12" s="9">
        <v>8</v>
      </c>
      <c r="U12" s="36">
        <f t="shared" si="22"/>
        <v>675895551.95718372</v>
      </c>
      <c r="V12" s="38">
        <f t="shared" si="23"/>
        <v>85743552.400000066</v>
      </c>
      <c r="W12" s="39">
        <f t="shared" si="24"/>
        <v>1529511431.2695303</v>
      </c>
      <c r="X12" s="9">
        <f t="shared" si="25"/>
        <v>38003102.441628486</v>
      </c>
      <c r="Y12" s="9">
        <f t="shared" si="0"/>
        <v>686911910.92635095</v>
      </c>
      <c r="Z12" s="27">
        <f t="shared" si="1"/>
        <v>824294293.11162102</v>
      </c>
      <c r="AA12" s="9">
        <v>9</v>
      </c>
      <c r="AB12" s="9">
        <f t="shared" si="9"/>
        <v>13738238218.527018</v>
      </c>
      <c r="AC12" s="9">
        <f t="shared" si="10"/>
        <v>14425150129.453369</v>
      </c>
      <c r="AD12" s="27">
        <f t="shared" si="2"/>
        <v>1373823821.8527019</v>
      </c>
      <c r="AE12" s="42">
        <f t="shared" si="26"/>
        <v>9722356439.8328018</v>
      </c>
      <c r="AF12" s="43">
        <v>346262086.63295102</v>
      </c>
      <c r="AG12" s="42">
        <f t="shared" si="3"/>
        <v>10030615424.024124</v>
      </c>
      <c r="AH12" s="3">
        <f t="shared" si="11"/>
        <v>4394534705.429245</v>
      </c>
      <c r="AI12" s="3">
        <f t="shared" si="12"/>
        <v>12982635116.508032</v>
      </c>
      <c r="AJ12" s="3">
        <f t="shared" si="13"/>
        <v>-8588100411.0787868</v>
      </c>
    </row>
    <row r="13" spans="1:40">
      <c r="A13">
        <v>9</v>
      </c>
      <c r="B13" s="3"/>
      <c r="D13" s="15">
        <v>280000000</v>
      </c>
      <c r="E13">
        <v>2029</v>
      </c>
      <c r="F13" s="9">
        <f t="shared" si="14"/>
        <v>69809769.719033211</v>
      </c>
      <c r="G13" s="9">
        <f t="shared" si="15"/>
        <v>70738430.730000064</v>
      </c>
      <c r="H13" s="9">
        <f t="shared" si="4"/>
        <v>6980976971.9033213</v>
      </c>
      <c r="I13" s="9">
        <f t="shared" si="16"/>
        <v>7085691626.4818707</v>
      </c>
      <c r="J13" s="9">
        <f t="shared" si="5"/>
        <v>7073843073.0000067</v>
      </c>
      <c r="K13" s="9">
        <f t="shared" si="17"/>
        <v>7179950719.095006</v>
      </c>
      <c r="L13" s="26">
        <f t="shared" si="6"/>
        <v>2513151709.8851957</v>
      </c>
      <c r="M13" s="27">
        <f t="shared" si="18"/>
        <v>2550848985.5334735</v>
      </c>
      <c r="N13" s="28">
        <f t="shared" si="19"/>
        <v>3395444675.0400028</v>
      </c>
      <c r="O13" s="30">
        <f t="shared" si="20"/>
        <v>3446376345.1656027</v>
      </c>
      <c r="P13" s="9">
        <v>2030</v>
      </c>
      <c r="Q13" s="9">
        <f t="shared" si="21"/>
        <v>9995023.1355221663</v>
      </c>
      <c r="R13" s="9">
        <f t="shared" si="7"/>
        <v>499751156.77610832</v>
      </c>
      <c r="S13" s="34">
        <f t="shared" si="8"/>
        <v>287856666.30303836</v>
      </c>
      <c r="T13" s="9">
        <v>9</v>
      </c>
      <c r="U13" s="36">
        <f t="shared" si="22"/>
        <v>686033985.23654139</v>
      </c>
      <c r="V13" s="38">
        <f t="shared" si="23"/>
        <v>94317907.640000075</v>
      </c>
      <c r="W13" s="39">
        <f t="shared" si="24"/>
        <v>1758938145.9599597</v>
      </c>
      <c r="X13" s="9">
        <f t="shared" si="25"/>
        <v>39143195.514877342</v>
      </c>
      <c r="Y13" s="9">
        <f t="shared" si="0"/>
        <v>738269675.11764932</v>
      </c>
      <c r="Z13" s="27">
        <f t="shared" si="1"/>
        <v>885923610.14117908</v>
      </c>
      <c r="AA13" s="9">
        <v>10</v>
      </c>
      <c r="AB13" s="9">
        <f t="shared" si="9"/>
        <v>14765393502.352985</v>
      </c>
      <c r="AC13" s="9">
        <f t="shared" si="10"/>
        <v>15503663177.470634</v>
      </c>
      <c r="AD13" s="27">
        <f t="shared" si="2"/>
        <v>1476539350.2352986</v>
      </c>
      <c r="AE13" s="42">
        <f t="shared" si="26"/>
        <v>10580801010.978552</v>
      </c>
      <c r="AF13" s="43">
        <v>346262086.63295102</v>
      </c>
      <c r="AG13" s="42">
        <f t="shared" si="3"/>
        <v>10887919902.096626</v>
      </c>
      <c r="AH13" s="3">
        <f t="shared" si="11"/>
        <v>4615743275.3740082</v>
      </c>
      <c r="AI13" s="3">
        <f t="shared" si="12"/>
        <v>13953296859.723572</v>
      </c>
      <c r="AJ13" s="3">
        <f t="shared" si="13"/>
        <v>-9337553584.3495636</v>
      </c>
    </row>
    <row r="14" spans="1:40">
      <c r="A14">
        <v>10</v>
      </c>
      <c r="B14" s="3">
        <v>200000000</v>
      </c>
      <c r="D14" s="15">
        <v>200000000</v>
      </c>
      <c r="E14">
        <v>2030</v>
      </c>
      <c r="F14" s="9">
        <f t="shared" si="14"/>
        <v>73300258.204984874</v>
      </c>
      <c r="G14" s="9">
        <f t="shared" si="15"/>
        <v>77812273.803000078</v>
      </c>
      <c r="H14" s="9">
        <f t="shared" si="4"/>
        <v>7330025820.4984875</v>
      </c>
      <c r="I14" s="9">
        <f t="shared" si="16"/>
        <v>7439976207.8059645</v>
      </c>
      <c r="J14" s="9">
        <f t="shared" si="5"/>
        <v>7781227380.3000078</v>
      </c>
      <c r="K14" s="9">
        <f t="shared" si="17"/>
        <v>7897945791.0045071</v>
      </c>
      <c r="L14" s="26">
        <f t="shared" si="6"/>
        <v>2638809295.3794556</v>
      </c>
      <c r="M14" s="27">
        <f t="shared" si="18"/>
        <v>2678391434.8101473</v>
      </c>
      <c r="N14" s="28">
        <f t="shared" si="19"/>
        <v>3734989142.5440035</v>
      </c>
      <c r="O14" s="30">
        <f t="shared" si="20"/>
        <v>3791013979.6821632</v>
      </c>
      <c r="P14" s="9"/>
      <c r="Q14" s="9"/>
      <c r="R14" s="9"/>
      <c r="S14" s="9"/>
      <c r="T14" s="9">
        <v>10</v>
      </c>
      <c r="U14" s="36">
        <f t="shared" si="22"/>
        <v>696324495.01508939</v>
      </c>
      <c r="V14" s="38">
        <f t="shared" si="23"/>
        <v>103749698.40400009</v>
      </c>
      <c r="W14" s="39">
        <f t="shared" si="24"/>
        <v>2022778867.8539536</v>
      </c>
      <c r="X14" s="9">
        <f t="shared" si="25"/>
        <v>40317491.380323663</v>
      </c>
      <c r="Y14" s="9">
        <f t="shared" si="0"/>
        <v>766896099.94052362</v>
      </c>
      <c r="Z14" s="27">
        <f t="shared" si="1"/>
        <v>920275319.92862821</v>
      </c>
      <c r="AA14" s="9">
        <v>11</v>
      </c>
      <c r="AB14" s="9">
        <f t="shared" si="9"/>
        <v>15337921998.810471</v>
      </c>
      <c r="AC14" s="9">
        <f t="shared" si="10"/>
        <v>16104818098.750994</v>
      </c>
      <c r="AD14" s="27">
        <f t="shared" si="2"/>
        <v>1533792199.8810472</v>
      </c>
      <c r="AE14" s="42">
        <f t="shared" si="26"/>
        <v>11130001500.55994</v>
      </c>
      <c r="AF14" s="43">
        <v>346262086.63295102</v>
      </c>
      <c r="AG14" s="42">
        <f t="shared" si="3"/>
        <v>11435946095.812569</v>
      </c>
      <c r="AH14" s="3">
        <f t="shared" si="11"/>
        <v>4668872002.9384251</v>
      </c>
      <c r="AI14" s="3">
        <f t="shared" si="12"/>
        <v>14494336288.875895</v>
      </c>
      <c r="AJ14" s="3">
        <f t="shared" si="13"/>
        <v>-9825464285.9374695</v>
      </c>
    </row>
    <row r="15" spans="1:40">
      <c r="D15" s="9"/>
      <c r="F15" s="9"/>
      <c r="G15" s="9"/>
      <c r="H15" s="9"/>
      <c r="I15" s="9"/>
      <c r="J15" s="9"/>
      <c r="K15" s="9"/>
      <c r="L15" s="1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40">
      <c r="D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29" ht="115.2">
      <c r="D17" s="9"/>
      <c r="E17" s="4" t="s">
        <v>7</v>
      </c>
      <c r="F17" s="6">
        <v>0.05</v>
      </c>
      <c r="G17" s="4" t="s">
        <v>8</v>
      </c>
      <c r="H17" s="6">
        <v>0.1</v>
      </c>
      <c r="I17" s="4" t="s">
        <v>9</v>
      </c>
      <c r="J17">
        <v>100</v>
      </c>
      <c r="K17" s="4" t="s">
        <v>17</v>
      </c>
      <c r="L17">
        <v>36</v>
      </c>
      <c r="M17" s="4" t="s">
        <v>27</v>
      </c>
      <c r="N17">
        <v>48</v>
      </c>
      <c r="O17" s="4" t="s">
        <v>25</v>
      </c>
      <c r="P17" s="6">
        <v>0.08</v>
      </c>
      <c r="Q17" s="4" t="s">
        <v>26</v>
      </c>
      <c r="R17" s="4"/>
      <c r="S17" s="4">
        <f>0.6*N17</f>
        <v>28.799999999999997</v>
      </c>
      <c r="U17" s="4" t="s">
        <v>33</v>
      </c>
      <c r="V17" s="6">
        <v>0.1</v>
      </c>
      <c r="W17" s="4" t="s">
        <v>35</v>
      </c>
      <c r="X17">
        <v>40000000</v>
      </c>
      <c r="Y17" t="s">
        <v>42</v>
      </c>
      <c r="Z17" s="6">
        <v>0.1</v>
      </c>
      <c r="AB17" s="4" t="s">
        <v>104</v>
      </c>
      <c r="AC17" s="21">
        <v>-346262086.63295102</v>
      </c>
    </row>
    <row r="18" spans="1:29" ht="43.2">
      <c r="D18" s="9"/>
      <c r="I18" t="s">
        <v>10</v>
      </c>
      <c r="J18" s="7">
        <v>1.4999999999999999E-2</v>
      </c>
      <c r="K18" t="s">
        <v>18</v>
      </c>
      <c r="L18" s="7">
        <v>1.4999999999999999E-2</v>
      </c>
      <c r="M18" s="4" t="s">
        <v>28</v>
      </c>
      <c r="N18" s="7">
        <v>1.4999999999999999E-2</v>
      </c>
    </row>
    <row r="19" spans="1:29" ht="43.2">
      <c r="D19" s="9"/>
      <c r="F19" s="4" t="s">
        <v>29</v>
      </c>
      <c r="G19">
        <f>G14/G4</f>
        <v>2.5937424601000028</v>
      </c>
    </row>
    <row r="20" spans="1:29">
      <c r="D20" s="9"/>
    </row>
    <row r="21" spans="1:29">
      <c r="A21" s="4">
        <v>0</v>
      </c>
      <c r="D21" s="9"/>
    </row>
    <row r="22" spans="1:29">
      <c r="D22" s="9"/>
    </row>
    <row r="23" spans="1:29">
      <c r="D23" s="9"/>
    </row>
    <row r="24" spans="1:29">
      <c r="D24" s="9"/>
    </row>
    <row r="25" spans="1:29">
      <c r="D25" s="9"/>
    </row>
    <row r="26" spans="1:29">
      <c r="D26" s="9"/>
    </row>
    <row r="27" spans="1:29">
      <c r="D27" s="9"/>
    </row>
    <row r="28" spans="1:29">
      <c r="D28" s="9"/>
    </row>
    <row r="29" spans="1:29">
      <c r="D29" s="9"/>
    </row>
    <row r="30" spans="1:29">
      <c r="D30" s="9"/>
    </row>
    <row r="31" spans="1:29">
      <c r="D31" s="9"/>
    </row>
    <row r="32" spans="1:29">
      <c r="D32" s="9"/>
    </row>
    <row r="33" spans="1:4">
      <c r="D33" s="9"/>
    </row>
    <row r="34" spans="1:4" ht="28.8">
      <c r="A34" s="4" t="s">
        <v>31</v>
      </c>
      <c r="D34" s="9"/>
    </row>
    <row r="35" spans="1:4">
      <c r="A35" t="s">
        <v>32</v>
      </c>
      <c r="D35" s="9"/>
    </row>
    <row r="36" spans="1:4">
      <c r="A36" t="s">
        <v>46</v>
      </c>
      <c r="D36" s="9"/>
    </row>
    <row r="37" spans="1:4">
      <c r="A37" t="s">
        <v>53</v>
      </c>
      <c r="D37" s="9"/>
    </row>
    <row r="38" spans="1:4">
      <c r="A38" t="s">
        <v>52</v>
      </c>
      <c r="D38" s="9"/>
    </row>
    <row r="39" spans="1:4">
      <c r="D39" s="9"/>
    </row>
    <row r="40" spans="1:4">
      <c r="D40" s="9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J4 N4 N6:N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J11"/>
    </sheetView>
  </sheetViews>
  <sheetFormatPr defaultRowHeight="14.4"/>
  <cols>
    <col min="6" max="6" width="10" bestFit="1" customWidth="1"/>
  </cols>
  <sheetData>
    <row r="1" spans="1:6">
      <c r="A1" s="18" t="s">
        <v>57</v>
      </c>
      <c r="B1" s="18"/>
      <c r="C1" s="18"/>
      <c r="D1" s="18"/>
      <c r="F1" s="45">
        <v>200000000</v>
      </c>
    </row>
    <row r="2" spans="1:6">
      <c r="A2" s="24" t="s">
        <v>58</v>
      </c>
      <c r="B2" s="24"/>
      <c r="C2" s="24"/>
      <c r="F2" s="46">
        <v>696324495</v>
      </c>
    </row>
    <row r="3" spans="1:6">
      <c r="A3" t="s">
        <v>59</v>
      </c>
      <c r="F3" s="47">
        <v>0.11</v>
      </c>
    </row>
    <row r="4" spans="1:6">
      <c r="A4" t="s">
        <v>61</v>
      </c>
      <c r="F4" s="45">
        <f>F2+F1</f>
        <v>896324495</v>
      </c>
    </row>
    <row r="5" spans="1:6">
      <c r="A5" t="s">
        <v>62</v>
      </c>
      <c r="F5" s="45">
        <f>F4*(1-F3)^10</f>
        <v>279489393.69458383</v>
      </c>
    </row>
    <row r="6" spans="1:6">
      <c r="A6" t="s">
        <v>65</v>
      </c>
      <c r="F6" s="45">
        <f>F1+F2</f>
        <v>896324495</v>
      </c>
    </row>
    <row r="7" spans="1:6">
      <c r="A7" t="s">
        <v>63</v>
      </c>
      <c r="F7" s="45">
        <f>F6*(1-F8)^10</f>
        <v>8.328684669338598E-4</v>
      </c>
    </row>
    <row r="8" spans="1:6">
      <c r="A8" t="s">
        <v>64</v>
      </c>
      <c r="F8" s="47">
        <v>0.93736586046883108</v>
      </c>
    </row>
    <row r="10" spans="1:6">
      <c r="F10" s="6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9"/>
  <sheetViews>
    <sheetView tabSelected="1" topLeftCell="A7" workbookViewId="0">
      <selection activeCell="G13" sqref="G13"/>
    </sheetView>
  </sheetViews>
  <sheetFormatPr defaultRowHeight="14.4"/>
  <cols>
    <col min="2" max="2" width="26.33203125" customWidth="1"/>
    <col min="3" max="3" width="18.88671875" customWidth="1"/>
    <col min="4" max="4" width="16.109375" customWidth="1"/>
    <col min="5" max="5" width="19.33203125" customWidth="1"/>
    <col min="6" max="6" width="18.5546875" customWidth="1"/>
    <col min="7" max="7" width="33.88671875" customWidth="1"/>
    <col min="8" max="9" width="15.6640625" bestFit="1" customWidth="1"/>
    <col min="10" max="10" width="19.5546875" customWidth="1"/>
    <col min="11" max="11" width="16.77734375" customWidth="1"/>
    <col min="12" max="12" width="11" bestFit="1" customWidth="1"/>
    <col min="13" max="13" width="20.33203125" customWidth="1"/>
    <col min="14" max="14" width="15.6640625" bestFit="1" customWidth="1"/>
    <col min="15" max="15" width="10" bestFit="1" customWidth="1"/>
    <col min="17" max="17" width="10" bestFit="1" customWidth="1"/>
    <col min="18" max="18" width="12" bestFit="1" customWidth="1"/>
    <col min="20" max="21" width="15.6640625" bestFit="1" customWidth="1"/>
    <col min="22" max="22" width="15.6640625" customWidth="1"/>
    <col min="23" max="23" width="15.6640625" bestFit="1" customWidth="1"/>
    <col min="24" max="24" width="17.33203125" customWidth="1"/>
    <col min="25" max="25" width="15.6640625" bestFit="1" customWidth="1"/>
    <col min="26" max="26" width="20.109375" customWidth="1"/>
    <col min="27" max="27" width="23.109375" customWidth="1"/>
    <col min="28" max="28" width="24.109375" customWidth="1"/>
    <col min="29" max="29" width="18.21875" customWidth="1"/>
  </cols>
  <sheetData>
    <row r="1" spans="1:29">
      <c r="A1" s="18" t="s">
        <v>69</v>
      </c>
      <c r="B1" s="18"/>
      <c r="C1" s="18"/>
      <c r="D1" s="18"/>
    </row>
    <row r="2" spans="1:29">
      <c r="A2" s="24" t="s">
        <v>31</v>
      </c>
      <c r="B2" s="24"/>
      <c r="C2" s="24"/>
      <c r="F2" s="13"/>
    </row>
    <row r="3" spans="1:29">
      <c r="A3" t="s">
        <v>70</v>
      </c>
      <c r="F3" s="5"/>
    </row>
    <row r="4" spans="1:29" ht="28.8">
      <c r="A4" t="s">
        <v>71</v>
      </c>
      <c r="F4" s="6"/>
      <c r="J4" t="s">
        <v>87</v>
      </c>
      <c r="K4">
        <f>36*(1+I7)^10</f>
        <v>41.779469700905345</v>
      </c>
      <c r="L4" s="4" t="s">
        <v>98</v>
      </c>
      <c r="M4" s="4"/>
      <c r="N4" s="4" t="s">
        <v>99</v>
      </c>
      <c r="P4" s="6">
        <v>0.05</v>
      </c>
    </row>
    <row r="5" spans="1:29" ht="43.2">
      <c r="J5" s="4" t="s">
        <v>88</v>
      </c>
      <c r="K5">
        <f>48*(1+I7)^10</f>
        <v>55.705959601207127</v>
      </c>
      <c r="L5" s="4" t="s">
        <v>102</v>
      </c>
      <c r="M5" s="4"/>
      <c r="N5" s="6">
        <v>0.1</v>
      </c>
    </row>
    <row r="6" spans="1:29" ht="28.8">
      <c r="A6" t="s">
        <v>72</v>
      </c>
      <c r="J6" s="4" t="s">
        <v>91</v>
      </c>
      <c r="K6">
        <v>28.8</v>
      </c>
      <c r="M6" s="4" t="s">
        <v>110</v>
      </c>
      <c r="N6">
        <v>50</v>
      </c>
    </row>
    <row r="7" spans="1:29">
      <c r="A7" t="s">
        <v>75</v>
      </c>
      <c r="F7" s="6">
        <v>0.1</v>
      </c>
      <c r="G7" t="s">
        <v>10</v>
      </c>
      <c r="I7" s="7">
        <v>1.4999999999999999E-2</v>
      </c>
      <c r="J7" t="s">
        <v>66</v>
      </c>
      <c r="K7" s="6">
        <v>0.11</v>
      </c>
    </row>
    <row r="8" spans="1:29">
      <c r="A8" t="s">
        <v>84</v>
      </c>
      <c r="F8" s="6">
        <v>7.0000000000000007E-2</v>
      </c>
    </row>
    <row r="9" spans="1:29">
      <c r="A9" t="s">
        <v>76</v>
      </c>
      <c r="F9" s="6">
        <v>7.0000000000000007E-2</v>
      </c>
    </row>
    <row r="10" spans="1:29">
      <c r="A10" t="s">
        <v>89</v>
      </c>
      <c r="F10" s="6">
        <v>0.08</v>
      </c>
    </row>
    <row r="11" spans="1:29">
      <c r="A11" t="s">
        <v>93</v>
      </c>
      <c r="F11" s="6"/>
    </row>
    <row r="12" spans="1:29">
      <c r="A12" t="s">
        <v>73</v>
      </c>
      <c r="F12" s="6"/>
    </row>
    <row r="13" spans="1:29" ht="72">
      <c r="B13" s="4" t="s">
        <v>74</v>
      </c>
      <c r="C13" s="4" t="s">
        <v>80</v>
      </c>
      <c r="D13" s="4" t="s">
        <v>77</v>
      </c>
      <c r="E13" s="48" t="s">
        <v>78</v>
      </c>
      <c r="F13" s="4" t="s">
        <v>79</v>
      </c>
      <c r="G13" s="4" t="s">
        <v>81</v>
      </c>
      <c r="H13" s="4" t="s">
        <v>82</v>
      </c>
      <c r="I13" s="48" t="s">
        <v>83</v>
      </c>
      <c r="J13" s="16" t="s">
        <v>85</v>
      </c>
      <c r="K13" s="19" t="s">
        <v>86</v>
      </c>
      <c r="L13" s="4" t="s">
        <v>90</v>
      </c>
      <c r="M13" s="4" t="s">
        <v>109</v>
      </c>
      <c r="N13" s="19" t="s">
        <v>111</v>
      </c>
      <c r="O13" s="19" t="s">
        <v>92</v>
      </c>
      <c r="P13" s="4" t="s">
        <v>94</v>
      </c>
      <c r="Q13" s="19" t="s">
        <v>95</v>
      </c>
      <c r="R13" s="4" t="s">
        <v>97</v>
      </c>
      <c r="T13" s="4" t="s">
        <v>100</v>
      </c>
      <c r="U13" s="4" t="s">
        <v>96</v>
      </c>
      <c r="V13" s="4"/>
      <c r="W13" s="19" t="s">
        <v>51</v>
      </c>
      <c r="X13" s="19"/>
      <c r="Y13" s="4" t="s">
        <v>101</v>
      </c>
      <c r="Z13" s="4" t="s">
        <v>114</v>
      </c>
      <c r="AA13" s="4" t="s">
        <v>103</v>
      </c>
      <c r="AB13" s="4" t="s">
        <v>105</v>
      </c>
    </row>
    <row r="14" spans="1:29">
      <c r="A14">
        <v>1</v>
      </c>
      <c r="B14">
        <v>73300258</v>
      </c>
      <c r="C14">
        <f>B14*100</f>
        <v>7330025800</v>
      </c>
      <c r="D14">
        <f>C14*(1+$F$8)</f>
        <v>7843127606</v>
      </c>
      <c r="E14">
        <f>D14*(1+$I$7)</f>
        <v>7960774520.0899992</v>
      </c>
      <c r="F14">
        <v>77812273</v>
      </c>
      <c r="G14" s="5">
        <f>F14*100</f>
        <v>7781227300</v>
      </c>
      <c r="H14" s="5">
        <f>G14*(1+$F$8)</f>
        <v>8325913211.000001</v>
      </c>
      <c r="I14" s="23">
        <f>H14*(1+$I$7)</f>
        <v>8450801909.165</v>
      </c>
      <c r="J14" s="17">
        <f>B14*K4*(1+F8)</f>
        <v>3276817121.7521129</v>
      </c>
      <c r="K14" s="20">
        <f>F14*K5*(1+F9)</f>
        <v>4638029849.7512274</v>
      </c>
      <c r="L14">
        <v>999502314</v>
      </c>
      <c r="M14" s="5">
        <f>L14*$N$6</f>
        <v>49975115700</v>
      </c>
      <c r="N14" s="22">
        <f>L14*$K$6</f>
        <v>28785666643.200001</v>
      </c>
      <c r="O14" s="20">
        <v>500000000</v>
      </c>
      <c r="P14">
        <v>30000000</v>
      </c>
      <c r="Q14" s="20">
        <v>100000000</v>
      </c>
      <c r="R14">
        <f>T14*$P$4</f>
        <v>3319334606.46275</v>
      </c>
      <c r="T14" s="5">
        <f>E14+I14+M14</f>
        <v>66386692129.254997</v>
      </c>
      <c r="U14" s="5">
        <f>T14+R14</f>
        <v>69706026735.717743</v>
      </c>
      <c r="V14" s="5"/>
      <c r="W14" s="22">
        <f>J14+K14+N14+O14+Q14</f>
        <v>37300513614.703339</v>
      </c>
      <c r="X14" s="22">
        <f>W14-P14</f>
        <v>37270513614.703339</v>
      </c>
      <c r="Y14" s="5">
        <f>U14-X14</f>
        <v>32435513121.014404</v>
      </c>
      <c r="Z14" s="5">
        <f>U14*(1-$N$5)</f>
        <v>62735424062.145973</v>
      </c>
      <c r="AA14" s="5">
        <f>Y14-Z14</f>
        <v>-30299910941.131569</v>
      </c>
      <c r="AB14" s="5">
        <f>AA14*(1-$K$7)^A14</f>
        <v>-26966920737.607098</v>
      </c>
      <c r="AC14">
        <f>AA14*(1-$B$39)^A14</f>
        <v>-1.3455863508374386E-5</v>
      </c>
    </row>
    <row r="15" spans="1:29">
      <c r="A15">
        <v>2</v>
      </c>
      <c r="B15">
        <f>B14*(1+$F$7)</f>
        <v>80630283.800000012</v>
      </c>
      <c r="C15">
        <f t="shared" ref="C15:C33" si="0">B15*100</f>
        <v>8063028380.000001</v>
      </c>
      <c r="D15">
        <f t="shared" ref="D15:D33" si="1">C15*(1+$F$8)</f>
        <v>8627440366.6000023</v>
      </c>
      <c r="E15">
        <f t="shared" ref="E15:E33" si="2">D15*(1+$I$7)</f>
        <v>8756851972.0990009</v>
      </c>
      <c r="F15">
        <f>F14*(1+$F$8)</f>
        <v>83259132.109999999</v>
      </c>
      <c r="G15" s="5">
        <f t="shared" ref="G15:G33" si="3">F15*100</f>
        <v>8325913211</v>
      </c>
      <c r="H15" s="5">
        <f t="shared" ref="H15:H33" si="4">G15*(1+$F$8)</f>
        <v>8908727135.7700005</v>
      </c>
      <c r="I15" s="23">
        <f t="shared" ref="I15:I33" si="5">H15*(1+$I$7)</f>
        <v>9042358042.8065491</v>
      </c>
      <c r="J15" s="17">
        <f>J14*(1+$F$9)</f>
        <v>3506194320.2747612</v>
      </c>
      <c r="K15" s="22">
        <f>K14*(1+$F$9)</f>
        <v>4962691939.2338133</v>
      </c>
      <c r="L15">
        <f>L14*(1+$F$10)</f>
        <v>1079462499.1200001</v>
      </c>
      <c r="M15" s="5">
        <f t="shared" ref="M15:M33" si="6">L15*$N$6</f>
        <v>53973124956.000008</v>
      </c>
      <c r="N15" s="22">
        <f t="shared" ref="N15:N33" si="7">L15*$K$6</f>
        <v>31088519974.656006</v>
      </c>
      <c r="O15" s="20">
        <f>O14*(1+$I$7)</f>
        <v>507499999.99999994</v>
      </c>
      <c r="P15">
        <v>30000000</v>
      </c>
      <c r="Q15" s="20">
        <f>Q14*(1+$I$7)</f>
        <v>101499999.99999999</v>
      </c>
      <c r="R15">
        <f t="shared" ref="R15:R33" si="8">T15*$P$4</f>
        <v>3588616748.5452776</v>
      </c>
      <c r="T15" s="5">
        <f t="shared" ref="T15:T33" si="9">E15+I15+M15</f>
        <v>71772334970.905548</v>
      </c>
      <c r="U15" s="5">
        <f t="shared" ref="U15:U33" si="10">T15+R15</f>
        <v>75360951719.450821</v>
      </c>
      <c r="V15" s="5"/>
      <c r="W15" s="22">
        <f t="shared" ref="W15:W33" si="11">J15+K15+N15+O15+Q15</f>
        <v>40166406234.164581</v>
      </c>
      <c r="X15" s="22">
        <f t="shared" ref="X15:X33" si="12">W15-P15</f>
        <v>40136406234.164581</v>
      </c>
      <c r="Y15" s="5">
        <f t="shared" ref="Y15:Y33" si="13">U15-X15</f>
        <v>35224545485.28624</v>
      </c>
      <c r="Z15" s="5">
        <f t="shared" ref="Z15:Z33" si="14">U15*(1-$N$5)</f>
        <v>67824856547.505737</v>
      </c>
      <c r="AA15" s="5">
        <f t="shared" ref="AA15:AA33" si="15">Y15-Z15</f>
        <v>-32600311062.219498</v>
      </c>
      <c r="AB15" s="5">
        <f t="shared" ref="AB15:AB33" si="16">AA15*(1-$K$7)^A15</f>
        <v>-25822706392.384064</v>
      </c>
      <c r="AC15">
        <f t="shared" ref="AC15:AC33" si="17">AA15*(1-$B$39)^A15</f>
        <v>-6.4292777237572595E-21</v>
      </c>
    </row>
    <row r="16" spans="1:29">
      <c r="A16">
        <v>3</v>
      </c>
      <c r="B16">
        <f t="shared" ref="B16:B33" si="18">B15*(1+$F$7)</f>
        <v>88693312.180000022</v>
      </c>
      <c r="C16">
        <f t="shared" si="0"/>
        <v>8869331218.0000019</v>
      </c>
      <c r="D16">
        <f t="shared" si="1"/>
        <v>9490184403.2600021</v>
      </c>
      <c r="E16">
        <f t="shared" si="2"/>
        <v>9632537169.3089008</v>
      </c>
      <c r="F16">
        <f t="shared" ref="F16:F33" si="19">F15*(1+$F$8)</f>
        <v>89087271.357700005</v>
      </c>
      <c r="G16" s="5">
        <f t="shared" si="3"/>
        <v>8908727135.7700005</v>
      </c>
      <c r="H16" s="5">
        <f t="shared" si="4"/>
        <v>9532338035.273901</v>
      </c>
      <c r="I16" s="23">
        <f t="shared" si="5"/>
        <v>9675323105.803009</v>
      </c>
      <c r="J16" s="17">
        <f t="shared" ref="J16:J33" si="20">J15*(1+$F$9)</f>
        <v>3751627922.6939945</v>
      </c>
      <c r="K16" s="22">
        <f t="shared" ref="K16:K33" si="21">K15*(1+$F$9)</f>
        <v>5310080374.9801807</v>
      </c>
      <c r="L16">
        <f t="shared" ref="L16:L33" si="22">L15*(1+$F$10)</f>
        <v>1165819499.0496001</v>
      </c>
      <c r="M16" s="5">
        <f t="shared" si="6"/>
        <v>58290974952.480003</v>
      </c>
      <c r="N16" s="22">
        <f t="shared" si="7"/>
        <v>33575601572.628483</v>
      </c>
      <c r="O16" s="20">
        <f t="shared" ref="O16:O33" si="23">O15*(1+$I$7)</f>
        <v>515112499.99999988</v>
      </c>
      <c r="P16">
        <v>30000000</v>
      </c>
      <c r="Q16" s="20">
        <f t="shared" ref="Q16:Q33" si="24">Q15*(1+$I$7)</f>
        <v>103022499.99999997</v>
      </c>
      <c r="R16">
        <f t="shared" si="8"/>
        <v>3879941761.3795962</v>
      </c>
      <c r="T16" s="5">
        <f t="shared" si="9"/>
        <v>77598835227.591919</v>
      </c>
      <c r="U16" s="5">
        <f t="shared" si="10"/>
        <v>81478776988.971512</v>
      </c>
      <c r="V16" s="5"/>
      <c r="W16" s="22">
        <f t="shared" si="11"/>
        <v>43255444870.302658</v>
      </c>
      <c r="X16" s="22">
        <f t="shared" si="12"/>
        <v>43225444870.302658</v>
      </c>
      <c r="Y16" s="5">
        <f t="shared" si="13"/>
        <v>38253332118.668854</v>
      </c>
      <c r="Z16" s="5">
        <f t="shared" si="14"/>
        <v>73330899290.074356</v>
      </c>
      <c r="AA16" s="5">
        <f t="shared" si="15"/>
        <v>-35077567171.405502</v>
      </c>
      <c r="AB16" s="5">
        <f t="shared" si="16"/>
        <v>-24728597451.258568</v>
      </c>
      <c r="AC16">
        <f t="shared" si="17"/>
        <v>-3.0721338130963217E-36</v>
      </c>
    </row>
    <row r="17" spans="1:29">
      <c r="A17">
        <v>4</v>
      </c>
      <c r="B17">
        <f t="shared" si="18"/>
        <v>97562643.398000032</v>
      </c>
      <c r="C17">
        <f t="shared" si="0"/>
        <v>9756264339.8000031</v>
      </c>
      <c r="D17">
        <f t="shared" si="1"/>
        <v>10439202843.586004</v>
      </c>
      <c r="E17">
        <f t="shared" si="2"/>
        <v>10595790886.239794</v>
      </c>
      <c r="F17">
        <f t="shared" si="19"/>
        <v>95323380.352739006</v>
      </c>
      <c r="G17" s="5">
        <f t="shared" si="3"/>
        <v>9532338035.273901</v>
      </c>
      <c r="H17" s="5">
        <f t="shared" si="4"/>
        <v>10199601697.743074</v>
      </c>
      <c r="I17" s="23">
        <f t="shared" si="5"/>
        <v>10352595723.209219</v>
      </c>
      <c r="J17" s="17">
        <f t="shared" si="20"/>
        <v>4014241877.2825742</v>
      </c>
      <c r="K17" s="22">
        <f t="shared" si="21"/>
        <v>5681786001.2287941</v>
      </c>
      <c r="L17">
        <f t="shared" si="22"/>
        <v>1259085058.9735682</v>
      </c>
      <c r="M17" s="5">
        <f t="shared" si="6"/>
        <v>62954252948.678413</v>
      </c>
      <c r="N17" s="22">
        <f t="shared" si="7"/>
        <v>36261649698.438766</v>
      </c>
      <c r="O17" s="20">
        <f t="shared" si="23"/>
        <v>522839187.49999982</v>
      </c>
      <c r="P17">
        <v>30000000</v>
      </c>
      <c r="Q17" s="20">
        <f t="shared" si="24"/>
        <v>104567837.49999996</v>
      </c>
      <c r="R17">
        <f t="shared" si="8"/>
        <v>4195131977.9063716</v>
      </c>
      <c r="T17" s="5">
        <f t="shared" si="9"/>
        <v>83902639558.127426</v>
      </c>
      <c r="U17" s="5">
        <f t="shared" si="10"/>
        <v>88097771536.033798</v>
      </c>
      <c r="V17" s="5"/>
      <c r="W17" s="22">
        <f t="shared" si="11"/>
        <v>46585084601.950134</v>
      </c>
      <c r="X17" s="22">
        <f t="shared" si="12"/>
        <v>46555084601.950134</v>
      </c>
      <c r="Y17" s="5">
        <f t="shared" si="13"/>
        <v>41542686934.083664</v>
      </c>
      <c r="Z17" s="5">
        <f t="shared" si="14"/>
        <v>79287994382.43042</v>
      </c>
      <c r="AA17" s="5">
        <f t="shared" si="15"/>
        <v>-37745307448.346756</v>
      </c>
      <c r="AB17" s="5">
        <f t="shared" si="16"/>
        <v>-23682251765.432674</v>
      </c>
      <c r="AC17">
        <f t="shared" si="17"/>
        <v>-1.4680601557414238E-51</v>
      </c>
    </row>
    <row r="18" spans="1:29">
      <c r="A18">
        <v>5</v>
      </c>
      <c r="B18">
        <f t="shared" si="18"/>
        <v>107318907.73780005</v>
      </c>
      <c r="C18">
        <f t="shared" si="0"/>
        <v>10731890773.780005</v>
      </c>
      <c r="D18">
        <f t="shared" si="1"/>
        <v>11483123127.944605</v>
      </c>
      <c r="E18">
        <f t="shared" si="2"/>
        <v>11655369974.863773</v>
      </c>
      <c r="F18">
        <f t="shared" si="19"/>
        <v>101996016.97743075</v>
      </c>
      <c r="G18" s="5">
        <f t="shared" si="3"/>
        <v>10199601697.743074</v>
      </c>
      <c r="H18" s="5">
        <f t="shared" si="4"/>
        <v>10913573816.585091</v>
      </c>
      <c r="I18" s="23">
        <f t="shared" si="5"/>
        <v>11077277423.833866</v>
      </c>
      <c r="J18" s="17">
        <f t="shared" si="20"/>
        <v>4295238808.6923542</v>
      </c>
      <c r="K18" s="22">
        <f t="shared" si="21"/>
        <v>6079511021.3148098</v>
      </c>
      <c r="L18">
        <f t="shared" si="22"/>
        <v>1359811863.6914537</v>
      </c>
      <c r="M18" s="5">
        <f t="shared" si="6"/>
        <v>67990593184.572685</v>
      </c>
      <c r="N18" s="22">
        <f t="shared" si="7"/>
        <v>39162581674.313866</v>
      </c>
      <c r="O18" s="20">
        <f t="shared" si="23"/>
        <v>530681775.31249976</v>
      </c>
      <c r="P18">
        <v>30000000</v>
      </c>
      <c r="Q18" s="20">
        <f t="shared" si="24"/>
        <v>106136355.06249994</v>
      </c>
      <c r="R18">
        <f t="shared" si="8"/>
        <v>4536162029.163516</v>
      </c>
      <c r="T18" s="5">
        <f t="shared" si="9"/>
        <v>90723240583.270325</v>
      </c>
      <c r="U18" s="5">
        <f t="shared" si="10"/>
        <v>95259402612.433838</v>
      </c>
      <c r="V18" s="5"/>
      <c r="W18" s="22">
        <f t="shared" si="11"/>
        <v>50174149634.69603</v>
      </c>
      <c r="X18" s="22">
        <f t="shared" si="12"/>
        <v>50144149634.69603</v>
      </c>
      <c r="Y18" s="5">
        <f t="shared" si="13"/>
        <v>45115252977.737808</v>
      </c>
      <c r="Z18" s="5">
        <f t="shared" si="14"/>
        <v>85733462351.19046</v>
      </c>
      <c r="AA18" s="5">
        <f t="shared" si="15"/>
        <v>-40618209373.452652</v>
      </c>
      <c r="AB18" s="5">
        <f t="shared" si="16"/>
        <v>-22681449585.328869</v>
      </c>
      <c r="AC18">
        <f t="shared" si="17"/>
        <v>-7.0157140511050843E-67</v>
      </c>
    </row>
    <row r="19" spans="1:29">
      <c r="A19">
        <v>6</v>
      </c>
      <c r="B19">
        <f t="shared" si="18"/>
        <v>118050798.51158006</v>
      </c>
      <c r="C19">
        <f t="shared" si="0"/>
        <v>11805079851.158007</v>
      </c>
      <c r="D19">
        <f t="shared" si="1"/>
        <v>12631435440.739067</v>
      </c>
      <c r="E19">
        <f t="shared" si="2"/>
        <v>12820906972.350151</v>
      </c>
      <c r="F19">
        <f t="shared" si="19"/>
        <v>109135738.16585091</v>
      </c>
      <c r="G19" s="5">
        <f t="shared" si="3"/>
        <v>10913573816.585091</v>
      </c>
      <c r="H19" s="5">
        <f t="shared" si="4"/>
        <v>11677523983.746048</v>
      </c>
      <c r="I19" s="23">
        <f t="shared" si="5"/>
        <v>11852686843.502237</v>
      </c>
      <c r="J19" s="17">
        <f t="shared" si="20"/>
        <v>4595905525.3008194</v>
      </c>
      <c r="K19" s="22">
        <f t="shared" si="21"/>
        <v>6505076792.8068466</v>
      </c>
      <c r="L19">
        <f t="shared" si="22"/>
        <v>1468596812.7867701</v>
      </c>
      <c r="M19" s="5">
        <f t="shared" si="6"/>
        <v>73429840639.338501</v>
      </c>
      <c r="N19" s="22">
        <f t="shared" si="7"/>
        <v>42295588208.25898</v>
      </c>
      <c r="O19" s="20">
        <f t="shared" si="23"/>
        <v>538642001.94218719</v>
      </c>
      <c r="P19">
        <v>30000000</v>
      </c>
      <c r="Q19" s="20">
        <f t="shared" si="24"/>
        <v>107728400.38843744</v>
      </c>
      <c r="R19">
        <f t="shared" si="8"/>
        <v>4905171722.7595444</v>
      </c>
      <c r="T19" s="5">
        <f t="shared" si="9"/>
        <v>98103434455.190887</v>
      </c>
      <c r="U19" s="5">
        <f t="shared" si="10"/>
        <v>103008606177.95044</v>
      </c>
      <c r="V19" s="5"/>
      <c r="W19" s="22">
        <f t="shared" si="11"/>
        <v>54042940928.697266</v>
      </c>
      <c r="X19" s="22">
        <f t="shared" si="12"/>
        <v>54012940928.697266</v>
      </c>
      <c r="Y19" s="5">
        <f t="shared" si="13"/>
        <v>48995665249.253174</v>
      </c>
      <c r="Z19" s="5">
        <f t="shared" si="14"/>
        <v>92707745560.155396</v>
      </c>
      <c r="AA19" s="5">
        <f t="shared" si="15"/>
        <v>-43712080310.902222</v>
      </c>
      <c r="AB19" s="5">
        <f t="shared" si="16"/>
        <v>-21724086103.503101</v>
      </c>
      <c r="AC19">
        <f t="shared" si="17"/>
        <v>-3.3529169970128049E-82</v>
      </c>
    </row>
    <row r="20" spans="1:29">
      <c r="A20">
        <v>7</v>
      </c>
      <c r="B20">
        <f t="shared" si="18"/>
        <v>129855878.36273809</v>
      </c>
      <c r="C20">
        <f t="shared" si="0"/>
        <v>12985587836.273809</v>
      </c>
      <c r="D20">
        <f t="shared" si="1"/>
        <v>13894578984.812977</v>
      </c>
      <c r="E20">
        <f t="shared" si="2"/>
        <v>14102997669.585171</v>
      </c>
      <c r="F20">
        <f t="shared" si="19"/>
        <v>116775239.83746047</v>
      </c>
      <c r="G20" s="5">
        <f t="shared" si="3"/>
        <v>11677523983.746048</v>
      </c>
      <c r="H20" s="5">
        <f t="shared" si="4"/>
        <v>12494950662.608273</v>
      </c>
      <c r="I20" s="23">
        <f t="shared" si="5"/>
        <v>12682374922.547396</v>
      </c>
      <c r="J20" s="17">
        <f t="shared" si="20"/>
        <v>4917618912.0718775</v>
      </c>
      <c r="K20" s="22">
        <f t="shared" si="21"/>
        <v>6960432168.3033266</v>
      </c>
      <c r="L20">
        <f t="shared" si="22"/>
        <v>1586084557.8097119</v>
      </c>
      <c r="M20" s="5">
        <f t="shared" si="6"/>
        <v>79304227890.485596</v>
      </c>
      <c r="N20" s="22">
        <f t="shared" si="7"/>
        <v>45679235264.919708</v>
      </c>
      <c r="O20" s="20">
        <f t="shared" si="23"/>
        <v>546721631.97131991</v>
      </c>
      <c r="P20">
        <v>30000000</v>
      </c>
      <c r="Q20" s="20">
        <f t="shared" si="24"/>
        <v>109344326.39426398</v>
      </c>
      <c r="R20">
        <f t="shared" si="8"/>
        <v>5304480024.130909</v>
      </c>
      <c r="T20" s="5">
        <f t="shared" si="9"/>
        <v>106089600482.61816</v>
      </c>
      <c r="U20" s="5">
        <f t="shared" si="10"/>
        <v>111394080506.74907</v>
      </c>
      <c r="V20" s="5"/>
      <c r="W20" s="22">
        <f t="shared" si="11"/>
        <v>58213352303.6605</v>
      </c>
      <c r="X20" s="22">
        <f t="shared" si="12"/>
        <v>58183352303.6605</v>
      </c>
      <c r="Y20" s="5">
        <f t="shared" si="13"/>
        <v>53210728203.08857</v>
      </c>
      <c r="Z20" s="5">
        <f t="shared" si="14"/>
        <v>100254672456.07416</v>
      </c>
      <c r="AA20" s="5">
        <f t="shared" si="15"/>
        <v>-47043944252.985588</v>
      </c>
      <c r="AB20" s="5">
        <f t="shared" si="16"/>
        <v>-20808164530.604031</v>
      </c>
      <c r="AC20">
        <f t="shared" si="17"/>
        <v>-1.602489802758359E-97</v>
      </c>
    </row>
    <row r="21" spans="1:29">
      <c r="A21">
        <v>8</v>
      </c>
      <c r="B21">
        <f t="shared" si="18"/>
        <v>142841466.19901192</v>
      </c>
      <c r="C21">
        <f t="shared" si="0"/>
        <v>14284146619.901192</v>
      </c>
      <c r="D21">
        <f t="shared" si="1"/>
        <v>15284036883.294275</v>
      </c>
      <c r="E21">
        <f t="shared" si="2"/>
        <v>15513297436.543688</v>
      </c>
      <c r="F21">
        <f t="shared" si="19"/>
        <v>124949506.62608272</v>
      </c>
      <c r="G21" s="5">
        <f t="shared" si="3"/>
        <v>12494950662.608273</v>
      </c>
      <c r="H21" s="5">
        <f t="shared" si="4"/>
        <v>13369597208.990852</v>
      </c>
      <c r="I21" s="23">
        <f t="shared" si="5"/>
        <v>13570141167.125713</v>
      </c>
      <c r="J21" s="17">
        <f t="shared" si="20"/>
        <v>5261852235.9169092</v>
      </c>
      <c r="K21" s="22">
        <f t="shared" si="21"/>
        <v>7447662420.0845594</v>
      </c>
      <c r="L21">
        <f t="shared" si="22"/>
        <v>1712971322.434489</v>
      </c>
      <c r="M21" s="5">
        <f t="shared" si="6"/>
        <v>85648566121.724457</v>
      </c>
      <c r="N21" s="22">
        <f t="shared" si="7"/>
        <v>49333574086.113281</v>
      </c>
      <c r="O21" s="20">
        <f t="shared" si="23"/>
        <v>554922456.45088971</v>
      </c>
      <c r="P21">
        <v>30000000</v>
      </c>
      <c r="Q21" s="20">
        <f t="shared" si="24"/>
        <v>110984491.29017793</v>
      </c>
      <c r="R21">
        <f t="shared" si="8"/>
        <v>5736600236.2696934</v>
      </c>
      <c r="T21" s="5">
        <f t="shared" si="9"/>
        <v>114732004725.39386</v>
      </c>
      <c r="U21" s="5">
        <f t="shared" si="10"/>
        <v>120468604961.66356</v>
      </c>
      <c r="V21" s="5"/>
      <c r="W21" s="22">
        <f t="shared" si="11"/>
        <v>62708995689.855812</v>
      </c>
      <c r="X21" s="22">
        <f t="shared" si="12"/>
        <v>62678995689.855812</v>
      </c>
      <c r="Y21" s="5">
        <f t="shared" si="13"/>
        <v>57789609271.807747</v>
      </c>
      <c r="Z21" s="5">
        <f t="shared" si="14"/>
        <v>108421744465.49721</v>
      </c>
      <c r="AA21" s="5">
        <f t="shared" si="15"/>
        <v>-50632135193.689461</v>
      </c>
      <c r="AB21" s="5">
        <f t="shared" si="16"/>
        <v>-19931789661.227234</v>
      </c>
      <c r="AC21">
        <f t="shared" si="17"/>
        <v>-7.6592811477593526E-113</v>
      </c>
    </row>
    <row r="22" spans="1:29">
      <c r="A22">
        <v>9</v>
      </c>
      <c r="B22">
        <f t="shared" si="18"/>
        <v>157125612.81891313</v>
      </c>
      <c r="C22">
        <f t="shared" si="0"/>
        <v>15712561281.891314</v>
      </c>
      <c r="D22">
        <f t="shared" si="1"/>
        <v>16812440571.623707</v>
      </c>
      <c r="E22">
        <f t="shared" si="2"/>
        <v>17064627180.198061</v>
      </c>
      <c r="F22">
        <f t="shared" si="19"/>
        <v>133695972.08990851</v>
      </c>
      <c r="G22" s="5">
        <f t="shared" si="3"/>
        <v>13369597208.99085</v>
      </c>
      <c r="H22" s="5">
        <f t="shared" si="4"/>
        <v>14305469013.620211</v>
      </c>
      <c r="I22" s="23">
        <f t="shared" si="5"/>
        <v>14520051048.824512</v>
      </c>
      <c r="J22" s="17">
        <f t="shared" si="20"/>
        <v>5630181892.4310932</v>
      </c>
      <c r="K22" s="22">
        <f t="shared" si="21"/>
        <v>7968998789.4904795</v>
      </c>
      <c r="L22">
        <f t="shared" si="22"/>
        <v>1850009028.2292483</v>
      </c>
      <c r="M22" s="5">
        <f t="shared" si="6"/>
        <v>92500451411.462418</v>
      </c>
      <c r="N22" s="22">
        <f t="shared" si="7"/>
        <v>53280260013.00235</v>
      </c>
      <c r="O22" s="20">
        <f t="shared" si="23"/>
        <v>563246293.29765296</v>
      </c>
      <c r="P22">
        <v>30000000</v>
      </c>
      <c r="Q22" s="20">
        <f t="shared" si="24"/>
        <v>112649258.65953058</v>
      </c>
      <c r="R22">
        <f t="shared" si="8"/>
        <v>6204256482.02425</v>
      </c>
      <c r="T22" s="5">
        <f t="shared" si="9"/>
        <v>124085129640.48499</v>
      </c>
      <c r="U22" s="5">
        <f t="shared" si="10"/>
        <v>130289386122.50923</v>
      </c>
      <c r="V22" s="5"/>
      <c r="W22" s="22">
        <f t="shared" si="11"/>
        <v>67555336246.881104</v>
      </c>
      <c r="X22" s="22">
        <f t="shared" si="12"/>
        <v>67525336246.881104</v>
      </c>
      <c r="Y22" s="5">
        <f t="shared" si="13"/>
        <v>62764049875.628128</v>
      </c>
      <c r="Z22" s="5">
        <f t="shared" si="14"/>
        <v>117260447510.25832</v>
      </c>
      <c r="AA22" s="5">
        <f t="shared" si="15"/>
        <v>-54496397634.630188</v>
      </c>
      <c r="AB22" s="5">
        <f t="shared" si="16"/>
        <v>-19093161890.282143</v>
      </c>
      <c r="AC22">
        <f t="shared" si="17"/>
        <v>-3.6610004761815775E-128</v>
      </c>
    </row>
    <row r="23" spans="1:29">
      <c r="A23">
        <v>10</v>
      </c>
      <c r="B23">
        <f t="shared" si="18"/>
        <v>172838174.10080445</v>
      </c>
      <c r="C23">
        <f t="shared" si="0"/>
        <v>17283817410.080444</v>
      </c>
      <c r="D23">
        <f t="shared" si="1"/>
        <v>18493684628.786076</v>
      </c>
      <c r="E23">
        <f t="shared" si="2"/>
        <v>18771089898.217865</v>
      </c>
      <c r="F23">
        <f t="shared" si="19"/>
        <v>143054690.13620213</v>
      </c>
      <c r="G23" s="5">
        <f t="shared" si="3"/>
        <v>14305469013.620213</v>
      </c>
      <c r="H23" s="5">
        <f t="shared" si="4"/>
        <v>15306851844.573627</v>
      </c>
      <c r="I23" s="23">
        <f t="shared" si="5"/>
        <v>15536454622.242229</v>
      </c>
      <c r="J23" s="17">
        <f t="shared" si="20"/>
        <v>6024294624.9012699</v>
      </c>
      <c r="K23" s="22">
        <f t="shared" si="21"/>
        <v>8526828704.7548132</v>
      </c>
      <c r="L23">
        <f t="shared" si="22"/>
        <v>1998009750.4875882</v>
      </c>
      <c r="M23" s="5">
        <f t="shared" si="6"/>
        <v>99900487524.37941</v>
      </c>
      <c r="N23" s="22">
        <f t="shared" si="7"/>
        <v>57542680814.042542</v>
      </c>
      <c r="O23" s="20">
        <f t="shared" si="23"/>
        <v>571694987.69711769</v>
      </c>
      <c r="P23">
        <v>30000000</v>
      </c>
      <c r="Q23" s="20">
        <f t="shared" si="24"/>
        <v>114338997.53942353</v>
      </c>
      <c r="R23">
        <f t="shared" si="8"/>
        <v>6710401602.2419758</v>
      </c>
      <c r="T23" s="5">
        <f t="shared" si="9"/>
        <v>134208032044.83951</v>
      </c>
      <c r="U23" s="5">
        <f t="shared" si="10"/>
        <v>140918433647.08148</v>
      </c>
      <c r="V23" s="5"/>
      <c r="W23" s="22">
        <f t="shared" si="11"/>
        <v>72779838128.935165</v>
      </c>
      <c r="X23" s="22">
        <f t="shared" si="12"/>
        <v>72749838128.935165</v>
      </c>
      <c r="Y23" s="5">
        <f t="shared" si="13"/>
        <v>68168595518.146317</v>
      </c>
      <c r="Z23" s="5">
        <f t="shared" si="14"/>
        <v>126826590282.37334</v>
      </c>
      <c r="AA23" s="5">
        <f t="shared" si="15"/>
        <v>-58657994764.22702</v>
      </c>
      <c r="AB23" s="5">
        <f t="shared" si="16"/>
        <v>-18290571643.915504</v>
      </c>
      <c r="AC23">
        <f t="shared" si="17"/>
        <v>-1.7499652462422514E-143</v>
      </c>
    </row>
    <row r="24" spans="1:29">
      <c r="A24">
        <v>11</v>
      </c>
      <c r="B24">
        <f t="shared" si="18"/>
        <v>190121991.51088491</v>
      </c>
      <c r="C24">
        <f t="shared" si="0"/>
        <v>19012199151.08849</v>
      </c>
      <c r="D24">
        <f t="shared" si="1"/>
        <v>20343053091.664684</v>
      </c>
      <c r="E24">
        <f t="shared" si="2"/>
        <v>20648198888.039654</v>
      </c>
      <c r="F24">
        <f t="shared" si="19"/>
        <v>153068518.44573629</v>
      </c>
      <c r="G24" s="5">
        <f t="shared" si="3"/>
        <v>15306851844.573629</v>
      </c>
      <c r="H24" s="5">
        <f t="shared" si="4"/>
        <v>16378331473.693785</v>
      </c>
      <c r="I24" s="23">
        <f t="shared" si="5"/>
        <v>16624006445.799191</v>
      </c>
      <c r="J24" s="17">
        <f t="shared" si="20"/>
        <v>6445995248.6443596</v>
      </c>
      <c r="K24" s="22">
        <f t="shared" si="21"/>
        <v>9123706714.0876503</v>
      </c>
      <c r="L24">
        <f t="shared" si="22"/>
        <v>2157850530.5265956</v>
      </c>
      <c r="M24" s="5">
        <f t="shared" si="6"/>
        <v>107892526526.32977</v>
      </c>
      <c r="N24" s="22">
        <f t="shared" si="7"/>
        <v>62146095279.165955</v>
      </c>
      <c r="O24" s="20">
        <f t="shared" si="23"/>
        <v>580270412.51257443</v>
      </c>
      <c r="P24">
        <v>30000000</v>
      </c>
      <c r="Q24" s="20">
        <f t="shared" si="24"/>
        <v>116054082.50251487</v>
      </c>
      <c r="R24">
        <f t="shared" si="8"/>
        <v>7258236593.0084305</v>
      </c>
      <c r="T24" s="5">
        <f t="shared" si="9"/>
        <v>145164731860.16861</v>
      </c>
      <c r="U24" s="5">
        <f t="shared" si="10"/>
        <v>152422968453.17703</v>
      </c>
      <c r="V24" s="5"/>
      <c r="W24" s="22">
        <f t="shared" si="11"/>
        <v>78412121736.913055</v>
      </c>
      <c r="X24" s="22">
        <f t="shared" si="12"/>
        <v>78382121736.913055</v>
      </c>
      <c r="Y24" s="5">
        <f t="shared" si="13"/>
        <v>74040846716.263977</v>
      </c>
      <c r="Z24" s="5">
        <f t="shared" si="14"/>
        <v>137180671607.85933</v>
      </c>
      <c r="AA24" s="5">
        <f t="shared" si="15"/>
        <v>-63139824891.595352</v>
      </c>
      <c r="AB24" s="5">
        <f t="shared" si="16"/>
        <v>-17522394192.151825</v>
      </c>
      <c r="AC24">
        <f t="shared" si="17"/>
        <v>-8.3651899229734691E-159</v>
      </c>
    </row>
    <row r="25" spans="1:29">
      <c r="A25">
        <v>12</v>
      </c>
      <c r="B25">
        <f t="shared" si="18"/>
        <v>209134190.66197342</v>
      </c>
      <c r="C25">
        <f t="shared" si="0"/>
        <v>20913419066.197342</v>
      </c>
      <c r="D25">
        <f t="shared" si="1"/>
        <v>22377358400.831158</v>
      </c>
      <c r="E25">
        <f t="shared" si="2"/>
        <v>22713018776.843624</v>
      </c>
      <c r="F25">
        <f t="shared" si="19"/>
        <v>163783314.73693785</v>
      </c>
      <c r="G25" s="5">
        <f t="shared" si="3"/>
        <v>16378331473.693785</v>
      </c>
      <c r="H25" s="5">
        <f t="shared" si="4"/>
        <v>17524814676.852352</v>
      </c>
      <c r="I25" s="23">
        <f t="shared" si="5"/>
        <v>17787686897.005135</v>
      </c>
      <c r="J25" s="17">
        <f t="shared" si="20"/>
        <v>6897214916.0494652</v>
      </c>
      <c r="K25" s="22">
        <f t="shared" si="21"/>
        <v>9762366184.0737858</v>
      </c>
      <c r="L25">
        <f t="shared" si="22"/>
        <v>2330478572.9687233</v>
      </c>
      <c r="M25" s="5">
        <f t="shared" si="6"/>
        <v>116523928648.43616</v>
      </c>
      <c r="N25" s="22">
        <f t="shared" si="7"/>
        <v>67117782901.499229</v>
      </c>
      <c r="O25" s="20">
        <f t="shared" si="23"/>
        <v>588974468.70026302</v>
      </c>
      <c r="P25">
        <v>30000000</v>
      </c>
      <c r="Q25" s="20">
        <f t="shared" si="24"/>
        <v>117794893.74005258</v>
      </c>
      <c r="R25">
        <f t="shared" si="8"/>
        <v>7851231716.1142464</v>
      </c>
      <c r="T25" s="5">
        <f t="shared" si="9"/>
        <v>157024634322.28491</v>
      </c>
      <c r="U25" s="5">
        <f t="shared" si="10"/>
        <v>164875866038.39917</v>
      </c>
      <c r="V25" s="5"/>
      <c r="W25" s="22">
        <f t="shared" si="11"/>
        <v>84484133364.06279</v>
      </c>
      <c r="X25" s="22">
        <f t="shared" si="12"/>
        <v>84454133364.06279</v>
      </c>
      <c r="Y25" s="5">
        <f t="shared" si="13"/>
        <v>80421732674.33638</v>
      </c>
      <c r="Z25" s="5">
        <f t="shared" si="14"/>
        <v>148388279434.55927</v>
      </c>
      <c r="AA25" s="5">
        <f t="shared" si="15"/>
        <v>-67966546760.222885</v>
      </c>
      <c r="AB25" s="5">
        <f t="shared" si="16"/>
        <v>-16787084813.244719</v>
      </c>
      <c r="AC25">
        <f t="shared" si="17"/>
        <v>-3.9988752734351856E-174</v>
      </c>
    </row>
    <row r="26" spans="1:29">
      <c r="A26">
        <v>13</v>
      </c>
      <c r="B26">
        <f t="shared" si="18"/>
        <v>230047609.72817078</v>
      </c>
      <c r="C26">
        <f t="shared" si="0"/>
        <v>23004760972.817078</v>
      </c>
      <c r="D26">
        <f t="shared" si="1"/>
        <v>24615094240.914276</v>
      </c>
      <c r="E26">
        <f t="shared" si="2"/>
        <v>24984320654.527988</v>
      </c>
      <c r="F26">
        <f t="shared" si="19"/>
        <v>175248146.76852351</v>
      </c>
      <c r="G26" s="5">
        <f t="shared" si="3"/>
        <v>17524814676.852352</v>
      </c>
      <c r="H26" s="5">
        <f t="shared" si="4"/>
        <v>18751551704.232018</v>
      </c>
      <c r="I26" s="23">
        <f t="shared" si="5"/>
        <v>19032824979.795494</v>
      </c>
      <c r="J26" s="17">
        <f t="shared" si="20"/>
        <v>7380019960.1729279</v>
      </c>
      <c r="K26" s="22">
        <f t="shared" si="21"/>
        <v>10445731816.958952</v>
      </c>
      <c r="L26">
        <f t="shared" si="22"/>
        <v>2516916858.8062215</v>
      </c>
      <c r="M26" s="5">
        <f t="shared" si="6"/>
        <v>125845842940.31108</v>
      </c>
      <c r="N26" s="22">
        <f t="shared" si="7"/>
        <v>72487205533.619186</v>
      </c>
      <c r="O26" s="20">
        <f t="shared" si="23"/>
        <v>597809085.73076689</v>
      </c>
      <c r="P26">
        <v>30000000</v>
      </c>
      <c r="Q26" s="20">
        <f t="shared" si="24"/>
        <v>119561817.14615336</v>
      </c>
      <c r="R26">
        <f t="shared" si="8"/>
        <v>8493149428.7317295</v>
      </c>
      <c r="T26" s="5">
        <f t="shared" si="9"/>
        <v>169862988574.63458</v>
      </c>
      <c r="U26" s="5">
        <f t="shared" si="10"/>
        <v>178356138003.3663</v>
      </c>
      <c r="V26" s="5"/>
      <c r="W26" s="22">
        <f t="shared" si="11"/>
        <v>91030328213.627991</v>
      </c>
      <c r="X26" s="22">
        <f t="shared" si="12"/>
        <v>91000328213.627991</v>
      </c>
      <c r="Y26" s="5">
        <f t="shared" si="13"/>
        <v>87355809789.738312</v>
      </c>
      <c r="Z26" s="5">
        <f t="shared" si="14"/>
        <v>160520524203.02966</v>
      </c>
      <c r="AA26" s="5">
        <f t="shared" si="15"/>
        <v>-73164714413.291351</v>
      </c>
      <c r="AB26" s="5">
        <f t="shared" si="16"/>
        <v>-16083174282.31163</v>
      </c>
      <c r="AC26">
        <f t="shared" si="17"/>
        <v>-1.9116771825382929E-189</v>
      </c>
    </row>
    <row r="27" spans="1:29">
      <c r="A27">
        <v>14</v>
      </c>
      <c r="B27">
        <f t="shared" si="18"/>
        <v>253052370.70098788</v>
      </c>
      <c r="C27">
        <f t="shared" si="0"/>
        <v>25305237070.098789</v>
      </c>
      <c r="D27">
        <f t="shared" si="1"/>
        <v>27076603665.005707</v>
      </c>
      <c r="E27">
        <f t="shared" si="2"/>
        <v>27482752719.980789</v>
      </c>
      <c r="F27">
        <f t="shared" si="19"/>
        <v>187515517.04232016</v>
      </c>
      <c r="G27" s="5">
        <f t="shared" si="3"/>
        <v>18751551704.232018</v>
      </c>
      <c r="H27" s="5">
        <f t="shared" si="4"/>
        <v>20064160323.528259</v>
      </c>
      <c r="I27" s="23">
        <f t="shared" si="5"/>
        <v>20365122728.38118</v>
      </c>
      <c r="J27" s="17">
        <f t="shared" si="20"/>
        <v>7896621357.3850336</v>
      </c>
      <c r="K27" s="22">
        <f t="shared" si="21"/>
        <v>11176933044.14608</v>
      </c>
      <c r="L27">
        <f t="shared" si="22"/>
        <v>2718270207.5107193</v>
      </c>
      <c r="M27" s="5">
        <f t="shared" si="6"/>
        <v>135913510375.53596</v>
      </c>
      <c r="N27" s="22">
        <f t="shared" si="7"/>
        <v>78286181976.308716</v>
      </c>
      <c r="O27" s="20">
        <f t="shared" si="23"/>
        <v>606776222.01672828</v>
      </c>
      <c r="P27">
        <v>30000000</v>
      </c>
      <c r="Q27" s="20">
        <f t="shared" si="24"/>
        <v>121355244.40334564</v>
      </c>
      <c r="R27">
        <f t="shared" si="8"/>
        <v>9188069291.1948986</v>
      </c>
      <c r="T27" s="5">
        <f t="shared" si="9"/>
        <v>183761385823.89795</v>
      </c>
      <c r="U27" s="5">
        <f t="shared" si="10"/>
        <v>192949455115.09283</v>
      </c>
      <c r="V27" s="5"/>
      <c r="W27" s="22">
        <f t="shared" si="11"/>
        <v>98087867844.259903</v>
      </c>
      <c r="X27" s="22">
        <f t="shared" si="12"/>
        <v>98057867844.259903</v>
      </c>
      <c r="Y27" s="5">
        <f t="shared" si="13"/>
        <v>94891587270.832932</v>
      </c>
      <c r="Z27" s="5">
        <f t="shared" si="14"/>
        <v>173654509603.58356</v>
      </c>
      <c r="AA27" s="5">
        <f t="shared" si="15"/>
        <v>-78762922332.750626</v>
      </c>
      <c r="AB27" s="5">
        <f t="shared" si="16"/>
        <v>-15409264659.170116</v>
      </c>
      <c r="AC27">
        <f t="shared" si="17"/>
        <v>-9.1391313100313056E-205</v>
      </c>
    </row>
    <row r="28" spans="1:29">
      <c r="A28">
        <v>15</v>
      </c>
      <c r="B28">
        <f t="shared" si="18"/>
        <v>278357607.77108669</v>
      </c>
      <c r="C28">
        <f t="shared" si="0"/>
        <v>27835760777.108669</v>
      </c>
      <c r="D28">
        <f t="shared" si="1"/>
        <v>29784264031.506279</v>
      </c>
      <c r="E28">
        <f t="shared" si="2"/>
        <v>30231027991.97887</v>
      </c>
      <c r="F28">
        <f t="shared" si="19"/>
        <v>200641603.2352826</v>
      </c>
      <c r="G28" s="5">
        <f t="shared" si="3"/>
        <v>20064160323.528259</v>
      </c>
      <c r="H28" s="5">
        <f t="shared" si="4"/>
        <v>21468651546.17524</v>
      </c>
      <c r="I28" s="23">
        <f t="shared" si="5"/>
        <v>21790681319.367867</v>
      </c>
      <c r="J28" s="17">
        <f t="shared" si="20"/>
        <v>8449384852.4019861</v>
      </c>
      <c r="K28" s="22">
        <f t="shared" si="21"/>
        <v>11959318357.236307</v>
      </c>
      <c r="L28">
        <f t="shared" si="22"/>
        <v>2935731824.111577</v>
      </c>
      <c r="M28" s="5">
        <f t="shared" si="6"/>
        <v>146786591205.57886</v>
      </c>
      <c r="N28" s="22">
        <f t="shared" si="7"/>
        <v>84549076534.413422</v>
      </c>
      <c r="O28" s="20">
        <f t="shared" si="23"/>
        <v>615877865.34697914</v>
      </c>
      <c r="P28">
        <v>30000000</v>
      </c>
      <c r="Q28" s="20">
        <f t="shared" si="24"/>
        <v>123175573.06939581</v>
      </c>
      <c r="R28">
        <f t="shared" si="8"/>
        <v>9940415025.8462811</v>
      </c>
      <c r="T28" s="5">
        <f t="shared" si="9"/>
        <v>198808300516.9256</v>
      </c>
      <c r="U28" s="5">
        <f t="shared" si="10"/>
        <v>208748715542.77188</v>
      </c>
      <c r="V28" s="5"/>
      <c r="W28" s="22">
        <f t="shared" si="11"/>
        <v>105696833182.46809</v>
      </c>
      <c r="X28" s="22">
        <f t="shared" si="12"/>
        <v>105666833182.46809</v>
      </c>
      <c r="Y28" s="5">
        <f t="shared" si="13"/>
        <v>103081882360.30379</v>
      </c>
      <c r="Z28" s="5">
        <f t="shared" si="14"/>
        <v>187873843988.49469</v>
      </c>
      <c r="AA28" s="5">
        <f t="shared" si="15"/>
        <v>-84791961628.190903</v>
      </c>
      <c r="AB28" s="5">
        <f t="shared" si="16"/>
        <v>-14764025352.428688</v>
      </c>
      <c r="AC28">
        <f t="shared" si="17"/>
        <v>-4.3692611145051934E-220</v>
      </c>
    </row>
    <row r="29" spans="1:29">
      <c r="A29">
        <v>16</v>
      </c>
      <c r="B29">
        <f t="shared" si="18"/>
        <v>306193368.54819536</v>
      </c>
      <c r="C29">
        <f t="shared" si="0"/>
        <v>30619336854.819534</v>
      </c>
      <c r="D29">
        <f t="shared" si="1"/>
        <v>32762690434.656902</v>
      </c>
      <c r="E29">
        <f t="shared" si="2"/>
        <v>33254130791.176754</v>
      </c>
      <c r="F29">
        <f t="shared" si="19"/>
        <v>214686515.46175238</v>
      </c>
      <c r="G29" s="5">
        <f t="shared" si="3"/>
        <v>21468651546.17524</v>
      </c>
      <c r="H29" s="5">
        <f t="shared" si="4"/>
        <v>22971457154.407509</v>
      </c>
      <c r="I29" s="23">
        <f t="shared" si="5"/>
        <v>23316029011.723618</v>
      </c>
      <c r="J29" s="17">
        <f t="shared" si="20"/>
        <v>9040841792.0701256</v>
      </c>
      <c r="K29" s="22">
        <f t="shared" si="21"/>
        <v>12796470642.242849</v>
      </c>
      <c r="L29">
        <f t="shared" si="22"/>
        <v>3170590370.0405035</v>
      </c>
      <c r="M29" s="5">
        <f t="shared" si="6"/>
        <v>158529518502.02518</v>
      </c>
      <c r="N29" s="22">
        <f t="shared" si="7"/>
        <v>91313002657.166504</v>
      </c>
      <c r="O29" s="20">
        <f t="shared" si="23"/>
        <v>625116033.32718372</v>
      </c>
      <c r="P29">
        <v>30000000</v>
      </c>
      <c r="Q29" s="20">
        <f t="shared" si="24"/>
        <v>125023206.66543673</v>
      </c>
      <c r="R29">
        <f t="shared" si="8"/>
        <v>10754983915.246277</v>
      </c>
      <c r="T29" s="5">
        <f t="shared" si="9"/>
        <v>215099678304.92554</v>
      </c>
      <c r="U29" s="5">
        <f t="shared" si="10"/>
        <v>225854662220.17181</v>
      </c>
      <c r="V29" s="5"/>
      <c r="W29" s="22">
        <f t="shared" si="11"/>
        <v>113900454331.47209</v>
      </c>
      <c r="X29" s="22">
        <f t="shared" si="12"/>
        <v>113870454331.47209</v>
      </c>
      <c r="Y29" s="5">
        <f t="shared" si="13"/>
        <v>111984207888.69972</v>
      </c>
      <c r="Z29" s="5">
        <f t="shared" si="14"/>
        <v>203269195998.15463</v>
      </c>
      <c r="AA29" s="5">
        <f t="shared" si="15"/>
        <v>-91284988109.45491</v>
      </c>
      <c r="AB29" s="5">
        <f t="shared" si="16"/>
        <v>-14146189438.828762</v>
      </c>
      <c r="AC29">
        <f t="shared" si="17"/>
        <v>-2.088925259769441E-235</v>
      </c>
    </row>
    <row r="30" spans="1:29">
      <c r="A30">
        <v>17</v>
      </c>
      <c r="B30">
        <f t="shared" si="18"/>
        <v>336812705.4030149</v>
      </c>
      <c r="C30">
        <f t="shared" si="0"/>
        <v>33681270540.301491</v>
      </c>
      <c r="D30">
        <f t="shared" si="1"/>
        <v>36038959478.122597</v>
      </c>
      <c r="E30">
        <f t="shared" si="2"/>
        <v>36579543870.294434</v>
      </c>
      <c r="F30">
        <f t="shared" si="19"/>
        <v>229714571.54407507</v>
      </c>
      <c r="G30" s="5">
        <f t="shared" si="3"/>
        <v>22971457154.407509</v>
      </c>
      <c r="H30" s="5">
        <f t="shared" si="4"/>
        <v>24579459155.216038</v>
      </c>
      <c r="I30" s="23">
        <f t="shared" si="5"/>
        <v>24948151042.544277</v>
      </c>
      <c r="J30" s="17">
        <f t="shared" si="20"/>
        <v>9673700717.5150356</v>
      </c>
      <c r="K30" s="22">
        <f t="shared" si="21"/>
        <v>13692223587.19985</v>
      </c>
      <c r="L30">
        <f t="shared" si="22"/>
        <v>3424237599.643744</v>
      </c>
      <c r="M30" s="5">
        <f t="shared" si="6"/>
        <v>171211879982.18719</v>
      </c>
      <c r="N30" s="22">
        <f t="shared" si="7"/>
        <v>98618042869.739822</v>
      </c>
      <c r="O30" s="20">
        <f t="shared" si="23"/>
        <v>634492773.82709146</v>
      </c>
      <c r="P30">
        <v>30000000</v>
      </c>
      <c r="Q30" s="20">
        <f t="shared" si="24"/>
        <v>126898554.76541826</v>
      </c>
      <c r="R30">
        <f t="shared" si="8"/>
        <v>11636978744.751297</v>
      </c>
      <c r="T30" s="5">
        <f t="shared" si="9"/>
        <v>232739574895.02591</v>
      </c>
      <c r="U30" s="5">
        <f t="shared" si="10"/>
        <v>244376553639.77722</v>
      </c>
      <c r="V30" s="5"/>
      <c r="W30" s="22">
        <f t="shared" si="11"/>
        <v>122745358503.04721</v>
      </c>
      <c r="X30" s="22">
        <f t="shared" si="12"/>
        <v>122715358503.04721</v>
      </c>
      <c r="Y30" s="5">
        <f t="shared" si="13"/>
        <v>121661195136.73001</v>
      </c>
      <c r="Z30" s="5">
        <f t="shared" si="14"/>
        <v>219938898275.7995</v>
      </c>
      <c r="AA30" s="5">
        <f t="shared" si="15"/>
        <v>-98277703139.069489</v>
      </c>
      <c r="AB30" s="5">
        <f t="shared" si="16"/>
        <v>-13554550218.603666</v>
      </c>
      <c r="AC30">
        <f t="shared" si="17"/>
        <v>-9.9873152198102508E-251</v>
      </c>
    </row>
    <row r="31" spans="1:29">
      <c r="A31">
        <v>18</v>
      </c>
      <c r="B31">
        <f t="shared" si="18"/>
        <v>370493975.9433164</v>
      </c>
      <c r="C31">
        <f t="shared" si="0"/>
        <v>37049397594.331642</v>
      </c>
      <c r="D31">
        <f t="shared" si="1"/>
        <v>39642855425.93486</v>
      </c>
      <c r="E31">
        <f t="shared" si="2"/>
        <v>40237498257.323883</v>
      </c>
      <c r="F31">
        <f t="shared" si="19"/>
        <v>245794591.55216035</v>
      </c>
      <c r="G31" s="5">
        <f t="shared" si="3"/>
        <v>24579459155.216034</v>
      </c>
      <c r="H31" s="5">
        <f t="shared" si="4"/>
        <v>26300021296.081158</v>
      </c>
      <c r="I31" s="23">
        <f t="shared" si="5"/>
        <v>26694521615.522373</v>
      </c>
      <c r="J31" s="17">
        <f t="shared" si="20"/>
        <v>10350859767.741089</v>
      </c>
      <c r="K31" s="22">
        <f t="shared" si="21"/>
        <v>14650679238.303841</v>
      </c>
      <c r="L31">
        <f t="shared" si="22"/>
        <v>3698176607.6152439</v>
      </c>
      <c r="M31" s="5">
        <f t="shared" si="6"/>
        <v>184908830380.76221</v>
      </c>
      <c r="N31" s="22">
        <f t="shared" si="7"/>
        <v>106507486299.31903</v>
      </c>
      <c r="O31" s="20">
        <f t="shared" si="23"/>
        <v>644010165.43449771</v>
      </c>
      <c r="P31">
        <v>30000000</v>
      </c>
      <c r="Q31" s="20">
        <f t="shared" si="24"/>
        <v>128802033.08689952</v>
      </c>
      <c r="R31">
        <f t="shared" si="8"/>
        <v>12592042512.680424</v>
      </c>
      <c r="T31" s="5">
        <f t="shared" si="9"/>
        <v>251840850253.60846</v>
      </c>
      <c r="U31" s="5">
        <f t="shared" si="10"/>
        <v>264432892766.28888</v>
      </c>
      <c r="V31" s="5"/>
      <c r="W31" s="22">
        <f t="shared" si="11"/>
        <v>132281837503.88535</v>
      </c>
      <c r="X31" s="22">
        <f t="shared" si="12"/>
        <v>132251837503.88535</v>
      </c>
      <c r="Y31" s="5">
        <f t="shared" si="13"/>
        <v>132181055262.40353</v>
      </c>
      <c r="Z31" s="5">
        <f t="shared" si="14"/>
        <v>237989603489.66</v>
      </c>
      <c r="AA31" s="5">
        <f t="shared" si="15"/>
        <v>-105808548227.25647</v>
      </c>
      <c r="AB31" s="5">
        <f t="shared" si="16"/>
        <v>-12987957989.232193</v>
      </c>
      <c r="AC31">
        <f t="shared" si="17"/>
        <v>-4.7751249044566491E-266</v>
      </c>
    </row>
    <row r="32" spans="1:29">
      <c r="A32">
        <v>19</v>
      </c>
      <c r="B32">
        <f t="shared" si="18"/>
        <v>407543373.53764808</v>
      </c>
      <c r="C32">
        <f t="shared" si="0"/>
        <v>40754337353.764809</v>
      </c>
      <c r="D32">
        <f t="shared" si="1"/>
        <v>43607140968.528351</v>
      </c>
      <c r="E32">
        <f t="shared" si="2"/>
        <v>44261248083.056274</v>
      </c>
      <c r="F32">
        <f t="shared" si="19"/>
        <v>263000212.96081159</v>
      </c>
      <c r="G32" s="5">
        <f t="shared" si="3"/>
        <v>26300021296.081158</v>
      </c>
      <c r="H32" s="5">
        <f t="shared" si="4"/>
        <v>28141022786.806839</v>
      </c>
      <c r="I32" s="23">
        <f t="shared" si="5"/>
        <v>28563138128.60894</v>
      </c>
      <c r="J32" s="17">
        <f t="shared" si="20"/>
        <v>11075419951.482965</v>
      </c>
      <c r="K32" s="22">
        <f t="shared" si="21"/>
        <v>15676226784.985111</v>
      </c>
      <c r="L32">
        <f t="shared" si="22"/>
        <v>3994030736.2244635</v>
      </c>
      <c r="M32" s="5">
        <f t="shared" si="6"/>
        <v>199701536811.22318</v>
      </c>
      <c r="N32" s="22">
        <f t="shared" si="7"/>
        <v>115028085203.26456</v>
      </c>
      <c r="O32" s="20">
        <f t="shared" si="23"/>
        <v>653670317.91601515</v>
      </c>
      <c r="P32">
        <v>30000000</v>
      </c>
      <c r="Q32" s="20">
        <f t="shared" si="24"/>
        <v>130734063.583203</v>
      </c>
      <c r="R32">
        <f t="shared" si="8"/>
        <v>13626296151.144421</v>
      </c>
      <c r="T32" s="5">
        <f t="shared" si="9"/>
        <v>272525923022.8884</v>
      </c>
      <c r="U32" s="5">
        <f t="shared" si="10"/>
        <v>286152219174.03284</v>
      </c>
      <c r="V32" s="5"/>
      <c r="W32" s="22">
        <f t="shared" si="11"/>
        <v>142564136321.23184</v>
      </c>
      <c r="X32" s="22">
        <f t="shared" si="12"/>
        <v>142534136321.23184</v>
      </c>
      <c r="Y32" s="5">
        <f t="shared" si="13"/>
        <v>143618082852.80099</v>
      </c>
      <c r="Z32" s="5">
        <f t="shared" si="14"/>
        <v>257536997256.62955</v>
      </c>
      <c r="AA32" s="5">
        <f t="shared" si="15"/>
        <v>-113918914403.82855</v>
      </c>
      <c r="AB32" s="5">
        <f t="shared" si="16"/>
        <v>-12445317021.432329</v>
      </c>
      <c r="AC32">
        <f t="shared" si="17"/>
        <v>-2.2831268385472362E-281</v>
      </c>
    </row>
    <row r="33" spans="1:29">
      <c r="A33">
        <v>20</v>
      </c>
      <c r="B33">
        <f t="shared" si="18"/>
        <v>448297710.89141291</v>
      </c>
      <c r="C33">
        <f t="shared" si="0"/>
        <v>44829771089.141289</v>
      </c>
      <c r="D33">
        <f t="shared" si="1"/>
        <v>47967855065.38118</v>
      </c>
      <c r="E33">
        <f t="shared" si="2"/>
        <v>48687372891.361893</v>
      </c>
      <c r="F33">
        <f t="shared" si="19"/>
        <v>281410227.8680684</v>
      </c>
      <c r="G33" s="5">
        <f t="shared" si="3"/>
        <v>28141022786.806839</v>
      </c>
      <c r="H33" s="5">
        <f t="shared" si="4"/>
        <v>30110894381.88332</v>
      </c>
      <c r="I33" s="23">
        <f t="shared" si="5"/>
        <v>30562557797.611568</v>
      </c>
      <c r="J33" s="17">
        <f t="shared" si="20"/>
        <v>11850699348.086773</v>
      </c>
      <c r="K33" s="22">
        <f t="shared" si="21"/>
        <v>16773562659.934071</v>
      </c>
      <c r="L33">
        <f t="shared" si="22"/>
        <v>4313553195.1224213</v>
      </c>
      <c r="M33" s="5">
        <f t="shared" si="6"/>
        <v>215677659756.12106</v>
      </c>
      <c r="N33" s="22">
        <f t="shared" si="7"/>
        <v>124230332019.52574</v>
      </c>
      <c r="O33" s="20">
        <f t="shared" si="23"/>
        <v>663475372.68475533</v>
      </c>
      <c r="P33">
        <v>30000000</v>
      </c>
      <c r="Q33" s="20">
        <f t="shared" si="24"/>
        <v>132695074.53695104</v>
      </c>
      <c r="R33">
        <f t="shared" si="8"/>
        <v>14746379522.254728</v>
      </c>
      <c r="T33" s="5">
        <f t="shared" si="9"/>
        <v>294927590445.09454</v>
      </c>
      <c r="U33" s="5">
        <f t="shared" si="10"/>
        <v>309673969967.34924</v>
      </c>
      <c r="V33" s="5"/>
      <c r="W33" s="22">
        <f t="shared" si="11"/>
        <v>153650764474.76828</v>
      </c>
      <c r="X33" s="22">
        <f t="shared" si="12"/>
        <v>153620764474.76828</v>
      </c>
      <c r="Y33" s="5">
        <f t="shared" si="13"/>
        <v>156053205492.58096</v>
      </c>
      <c r="Z33" s="5">
        <f t="shared" si="14"/>
        <v>278706572970.61432</v>
      </c>
      <c r="AA33" s="5">
        <f t="shared" si="15"/>
        <v>-122653367478.03336</v>
      </c>
      <c r="AB33" s="5">
        <f t="shared" si="16"/>
        <v>-11925582722.578732</v>
      </c>
      <c r="AC33">
        <f t="shared" si="17"/>
        <v>-1.0916512065329975E-296</v>
      </c>
    </row>
    <row r="34" spans="1:29">
      <c r="AA34" s="5"/>
    </row>
    <row r="37" spans="1:29" ht="43.2">
      <c r="A37" s="4" t="s">
        <v>60</v>
      </c>
      <c r="B37" s="5">
        <f>SUM(AB14:AB33)</f>
        <v>-369355240451.52588</v>
      </c>
    </row>
    <row r="38" spans="1:29" ht="43.2">
      <c r="A38" s="4" t="s">
        <v>112</v>
      </c>
      <c r="B38" s="5">
        <f>SUM(AC14:AC33)</f>
        <v>-1.3455863508374392E-5</v>
      </c>
    </row>
    <row r="39" spans="1:29">
      <c r="A39" t="s">
        <v>113</v>
      </c>
      <c r="B39" s="6">
        <v>0.99999999999999956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jay</cp:lastModifiedBy>
  <dcterms:created xsi:type="dcterms:W3CDTF">2022-02-14T10:08:34Z</dcterms:created>
  <dcterms:modified xsi:type="dcterms:W3CDTF">2022-02-20T18:51:07Z</dcterms:modified>
</cp:coreProperties>
</file>